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ФЕР'!$23:$23</definedName>
    <definedName name="_xlnm.Print_Area" localSheetId="0">'Смета 12 гр. по ФЕР'!$A$1:$L$190</definedName>
  </definedNames>
  <calcPr calcId="144525"/>
</workbook>
</file>

<file path=xl/calcChain.xml><?xml version="1.0" encoding="utf-8"?>
<calcChain xmlns="http://schemas.openxmlformats.org/spreadsheetml/2006/main">
  <c r="B8" i="5" l="1"/>
  <c r="E164" i="5"/>
  <c r="C163" i="5" l="1"/>
  <c r="I91" i="1" l="1"/>
  <c r="I90" i="1"/>
  <c r="AD12" i="5" l="1"/>
  <c r="I188" i="5"/>
  <c r="I185" i="5"/>
  <c r="C182" i="5"/>
  <c r="C181" i="5"/>
  <c r="Z178" i="5"/>
  <c r="Y178" i="5"/>
  <c r="X178" i="5"/>
  <c r="J177" i="5"/>
  <c r="G177" i="5"/>
  <c r="F177" i="5"/>
  <c r="D177" i="5"/>
  <c r="I177" i="5"/>
  <c r="C177" i="5"/>
  <c r="B177" i="5"/>
  <c r="A177" i="5"/>
  <c r="Z176" i="5"/>
  <c r="Y176" i="5"/>
  <c r="X176" i="5"/>
  <c r="J174" i="5"/>
  <c r="G174" i="5"/>
  <c r="F174" i="5"/>
  <c r="D174" i="5"/>
  <c r="I174" i="5"/>
  <c r="C174" i="5"/>
  <c r="B174" i="5"/>
  <c r="A174" i="5"/>
  <c r="Z173" i="5"/>
  <c r="Y173" i="5"/>
  <c r="X173" i="5"/>
  <c r="G172" i="5"/>
  <c r="E172" i="5"/>
  <c r="J171" i="5"/>
  <c r="E171" i="5"/>
  <c r="J170" i="5"/>
  <c r="E170" i="5"/>
  <c r="J169" i="5"/>
  <c r="G169" i="5"/>
  <c r="F169" i="5"/>
  <c r="J168" i="5"/>
  <c r="G168" i="5"/>
  <c r="F168" i="5"/>
  <c r="F167" i="5"/>
  <c r="D167" i="5"/>
  <c r="I167" i="5"/>
  <c r="C167" i="5"/>
  <c r="B167" i="5"/>
  <c r="A167" i="5"/>
  <c r="Z166" i="5"/>
  <c r="Y166" i="5"/>
  <c r="X166" i="5"/>
  <c r="J165" i="5"/>
  <c r="Z165" i="5"/>
  <c r="Y165" i="5"/>
  <c r="X165" i="5"/>
  <c r="F165" i="5"/>
  <c r="D165" i="5"/>
  <c r="C165" i="5"/>
  <c r="B165" i="5"/>
  <c r="A165" i="5"/>
  <c r="J164" i="5"/>
  <c r="Z164" i="5"/>
  <c r="Y164" i="5"/>
  <c r="X164" i="5"/>
  <c r="F164" i="5"/>
  <c r="D164" i="5"/>
  <c r="C164" i="5"/>
  <c r="B164" i="5"/>
  <c r="A164" i="5"/>
  <c r="J163" i="5"/>
  <c r="Z163" i="5"/>
  <c r="Y163" i="5"/>
  <c r="X163" i="5"/>
  <c r="F163" i="5"/>
  <c r="D163" i="5"/>
  <c r="B163" i="5"/>
  <c r="A163" i="5"/>
  <c r="G162" i="5"/>
  <c r="E162" i="5"/>
  <c r="J161" i="5"/>
  <c r="F161" i="5"/>
  <c r="E161" i="5"/>
  <c r="J160" i="5"/>
  <c r="F160" i="5"/>
  <c r="E160" i="5"/>
  <c r="J159" i="5"/>
  <c r="G159" i="5"/>
  <c r="F159" i="5"/>
  <c r="J158" i="5"/>
  <c r="G158" i="5"/>
  <c r="F158" i="5"/>
  <c r="J157" i="5"/>
  <c r="G157" i="5"/>
  <c r="F157" i="5"/>
  <c r="J156" i="5"/>
  <c r="G156" i="5"/>
  <c r="F156" i="5"/>
  <c r="F155" i="5"/>
  <c r="E155" i="5"/>
  <c r="D155" i="5"/>
  <c r="I155" i="5"/>
  <c r="C155" i="5"/>
  <c r="B155" i="5"/>
  <c r="A155" i="5"/>
  <c r="Z154" i="5"/>
  <c r="Y154" i="5"/>
  <c r="X154" i="5"/>
  <c r="J153" i="5"/>
  <c r="Z153" i="5"/>
  <c r="Y153" i="5"/>
  <c r="X153" i="5"/>
  <c r="F153" i="5"/>
  <c r="D153" i="5"/>
  <c r="C153" i="5"/>
  <c r="B153" i="5"/>
  <c r="A153" i="5"/>
  <c r="J152" i="5"/>
  <c r="Z152" i="5"/>
  <c r="Y152" i="5"/>
  <c r="X152" i="5"/>
  <c r="F152" i="5"/>
  <c r="D152" i="5"/>
  <c r="C152" i="5"/>
  <c r="B152" i="5"/>
  <c r="A152" i="5"/>
  <c r="G151" i="5"/>
  <c r="E151" i="5"/>
  <c r="J150" i="5"/>
  <c r="F150" i="5"/>
  <c r="E150" i="5"/>
  <c r="J149" i="5"/>
  <c r="F149" i="5"/>
  <c r="E149" i="5"/>
  <c r="J148" i="5"/>
  <c r="G148" i="5"/>
  <c r="F148" i="5"/>
  <c r="J147" i="5"/>
  <c r="G147" i="5"/>
  <c r="F147" i="5"/>
  <c r="J146" i="5"/>
  <c r="G146" i="5"/>
  <c r="F146" i="5"/>
  <c r="J145" i="5"/>
  <c r="G145" i="5"/>
  <c r="F145" i="5"/>
  <c r="C144" i="5"/>
  <c r="F143" i="5"/>
  <c r="E143" i="5"/>
  <c r="D143" i="5"/>
  <c r="I143" i="5"/>
  <c r="C143" i="5"/>
  <c r="B143" i="5"/>
  <c r="A143" i="5"/>
  <c r="Z142" i="5"/>
  <c r="Y142" i="5"/>
  <c r="X142" i="5"/>
  <c r="G141" i="5"/>
  <c r="E141" i="5"/>
  <c r="J140" i="5"/>
  <c r="F140" i="5"/>
  <c r="E140" i="5"/>
  <c r="J139" i="5"/>
  <c r="F139" i="5"/>
  <c r="E139" i="5"/>
  <c r="J138" i="5"/>
  <c r="G138" i="5"/>
  <c r="F138" i="5"/>
  <c r="J137" i="5"/>
  <c r="G137" i="5"/>
  <c r="F137" i="5"/>
  <c r="J136" i="5"/>
  <c r="G136" i="5"/>
  <c r="F136" i="5"/>
  <c r="J135" i="5"/>
  <c r="G135" i="5"/>
  <c r="F135" i="5"/>
  <c r="F133" i="5"/>
  <c r="D133" i="5"/>
  <c r="I133" i="5"/>
  <c r="C133" i="5"/>
  <c r="B133" i="5"/>
  <c r="A133" i="5"/>
  <c r="Z132" i="5"/>
  <c r="Y132" i="5"/>
  <c r="X132" i="5"/>
  <c r="J131" i="5"/>
  <c r="Z131" i="5"/>
  <c r="Y131" i="5"/>
  <c r="X131" i="5"/>
  <c r="F131" i="5"/>
  <c r="D131" i="5"/>
  <c r="C131" i="5"/>
  <c r="B131" i="5"/>
  <c r="A131" i="5"/>
  <c r="J130" i="5"/>
  <c r="Z130" i="5"/>
  <c r="Y130" i="5"/>
  <c r="X130" i="5"/>
  <c r="F130" i="5"/>
  <c r="D130" i="5"/>
  <c r="C130" i="5"/>
  <c r="B130" i="5"/>
  <c r="A130" i="5"/>
  <c r="G129" i="5"/>
  <c r="E129" i="5"/>
  <c r="J128" i="5"/>
  <c r="E128" i="5"/>
  <c r="J127" i="5"/>
  <c r="E127" i="5"/>
  <c r="J126" i="5"/>
  <c r="G126" i="5"/>
  <c r="F126" i="5"/>
  <c r="J125" i="5"/>
  <c r="G125" i="5"/>
  <c r="F125" i="5"/>
  <c r="J124" i="5"/>
  <c r="G124" i="5"/>
  <c r="F124" i="5"/>
  <c r="J123" i="5"/>
  <c r="G123" i="5"/>
  <c r="F123" i="5"/>
  <c r="F122" i="5"/>
  <c r="E122" i="5"/>
  <c r="D122" i="5"/>
  <c r="I122" i="5"/>
  <c r="C122" i="5"/>
  <c r="B122" i="5"/>
  <c r="A122" i="5"/>
  <c r="Z121" i="5"/>
  <c r="Y121" i="5"/>
  <c r="X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J118" i="5"/>
  <c r="Z118" i="5"/>
  <c r="Y118" i="5"/>
  <c r="X118" i="5"/>
  <c r="F118" i="5"/>
  <c r="D118" i="5"/>
  <c r="C118" i="5"/>
  <c r="B118" i="5"/>
  <c r="A118" i="5"/>
  <c r="J117" i="5"/>
  <c r="Z117" i="5"/>
  <c r="Y117" i="5"/>
  <c r="X117" i="5"/>
  <c r="F117" i="5"/>
  <c r="D117" i="5"/>
  <c r="C117" i="5"/>
  <c r="B117" i="5"/>
  <c r="A117" i="5"/>
  <c r="J116" i="5"/>
  <c r="Z116" i="5"/>
  <c r="Y116" i="5"/>
  <c r="X116" i="5"/>
  <c r="F116" i="5"/>
  <c r="D116" i="5"/>
  <c r="C116" i="5"/>
  <c r="B116" i="5"/>
  <c r="A116" i="5"/>
  <c r="G115" i="5"/>
  <c r="E115" i="5"/>
  <c r="J114" i="5"/>
  <c r="F114" i="5"/>
  <c r="E114" i="5"/>
  <c r="J113" i="5"/>
  <c r="F113" i="5"/>
  <c r="E113" i="5"/>
  <c r="J112" i="5"/>
  <c r="G112" i="5"/>
  <c r="F112" i="5"/>
  <c r="J111" i="5"/>
  <c r="G111" i="5"/>
  <c r="F111" i="5"/>
  <c r="J110" i="5"/>
  <c r="G110" i="5"/>
  <c r="F110" i="5"/>
  <c r="F108" i="5"/>
  <c r="D108" i="5"/>
  <c r="I108" i="5"/>
  <c r="C108" i="5"/>
  <c r="B108" i="5"/>
  <c r="A108" i="5"/>
  <c r="Z107" i="5"/>
  <c r="Y107" i="5"/>
  <c r="X107" i="5"/>
  <c r="J106" i="5"/>
  <c r="Z106" i="5"/>
  <c r="Y106" i="5"/>
  <c r="X106" i="5"/>
  <c r="F106" i="5"/>
  <c r="D106" i="5"/>
  <c r="C106" i="5"/>
  <c r="B106" i="5"/>
  <c r="A106" i="5"/>
  <c r="J105" i="5"/>
  <c r="Z105" i="5"/>
  <c r="Y105" i="5"/>
  <c r="X105" i="5"/>
  <c r="F105" i="5"/>
  <c r="D105" i="5"/>
  <c r="C105" i="5"/>
  <c r="B105" i="5"/>
  <c r="A105" i="5"/>
  <c r="G104" i="5"/>
  <c r="E104" i="5"/>
  <c r="J103" i="5"/>
  <c r="F103" i="5"/>
  <c r="E103" i="5"/>
  <c r="J102" i="5"/>
  <c r="F102" i="5"/>
  <c r="E102" i="5"/>
  <c r="J101" i="5"/>
  <c r="G101" i="5"/>
  <c r="F101" i="5"/>
  <c r="J100" i="5"/>
  <c r="G100" i="5"/>
  <c r="F100" i="5"/>
  <c r="J99" i="5"/>
  <c r="G99" i="5"/>
  <c r="F99" i="5"/>
  <c r="F97" i="5"/>
  <c r="D97" i="5"/>
  <c r="I97" i="5"/>
  <c r="C97" i="5"/>
  <c r="B97" i="5"/>
  <c r="A97" i="5"/>
  <c r="Z96" i="5"/>
  <c r="Y96" i="5"/>
  <c r="X96" i="5"/>
  <c r="J95" i="5"/>
  <c r="Z95" i="5"/>
  <c r="Y95" i="5"/>
  <c r="X95" i="5"/>
  <c r="F95" i="5"/>
  <c r="D95" i="5"/>
  <c r="C95" i="5"/>
  <c r="B95" i="5"/>
  <c r="A95" i="5"/>
  <c r="J94" i="5"/>
  <c r="Z94" i="5"/>
  <c r="Y94" i="5"/>
  <c r="X94" i="5"/>
  <c r="F94" i="5"/>
  <c r="D94" i="5"/>
  <c r="C94" i="5"/>
  <c r="B94" i="5"/>
  <c r="A94" i="5"/>
  <c r="J93" i="5"/>
  <c r="Z93" i="5"/>
  <c r="Y93" i="5"/>
  <c r="X93" i="5"/>
  <c r="F93" i="5"/>
  <c r="D93" i="5"/>
  <c r="C93" i="5"/>
  <c r="B93" i="5"/>
  <c r="A93" i="5"/>
  <c r="G92" i="5"/>
  <c r="E92" i="5"/>
  <c r="J91" i="5"/>
  <c r="F91" i="5"/>
  <c r="E91" i="5"/>
  <c r="J90" i="5"/>
  <c r="F90" i="5"/>
  <c r="E90" i="5"/>
  <c r="J89" i="5"/>
  <c r="G89" i="5"/>
  <c r="F89" i="5"/>
  <c r="J88" i="5"/>
  <c r="G88" i="5"/>
  <c r="F88" i="5"/>
  <c r="J87" i="5"/>
  <c r="G87" i="5"/>
  <c r="F87" i="5"/>
  <c r="J86" i="5"/>
  <c r="G86" i="5"/>
  <c r="F86" i="5"/>
  <c r="F84" i="5"/>
  <c r="D84" i="5"/>
  <c r="I84" i="5"/>
  <c r="C84" i="5"/>
  <c r="B84" i="5"/>
  <c r="A84" i="5"/>
  <c r="Z83" i="5"/>
  <c r="Y83" i="5"/>
  <c r="X83" i="5"/>
  <c r="G82" i="5"/>
  <c r="E82" i="5"/>
  <c r="J81" i="5"/>
  <c r="F81" i="5"/>
  <c r="E81" i="5"/>
  <c r="J80" i="5"/>
  <c r="F80" i="5"/>
  <c r="E80" i="5"/>
  <c r="J79" i="5"/>
  <c r="G79" i="5"/>
  <c r="F79" i="5"/>
  <c r="J78" i="5"/>
  <c r="G78" i="5"/>
  <c r="F78" i="5"/>
  <c r="J77" i="5"/>
  <c r="G77" i="5"/>
  <c r="F77" i="5"/>
  <c r="J76" i="5"/>
  <c r="G76" i="5"/>
  <c r="F76" i="5"/>
  <c r="F75" i="5"/>
  <c r="D75" i="5"/>
  <c r="I75" i="5"/>
  <c r="C75" i="5"/>
  <c r="B75" i="5"/>
  <c r="A75" i="5"/>
  <c r="Z74" i="5"/>
  <c r="Y74" i="5"/>
  <c r="X74" i="5"/>
  <c r="G73" i="5"/>
  <c r="E73" i="5"/>
  <c r="J72" i="5"/>
  <c r="F72" i="5"/>
  <c r="E72" i="5"/>
  <c r="J71" i="5"/>
  <c r="F71" i="5"/>
  <c r="E71" i="5"/>
  <c r="J70" i="5"/>
  <c r="G70" i="5"/>
  <c r="F70" i="5"/>
  <c r="J69" i="5"/>
  <c r="G69" i="5"/>
  <c r="F69" i="5"/>
  <c r="J68" i="5"/>
  <c r="G68" i="5"/>
  <c r="F68" i="5"/>
  <c r="J67" i="5"/>
  <c r="G67" i="5"/>
  <c r="F67" i="5"/>
  <c r="F65" i="5"/>
  <c r="D65" i="5"/>
  <c r="I65" i="5"/>
  <c r="C65" i="5"/>
  <c r="B65" i="5"/>
  <c r="A65" i="5"/>
  <c r="Z64" i="5"/>
  <c r="Y64" i="5"/>
  <c r="X64" i="5"/>
  <c r="J63" i="5"/>
  <c r="Z63" i="5"/>
  <c r="Y63" i="5"/>
  <c r="X63" i="5"/>
  <c r="F63" i="5"/>
  <c r="D63" i="5"/>
  <c r="C63" i="5"/>
  <c r="B63" i="5"/>
  <c r="A63" i="5"/>
  <c r="J62" i="5"/>
  <c r="Z62" i="5"/>
  <c r="Y62" i="5"/>
  <c r="X62" i="5"/>
  <c r="F62" i="5"/>
  <c r="D62" i="5"/>
  <c r="C62" i="5"/>
  <c r="B62" i="5"/>
  <c r="A62" i="5"/>
  <c r="J61" i="5"/>
  <c r="Z61" i="5"/>
  <c r="Y61" i="5"/>
  <c r="X61" i="5"/>
  <c r="F61" i="5"/>
  <c r="D61" i="5"/>
  <c r="C61" i="5"/>
  <c r="B61" i="5"/>
  <c r="A61" i="5"/>
  <c r="G60" i="5"/>
  <c r="E60" i="5"/>
  <c r="J59" i="5"/>
  <c r="F59" i="5"/>
  <c r="E59" i="5"/>
  <c r="J58" i="5"/>
  <c r="F58" i="5"/>
  <c r="E58" i="5"/>
  <c r="J57" i="5"/>
  <c r="G57" i="5"/>
  <c r="F57" i="5"/>
  <c r="J56" i="5"/>
  <c r="G56" i="5"/>
  <c r="F56" i="5"/>
  <c r="J55" i="5"/>
  <c r="G55" i="5"/>
  <c r="F55" i="5"/>
  <c r="J54" i="5"/>
  <c r="G54" i="5"/>
  <c r="F54" i="5"/>
  <c r="F52" i="5"/>
  <c r="D52" i="5"/>
  <c r="I52" i="5"/>
  <c r="C52" i="5"/>
  <c r="B52" i="5"/>
  <c r="A52" i="5"/>
  <c r="Z51" i="5"/>
  <c r="Y51" i="5"/>
  <c r="X51" i="5"/>
  <c r="J50" i="5"/>
  <c r="Z50" i="5"/>
  <c r="Y50" i="5"/>
  <c r="X50" i="5"/>
  <c r="F50" i="5"/>
  <c r="D50" i="5"/>
  <c r="C50" i="5"/>
  <c r="B50" i="5"/>
  <c r="A50" i="5"/>
  <c r="G49" i="5"/>
  <c r="E49" i="5"/>
  <c r="J48" i="5"/>
  <c r="E48" i="5"/>
  <c r="J47" i="5"/>
  <c r="E47" i="5"/>
  <c r="J46" i="5"/>
  <c r="G46" i="5"/>
  <c r="F46" i="5"/>
  <c r="J45" i="5"/>
  <c r="G45" i="5"/>
  <c r="F45" i="5"/>
  <c r="J44" i="5"/>
  <c r="G44" i="5"/>
  <c r="F44" i="5"/>
  <c r="F42" i="5"/>
  <c r="D42" i="5"/>
  <c r="I42" i="5"/>
  <c r="C42" i="5"/>
  <c r="B42" i="5"/>
  <c r="A42" i="5"/>
  <c r="Z41" i="5"/>
  <c r="Y41" i="5"/>
  <c r="X41" i="5"/>
  <c r="J40" i="5"/>
  <c r="Z40" i="5"/>
  <c r="Y40" i="5"/>
  <c r="X40" i="5"/>
  <c r="F40" i="5"/>
  <c r="D40" i="5"/>
  <c r="C40" i="5"/>
  <c r="B40" i="5"/>
  <c r="A40" i="5"/>
  <c r="G39" i="5"/>
  <c r="E39" i="5"/>
  <c r="J38" i="5"/>
  <c r="E38" i="5"/>
  <c r="J37" i="5"/>
  <c r="E37" i="5"/>
  <c r="J36" i="5"/>
  <c r="G36" i="5"/>
  <c r="F36" i="5"/>
  <c r="F34" i="5"/>
  <c r="D34" i="5"/>
  <c r="I34" i="5"/>
  <c r="C34" i="5"/>
  <c r="B34" i="5"/>
  <c r="A34" i="5"/>
  <c r="Z33" i="5"/>
  <c r="Y33" i="5"/>
  <c r="X33" i="5"/>
  <c r="J32" i="5"/>
  <c r="Z32" i="5"/>
  <c r="Y32" i="5"/>
  <c r="X32" i="5"/>
  <c r="F32" i="5"/>
  <c r="D32" i="5"/>
  <c r="C32" i="5"/>
  <c r="B32" i="5"/>
  <c r="A32" i="5"/>
  <c r="G31" i="5"/>
  <c r="E31" i="5"/>
  <c r="J30" i="5"/>
  <c r="E30" i="5"/>
  <c r="J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B10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I26" i="1" s="1"/>
  <c r="AC24" i="1"/>
  <c r="AE24" i="1"/>
  <c r="AF24" i="1"/>
  <c r="AG24" i="1"/>
  <c r="AH24" i="1"/>
  <c r="AI24" i="1"/>
  <c r="CW24" i="1" s="1"/>
  <c r="V24" i="1" s="1"/>
  <c r="AJ24" i="1"/>
  <c r="CX24" i="1" s="1"/>
  <c r="W24" i="1" s="1"/>
  <c r="CQ24" i="1"/>
  <c r="CU24" i="1"/>
  <c r="CV24" i="1"/>
  <c r="U24" i="1" s="1"/>
  <c r="FR24" i="1"/>
  <c r="GL24" i="1"/>
  <c r="GO24" i="1"/>
  <c r="GP24" i="1"/>
  <c r="GV24" i="1"/>
  <c r="GX24" i="1"/>
  <c r="C25" i="1"/>
  <c r="D25" i="1"/>
  <c r="I25" i="1"/>
  <c r="W25" i="1"/>
  <c r="AC25" i="1"/>
  <c r="AE25" i="1"/>
  <c r="AF25" i="1"/>
  <c r="AG25" i="1"/>
  <c r="CU25" i="1" s="1"/>
  <c r="T25" i="1" s="1"/>
  <c r="AH25" i="1"/>
  <c r="CV25" i="1" s="1"/>
  <c r="U25" i="1" s="1"/>
  <c r="AI25" i="1"/>
  <c r="AJ25" i="1"/>
  <c r="CS25" i="1"/>
  <c r="R25" i="1" s="1"/>
  <c r="CT25" i="1"/>
  <c r="S25" i="1" s="1"/>
  <c r="K26" i="5" s="1"/>
  <c r="CW25" i="1"/>
  <c r="V25" i="1" s="1"/>
  <c r="CX25" i="1"/>
  <c r="FR25" i="1"/>
  <c r="GL25" i="1"/>
  <c r="GO25" i="1"/>
  <c r="GP25" i="1"/>
  <c r="GV25" i="1"/>
  <c r="GX25" i="1"/>
  <c r="AC26" i="1"/>
  <c r="CQ26" i="1" s="1"/>
  <c r="AE26" i="1"/>
  <c r="AD26" i="1" s="1"/>
  <c r="AF26" i="1"/>
  <c r="CT26" i="1" s="1"/>
  <c r="AG26" i="1"/>
  <c r="AH26" i="1"/>
  <c r="CV26" i="1" s="1"/>
  <c r="AI26" i="1"/>
  <c r="CW26" i="1" s="1"/>
  <c r="AJ26" i="1"/>
  <c r="CX26" i="1" s="1"/>
  <c r="CS26" i="1"/>
  <c r="CU26" i="1"/>
  <c r="FR26" i="1"/>
  <c r="GL26" i="1"/>
  <c r="GO26" i="1"/>
  <c r="GP26" i="1"/>
  <c r="GV26" i="1"/>
  <c r="AC27" i="1"/>
  <c r="AE27" i="1"/>
  <c r="AF27" i="1"/>
  <c r="AG27" i="1"/>
  <c r="CU27" i="1" s="1"/>
  <c r="AH27" i="1"/>
  <c r="CV27" i="1" s="1"/>
  <c r="AI27" i="1"/>
  <c r="CW27" i="1" s="1"/>
  <c r="AJ27" i="1"/>
  <c r="CQ27" i="1"/>
  <c r="CT27" i="1"/>
  <c r="CX27" i="1"/>
  <c r="FR27" i="1"/>
  <c r="GL27" i="1"/>
  <c r="GO27" i="1"/>
  <c r="GP27" i="1"/>
  <c r="GV27" i="1"/>
  <c r="C28" i="1"/>
  <c r="D28" i="1"/>
  <c r="I28" i="1"/>
  <c r="AC28" i="1"/>
  <c r="AE28" i="1"/>
  <c r="AD28" i="1" s="1"/>
  <c r="AF28" i="1"/>
  <c r="CT28" i="1" s="1"/>
  <c r="S28" i="1" s="1"/>
  <c r="AG28" i="1"/>
  <c r="CU28" i="1" s="1"/>
  <c r="T28" i="1" s="1"/>
  <c r="AH28" i="1"/>
  <c r="AI28" i="1"/>
  <c r="AJ28" i="1"/>
  <c r="CX28" i="1" s="1"/>
  <c r="W28" i="1" s="1"/>
  <c r="CQ28" i="1"/>
  <c r="CV28" i="1"/>
  <c r="U28" i="1" s="1"/>
  <c r="CW28" i="1"/>
  <c r="FR28" i="1"/>
  <c r="GL28" i="1"/>
  <c r="GO28" i="1"/>
  <c r="GP28" i="1"/>
  <c r="GV28" i="1"/>
  <c r="C29" i="1"/>
  <c r="D29" i="1"/>
  <c r="I29" i="1"/>
  <c r="AC29" i="1"/>
  <c r="AD29" i="1"/>
  <c r="CR29" i="1" s="1"/>
  <c r="Q29" i="1" s="1"/>
  <c r="AE29" i="1"/>
  <c r="CS29" i="1" s="1"/>
  <c r="R29" i="1" s="1"/>
  <c r="AF29" i="1"/>
  <c r="AG29" i="1"/>
  <c r="CU29" i="1" s="1"/>
  <c r="T29" i="1" s="1"/>
  <c r="AH29" i="1"/>
  <c r="CV29" i="1" s="1"/>
  <c r="U29" i="1" s="1"/>
  <c r="AI29" i="1"/>
  <c r="AJ29" i="1"/>
  <c r="CT29" i="1"/>
  <c r="S29" i="1" s="1"/>
  <c r="K36" i="5" s="1"/>
  <c r="CW29" i="1"/>
  <c r="V29" i="1" s="1"/>
  <c r="CX29" i="1"/>
  <c r="W29" i="1" s="1"/>
  <c r="FR29" i="1"/>
  <c r="GK29" i="1"/>
  <c r="GL29" i="1"/>
  <c r="GO29" i="1"/>
  <c r="GP29" i="1"/>
  <c r="GV29" i="1"/>
  <c r="GX29" i="1" s="1"/>
  <c r="AC30" i="1"/>
  <c r="CQ30" i="1" s="1"/>
  <c r="AE30" i="1"/>
  <c r="AF30" i="1"/>
  <c r="CT30" i="1" s="1"/>
  <c r="AG30" i="1"/>
  <c r="CU30" i="1" s="1"/>
  <c r="AH30" i="1"/>
  <c r="AI30" i="1"/>
  <c r="AJ30" i="1"/>
  <c r="CX30" i="1" s="1"/>
  <c r="CV30" i="1"/>
  <c r="CW30" i="1"/>
  <c r="FR30" i="1"/>
  <c r="GL30" i="1"/>
  <c r="GO30" i="1"/>
  <c r="GP30" i="1"/>
  <c r="GV30" i="1"/>
  <c r="I31" i="1"/>
  <c r="E40" i="5" s="1"/>
  <c r="AC31" i="1"/>
  <c r="AE31" i="1"/>
  <c r="AF31" i="1"/>
  <c r="AG31" i="1"/>
  <c r="AH31" i="1"/>
  <c r="AI31" i="1"/>
  <c r="CW31" i="1" s="1"/>
  <c r="V31" i="1" s="1"/>
  <c r="AJ31" i="1"/>
  <c r="CX31" i="1" s="1"/>
  <c r="W31" i="1" s="1"/>
  <c r="CQ31" i="1"/>
  <c r="P31" i="1" s="1"/>
  <c r="CU31" i="1"/>
  <c r="T31" i="1" s="1"/>
  <c r="CV31" i="1"/>
  <c r="U31" i="1" s="1"/>
  <c r="FR31" i="1"/>
  <c r="GL31" i="1"/>
  <c r="GO31" i="1"/>
  <c r="GP31" i="1"/>
  <c r="GV31" i="1"/>
  <c r="GX31" i="1" s="1"/>
  <c r="C32" i="1"/>
  <c r="D32" i="1"/>
  <c r="I32" i="1"/>
  <c r="AC32" i="1"/>
  <c r="CQ32" i="1" s="1"/>
  <c r="AE32" i="1"/>
  <c r="AD32" i="1" s="1"/>
  <c r="CR32" i="1" s="1"/>
  <c r="AF32" i="1"/>
  <c r="AG32" i="1"/>
  <c r="CU32" i="1" s="1"/>
  <c r="AH32" i="1"/>
  <c r="AI32" i="1"/>
  <c r="AJ32" i="1"/>
  <c r="CX32" i="1" s="1"/>
  <c r="CS32" i="1"/>
  <c r="CV32" i="1"/>
  <c r="CW32" i="1"/>
  <c r="FR32" i="1"/>
  <c r="GL32" i="1"/>
  <c r="GO32" i="1"/>
  <c r="GP32" i="1"/>
  <c r="GV32" i="1"/>
  <c r="GX32" i="1" s="1"/>
  <c r="C33" i="1"/>
  <c r="D33" i="1"/>
  <c r="I33" i="1"/>
  <c r="AC33" i="1"/>
  <c r="AE33" i="1"/>
  <c r="AF33" i="1"/>
  <c r="AG33" i="1"/>
  <c r="CU33" i="1" s="1"/>
  <c r="AH33" i="1"/>
  <c r="AI33" i="1"/>
  <c r="AJ33" i="1"/>
  <c r="CX33" i="1" s="1"/>
  <c r="CS33" i="1"/>
  <c r="CV33" i="1"/>
  <c r="CW33" i="1"/>
  <c r="FR33" i="1"/>
  <c r="GL33" i="1"/>
  <c r="GO33" i="1"/>
  <c r="GP33" i="1"/>
  <c r="GV33" i="1"/>
  <c r="I34" i="1"/>
  <c r="AC34" i="1"/>
  <c r="AE34" i="1"/>
  <c r="AD34" i="1" s="1"/>
  <c r="AF34" i="1"/>
  <c r="AG34" i="1"/>
  <c r="CU34" i="1" s="1"/>
  <c r="T34" i="1" s="1"/>
  <c r="AH34" i="1"/>
  <c r="AI34" i="1"/>
  <c r="AJ34" i="1"/>
  <c r="CX34" i="1" s="1"/>
  <c r="CQ34" i="1"/>
  <c r="CR34" i="1"/>
  <c r="CS34" i="1"/>
  <c r="CV34" i="1"/>
  <c r="CW34" i="1"/>
  <c r="FR34" i="1"/>
  <c r="GL34" i="1"/>
  <c r="GO34" i="1"/>
  <c r="GP34" i="1"/>
  <c r="GV34" i="1"/>
  <c r="AC35" i="1"/>
  <c r="AD35" i="1"/>
  <c r="CR35" i="1" s="1"/>
  <c r="AE35" i="1"/>
  <c r="AF35" i="1"/>
  <c r="AG35" i="1"/>
  <c r="CU35" i="1" s="1"/>
  <c r="AH35" i="1"/>
  <c r="CV35" i="1" s="1"/>
  <c r="AI35" i="1"/>
  <c r="AJ35" i="1"/>
  <c r="CX35" i="1" s="1"/>
  <c r="CQ35" i="1"/>
  <c r="CS35" i="1"/>
  <c r="CW35" i="1"/>
  <c r="FR35" i="1"/>
  <c r="GL35" i="1"/>
  <c r="GO35" i="1"/>
  <c r="GP35" i="1"/>
  <c r="GV35" i="1"/>
  <c r="C36" i="1"/>
  <c r="D36" i="1"/>
  <c r="I36" i="1"/>
  <c r="AC36" i="1"/>
  <c r="AE36" i="1"/>
  <c r="AD36" i="1" s="1"/>
  <c r="CR36" i="1" s="1"/>
  <c r="AF36" i="1"/>
  <c r="CT36" i="1" s="1"/>
  <c r="AG36" i="1"/>
  <c r="CU36" i="1" s="1"/>
  <c r="AH36" i="1"/>
  <c r="AI36" i="1"/>
  <c r="CW36" i="1" s="1"/>
  <c r="AJ36" i="1"/>
  <c r="CX36" i="1" s="1"/>
  <c r="CV36" i="1"/>
  <c r="FR36" i="1"/>
  <c r="GL36" i="1"/>
  <c r="GO36" i="1"/>
  <c r="GP36" i="1"/>
  <c r="GV36" i="1"/>
  <c r="GX36" i="1" s="1"/>
  <c r="C37" i="1"/>
  <c r="D37" i="1"/>
  <c r="I37" i="1"/>
  <c r="P37" i="1"/>
  <c r="K57" i="5" s="1"/>
  <c r="AC37" i="1"/>
  <c r="H57" i="5" s="1"/>
  <c r="AE37" i="1"/>
  <c r="H56" i="5" s="1"/>
  <c r="R56" i="5" s="1"/>
  <c r="AF37" i="1"/>
  <c r="AG37" i="1"/>
  <c r="CU37" i="1" s="1"/>
  <c r="T37" i="1" s="1"/>
  <c r="AH37" i="1"/>
  <c r="CV37" i="1" s="1"/>
  <c r="AI37" i="1"/>
  <c r="AJ37" i="1"/>
  <c r="CX37" i="1" s="1"/>
  <c r="W37" i="1" s="1"/>
  <c r="CQ37" i="1"/>
  <c r="CW37" i="1"/>
  <c r="V37" i="1" s="1"/>
  <c r="FR37" i="1"/>
  <c r="GL37" i="1"/>
  <c r="GO37" i="1"/>
  <c r="GP37" i="1"/>
  <c r="GV37" i="1"/>
  <c r="GX37" i="1" s="1"/>
  <c r="AC38" i="1"/>
  <c r="AE38" i="1"/>
  <c r="AD38" i="1" s="1"/>
  <c r="CR38" i="1" s="1"/>
  <c r="AF38" i="1"/>
  <c r="AG38" i="1"/>
  <c r="CU38" i="1" s="1"/>
  <c r="AH38" i="1"/>
  <c r="AI38" i="1"/>
  <c r="CW38" i="1" s="1"/>
  <c r="AJ38" i="1"/>
  <c r="CT38" i="1"/>
  <c r="CV38" i="1"/>
  <c r="CX38" i="1"/>
  <c r="FR38" i="1"/>
  <c r="GL38" i="1"/>
  <c r="GO38" i="1"/>
  <c r="GP38" i="1"/>
  <c r="GV38" i="1"/>
  <c r="I39" i="1"/>
  <c r="E61" i="5" s="1"/>
  <c r="AC39" i="1"/>
  <c r="H61" i="5" s="1"/>
  <c r="W61" i="5" s="1"/>
  <c r="AD39" i="1"/>
  <c r="CR39" i="1" s="1"/>
  <c r="Q39" i="1" s="1"/>
  <c r="AE39" i="1"/>
  <c r="AF39" i="1"/>
  <c r="AG39" i="1"/>
  <c r="CU39" i="1" s="1"/>
  <c r="T39" i="1" s="1"/>
  <c r="AH39" i="1"/>
  <c r="CV39" i="1" s="1"/>
  <c r="U39" i="1" s="1"/>
  <c r="AI39" i="1"/>
  <c r="AJ39" i="1"/>
  <c r="CX39" i="1" s="1"/>
  <c r="W39" i="1" s="1"/>
  <c r="CQ39" i="1"/>
  <c r="P39" i="1" s="1"/>
  <c r="CS39" i="1"/>
  <c r="R39" i="1" s="1"/>
  <c r="GK39" i="1" s="1"/>
  <c r="CW39" i="1"/>
  <c r="V39" i="1" s="1"/>
  <c r="FR39" i="1"/>
  <c r="GL39" i="1"/>
  <c r="GO39" i="1"/>
  <c r="GP39" i="1"/>
  <c r="GV39" i="1"/>
  <c r="GX39" i="1" s="1"/>
  <c r="AC40" i="1"/>
  <c r="AE40" i="1"/>
  <c r="AF40" i="1"/>
  <c r="AG40" i="1"/>
  <c r="CU40" i="1" s="1"/>
  <c r="AH40" i="1"/>
  <c r="AI40" i="1"/>
  <c r="CW40" i="1" s="1"/>
  <c r="AJ40" i="1"/>
  <c r="CT40" i="1"/>
  <c r="CV40" i="1"/>
  <c r="CX40" i="1"/>
  <c r="FR40" i="1"/>
  <c r="GL40" i="1"/>
  <c r="GO40" i="1"/>
  <c r="GP40" i="1"/>
  <c r="GV40" i="1"/>
  <c r="I41" i="1"/>
  <c r="E62" i="5" s="1"/>
  <c r="AC41" i="1"/>
  <c r="H62" i="5" s="1"/>
  <c r="W62" i="5" s="1"/>
  <c r="AD41" i="1"/>
  <c r="AE41" i="1"/>
  <c r="AF41" i="1"/>
  <c r="AG41" i="1"/>
  <c r="CU41" i="1" s="1"/>
  <c r="T41" i="1" s="1"/>
  <c r="AH41" i="1"/>
  <c r="CV41" i="1" s="1"/>
  <c r="U41" i="1" s="1"/>
  <c r="AI41" i="1"/>
  <c r="AJ41" i="1"/>
  <c r="CX41" i="1" s="1"/>
  <c r="W41" i="1" s="1"/>
  <c r="CQ41" i="1"/>
  <c r="P41" i="1" s="1"/>
  <c r="CS41" i="1"/>
  <c r="R41" i="1" s="1"/>
  <c r="GK41" i="1" s="1"/>
  <c r="CW41" i="1"/>
  <c r="V41" i="1" s="1"/>
  <c r="FR41" i="1"/>
  <c r="GL41" i="1"/>
  <c r="GO41" i="1"/>
  <c r="GP41" i="1"/>
  <c r="GV41" i="1"/>
  <c r="GX41" i="1" s="1"/>
  <c r="AC42" i="1"/>
  <c r="AE42" i="1"/>
  <c r="AD42" i="1" s="1"/>
  <c r="CR42" i="1" s="1"/>
  <c r="AF42" i="1"/>
  <c r="CT42" i="1" s="1"/>
  <c r="AG42" i="1"/>
  <c r="CU42" i="1" s="1"/>
  <c r="AH42" i="1"/>
  <c r="AI42" i="1"/>
  <c r="CW42" i="1" s="1"/>
  <c r="AJ42" i="1"/>
  <c r="CX42" i="1" s="1"/>
  <c r="CV42" i="1"/>
  <c r="FR42" i="1"/>
  <c r="GL42" i="1"/>
  <c r="GO42" i="1"/>
  <c r="GP42" i="1"/>
  <c r="GV42" i="1"/>
  <c r="I43" i="1"/>
  <c r="E63" i="5" s="1"/>
  <c r="AC43" i="1"/>
  <c r="AD43" i="1"/>
  <c r="CR43" i="1" s="1"/>
  <c r="AE43" i="1"/>
  <c r="AF43" i="1"/>
  <c r="AG43" i="1"/>
  <c r="AH43" i="1"/>
  <c r="CV43" i="1" s="1"/>
  <c r="AI43" i="1"/>
  <c r="CW43" i="1" s="1"/>
  <c r="V43" i="1" s="1"/>
  <c r="AJ43" i="1"/>
  <c r="CX43" i="1" s="1"/>
  <c r="CQ43" i="1"/>
  <c r="CS43" i="1"/>
  <c r="R43" i="1" s="1"/>
  <c r="GK43" i="1" s="1"/>
  <c r="CU43" i="1"/>
  <c r="T43" i="1" s="1"/>
  <c r="FR43" i="1"/>
  <c r="GL43" i="1"/>
  <c r="GO43" i="1"/>
  <c r="GP43" i="1"/>
  <c r="GV43" i="1"/>
  <c r="GX43" i="1"/>
  <c r="C44" i="1"/>
  <c r="D44" i="1"/>
  <c r="I44" i="1"/>
  <c r="W44" i="1"/>
  <c r="AC44" i="1"/>
  <c r="AE44" i="1"/>
  <c r="AD44" i="1" s="1"/>
  <c r="CR44" i="1" s="1"/>
  <c r="AF44" i="1"/>
  <c r="AG44" i="1"/>
  <c r="CU44" i="1" s="1"/>
  <c r="T44" i="1" s="1"/>
  <c r="AH44" i="1"/>
  <c r="AI44" i="1"/>
  <c r="CW44" i="1" s="1"/>
  <c r="AJ44" i="1"/>
  <c r="CX44" i="1" s="1"/>
  <c r="CT44" i="1"/>
  <c r="S44" i="1" s="1"/>
  <c r="CV44" i="1"/>
  <c r="U44" i="1" s="1"/>
  <c r="FR44" i="1"/>
  <c r="GL44" i="1"/>
  <c r="GO44" i="1"/>
  <c r="GP44" i="1"/>
  <c r="GV44" i="1"/>
  <c r="GX44" i="1" s="1"/>
  <c r="C45" i="1"/>
  <c r="D45" i="1"/>
  <c r="I45" i="1"/>
  <c r="AC45" i="1"/>
  <c r="H70" i="5" s="1"/>
  <c r="AD45" i="1"/>
  <c r="H68" i="5" s="1"/>
  <c r="AE45" i="1"/>
  <c r="H69" i="5" s="1"/>
  <c r="R69" i="5" s="1"/>
  <c r="AF45" i="1"/>
  <c r="AG45" i="1"/>
  <c r="CU45" i="1" s="1"/>
  <c r="T45" i="1" s="1"/>
  <c r="AH45" i="1"/>
  <c r="CV45" i="1" s="1"/>
  <c r="U45" i="1" s="1"/>
  <c r="AI45" i="1"/>
  <c r="AJ45" i="1"/>
  <c r="CX45" i="1" s="1"/>
  <c r="W45" i="1" s="1"/>
  <c r="CQ45" i="1"/>
  <c r="P45" i="1" s="1"/>
  <c r="K70" i="5" s="1"/>
  <c r="CS45" i="1"/>
  <c r="R45" i="1" s="1"/>
  <c r="CW45" i="1"/>
  <c r="V45" i="1" s="1"/>
  <c r="FR45" i="1"/>
  <c r="GL45" i="1"/>
  <c r="GO45" i="1"/>
  <c r="GP45" i="1"/>
  <c r="GV45" i="1"/>
  <c r="GX45" i="1" s="1"/>
  <c r="C46" i="1"/>
  <c r="D46" i="1"/>
  <c r="I46" i="1"/>
  <c r="AC46" i="1"/>
  <c r="AE46" i="1"/>
  <c r="AF46" i="1"/>
  <c r="CT46" i="1" s="1"/>
  <c r="S46" i="1" s="1"/>
  <c r="AG46" i="1"/>
  <c r="CU46" i="1" s="1"/>
  <c r="T46" i="1" s="1"/>
  <c r="AH46" i="1"/>
  <c r="AI46" i="1"/>
  <c r="CW46" i="1" s="1"/>
  <c r="AJ46" i="1"/>
  <c r="CX46" i="1" s="1"/>
  <c r="W46" i="1" s="1"/>
  <c r="CV46" i="1"/>
  <c r="FR46" i="1"/>
  <c r="GL46" i="1"/>
  <c r="GO46" i="1"/>
  <c r="GP46" i="1"/>
  <c r="GV46" i="1"/>
  <c r="GX46" i="1" s="1"/>
  <c r="C47" i="1"/>
  <c r="D47" i="1"/>
  <c r="I47" i="1"/>
  <c r="E75" i="5" s="1"/>
  <c r="AC47" i="1"/>
  <c r="H79" i="5" s="1"/>
  <c r="AD47" i="1"/>
  <c r="AE47" i="1"/>
  <c r="AF47" i="1"/>
  <c r="AG47" i="1"/>
  <c r="CU47" i="1" s="1"/>
  <c r="AH47" i="1"/>
  <c r="CV47" i="1" s="1"/>
  <c r="U47" i="1" s="1"/>
  <c r="AI47" i="1"/>
  <c r="AJ47" i="1"/>
  <c r="CX47" i="1" s="1"/>
  <c r="W47" i="1" s="1"/>
  <c r="CQ47" i="1"/>
  <c r="P47" i="1" s="1"/>
  <c r="K79" i="5" s="1"/>
  <c r="CS47" i="1"/>
  <c r="R47" i="1" s="1"/>
  <c r="CW47" i="1"/>
  <c r="V47" i="1" s="1"/>
  <c r="FR47" i="1"/>
  <c r="GL47" i="1"/>
  <c r="GO47" i="1"/>
  <c r="GP47" i="1"/>
  <c r="GV47" i="1"/>
  <c r="C48" i="1"/>
  <c r="D48" i="1"/>
  <c r="I48" i="1"/>
  <c r="AC48" i="1"/>
  <c r="AE48" i="1"/>
  <c r="AD48" i="1" s="1"/>
  <c r="CR48" i="1" s="1"/>
  <c r="Q48" i="1" s="1"/>
  <c r="AF48" i="1"/>
  <c r="AG48" i="1"/>
  <c r="CU48" i="1" s="1"/>
  <c r="T48" i="1" s="1"/>
  <c r="AH48" i="1"/>
  <c r="AI48" i="1"/>
  <c r="CW48" i="1" s="1"/>
  <c r="V48" i="1" s="1"/>
  <c r="AJ48" i="1"/>
  <c r="CT48" i="1"/>
  <c r="S48" i="1" s="1"/>
  <c r="CV48" i="1"/>
  <c r="U48" i="1" s="1"/>
  <c r="CX48" i="1"/>
  <c r="W48" i="1" s="1"/>
  <c r="FR48" i="1"/>
  <c r="GL48" i="1"/>
  <c r="GO48" i="1"/>
  <c r="GP48" i="1"/>
  <c r="GV48" i="1"/>
  <c r="GX48" i="1" s="1"/>
  <c r="C49" i="1"/>
  <c r="D49" i="1"/>
  <c r="I49" i="1"/>
  <c r="I51" i="1" s="1"/>
  <c r="AC49" i="1"/>
  <c r="AD49" i="1"/>
  <c r="AE49" i="1"/>
  <c r="AF49" i="1"/>
  <c r="CT49" i="1" s="1"/>
  <c r="AG49" i="1"/>
  <c r="AH49" i="1"/>
  <c r="CV49" i="1" s="1"/>
  <c r="U49" i="1" s="1"/>
  <c r="AI49" i="1"/>
  <c r="CW49" i="1" s="1"/>
  <c r="V49" i="1" s="1"/>
  <c r="AJ49" i="1"/>
  <c r="CX49" i="1" s="1"/>
  <c r="CQ49" i="1"/>
  <c r="P49" i="1" s="1"/>
  <c r="CS49" i="1"/>
  <c r="R49" i="1" s="1"/>
  <c r="GK49" i="1" s="1"/>
  <c r="CU49" i="1"/>
  <c r="T49" i="1" s="1"/>
  <c r="FR49" i="1"/>
  <c r="GL49" i="1"/>
  <c r="GO49" i="1"/>
  <c r="GP49" i="1"/>
  <c r="GV49" i="1"/>
  <c r="GX49" i="1"/>
  <c r="I50" i="1"/>
  <c r="AC50" i="1"/>
  <c r="AE50" i="1"/>
  <c r="AD50" i="1" s="1"/>
  <c r="CR50" i="1" s="1"/>
  <c r="Q50" i="1" s="1"/>
  <c r="AF50" i="1"/>
  <c r="CT50" i="1" s="1"/>
  <c r="S50" i="1" s="1"/>
  <c r="AG50" i="1"/>
  <c r="CU50" i="1" s="1"/>
  <c r="AH50" i="1"/>
  <c r="AI50" i="1"/>
  <c r="CW50" i="1" s="1"/>
  <c r="V50" i="1" s="1"/>
  <c r="AJ50" i="1"/>
  <c r="CV50" i="1"/>
  <c r="CX50" i="1"/>
  <c r="W50" i="1" s="1"/>
  <c r="FR50" i="1"/>
  <c r="GL50" i="1"/>
  <c r="GO50" i="1"/>
  <c r="GP50" i="1"/>
  <c r="GV50" i="1"/>
  <c r="GX50" i="1" s="1"/>
  <c r="AC51" i="1"/>
  <c r="AD51" i="1"/>
  <c r="CR51" i="1" s="1"/>
  <c r="AE51" i="1"/>
  <c r="AF51" i="1"/>
  <c r="CT51" i="1" s="1"/>
  <c r="AG51" i="1"/>
  <c r="CU51" i="1" s="1"/>
  <c r="AH51" i="1"/>
  <c r="CV51" i="1" s="1"/>
  <c r="AI51" i="1"/>
  <c r="AJ51" i="1"/>
  <c r="CX51" i="1" s="1"/>
  <c r="CQ51" i="1"/>
  <c r="CS51" i="1"/>
  <c r="R51" i="1" s="1"/>
  <c r="GK51" i="1" s="1"/>
  <c r="CW51" i="1"/>
  <c r="FR51" i="1"/>
  <c r="GL51" i="1"/>
  <c r="GO51" i="1"/>
  <c r="GP51" i="1"/>
  <c r="GV51" i="1"/>
  <c r="C52" i="1"/>
  <c r="D52" i="1"/>
  <c r="I52" i="1"/>
  <c r="U52" i="1"/>
  <c r="AC52" i="1"/>
  <c r="AE52" i="1"/>
  <c r="AF52" i="1"/>
  <c r="AG52" i="1"/>
  <c r="CU52" i="1" s="1"/>
  <c r="T52" i="1" s="1"/>
  <c r="AH52" i="1"/>
  <c r="AI52" i="1"/>
  <c r="CW52" i="1" s="1"/>
  <c r="V52" i="1" s="1"/>
  <c r="AJ52" i="1"/>
  <c r="CX52" i="1" s="1"/>
  <c r="W52" i="1" s="1"/>
  <c r="CT52" i="1"/>
  <c r="S52" i="1" s="1"/>
  <c r="CV52" i="1"/>
  <c r="FR52" i="1"/>
  <c r="GL52" i="1"/>
  <c r="GO52" i="1"/>
  <c r="GP52" i="1"/>
  <c r="GV52" i="1"/>
  <c r="GX52" i="1" s="1"/>
  <c r="C53" i="1"/>
  <c r="D53" i="1"/>
  <c r="I53" i="1"/>
  <c r="AC53" i="1"/>
  <c r="AD53" i="1"/>
  <c r="CR53" i="1" s="1"/>
  <c r="Q53" i="1" s="1"/>
  <c r="AE53" i="1"/>
  <c r="AF53" i="1"/>
  <c r="CT53" i="1" s="1"/>
  <c r="S53" i="1" s="1"/>
  <c r="AG53" i="1"/>
  <c r="CU53" i="1" s="1"/>
  <c r="T53" i="1" s="1"/>
  <c r="AH53" i="1"/>
  <c r="CV53" i="1" s="1"/>
  <c r="U53" i="1" s="1"/>
  <c r="AI53" i="1"/>
  <c r="AJ53" i="1"/>
  <c r="CX53" i="1" s="1"/>
  <c r="W53" i="1" s="1"/>
  <c r="CQ53" i="1"/>
  <c r="P53" i="1" s="1"/>
  <c r="CP53" i="1" s="1"/>
  <c r="O53" i="1" s="1"/>
  <c r="CS53" i="1"/>
  <c r="R53" i="1" s="1"/>
  <c r="GK53" i="1" s="1"/>
  <c r="CW53" i="1"/>
  <c r="V53" i="1" s="1"/>
  <c r="CY53" i="1"/>
  <c r="X53" i="1" s="1"/>
  <c r="FR53" i="1"/>
  <c r="GL53" i="1"/>
  <c r="GO53" i="1"/>
  <c r="GP53" i="1"/>
  <c r="GV53" i="1"/>
  <c r="GX53" i="1" s="1"/>
  <c r="I54" i="1"/>
  <c r="U54" i="1"/>
  <c r="AC54" i="1"/>
  <c r="AE54" i="1"/>
  <c r="AF54" i="1"/>
  <c r="AG54" i="1"/>
  <c r="CU54" i="1" s="1"/>
  <c r="T54" i="1" s="1"/>
  <c r="AH54" i="1"/>
  <c r="CV54" i="1" s="1"/>
  <c r="AI54" i="1"/>
  <c r="CW54" i="1" s="1"/>
  <c r="AJ54" i="1"/>
  <c r="CQ54" i="1"/>
  <c r="P54" i="1" s="1"/>
  <c r="CT54" i="1"/>
  <c r="S54" i="1" s="1"/>
  <c r="CX54" i="1"/>
  <c r="W54" i="1" s="1"/>
  <c r="FR54" i="1"/>
  <c r="GL54" i="1"/>
  <c r="GO54" i="1"/>
  <c r="GP54" i="1"/>
  <c r="GV54" i="1"/>
  <c r="GX54" i="1" s="1"/>
  <c r="I55" i="1"/>
  <c r="AC55" i="1"/>
  <c r="AE55" i="1"/>
  <c r="AF55" i="1"/>
  <c r="CT55" i="1" s="1"/>
  <c r="S55" i="1" s="1"/>
  <c r="AG55" i="1"/>
  <c r="AH55" i="1"/>
  <c r="CV55" i="1" s="1"/>
  <c r="AI55" i="1"/>
  <c r="CW55" i="1" s="1"/>
  <c r="V55" i="1" s="1"/>
  <c r="AJ55" i="1"/>
  <c r="CX55" i="1" s="1"/>
  <c r="W55" i="1" s="1"/>
  <c r="CQ55" i="1"/>
  <c r="CU55" i="1"/>
  <c r="T55" i="1" s="1"/>
  <c r="FR55" i="1"/>
  <c r="GL55" i="1"/>
  <c r="GO55" i="1"/>
  <c r="GP55" i="1"/>
  <c r="GV55" i="1"/>
  <c r="GX55" i="1"/>
  <c r="C56" i="1"/>
  <c r="D56" i="1"/>
  <c r="I56" i="1"/>
  <c r="AC56" i="1"/>
  <c r="AE56" i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U56" i="1" s="1"/>
  <c r="CX56" i="1"/>
  <c r="W56" i="1" s="1"/>
  <c r="FR56" i="1"/>
  <c r="GL56" i="1"/>
  <c r="GO56" i="1"/>
  <c r="GP56" i="1"/>
  <c r="GV56" i="1"/>
  <c r="GX56" i="1" s="1"/>
  <c r="C57" i="1"/>
  <c r="D57" i="1"/>
  <c r="I57" i="1"/>
  <c r="AC57" i="1"/>
  <c r="AE57" i="1"/>
  <c r="AF57" i="1"/>
  <c r="AG57" i="1"/>
  <c r="AH57" i="1"/>
  <c r="CV57" i="1" s="1"/>
  <c r="AI57" i="1"/>
  <c r="AJ57" i="1"/>
  <c r="CX57" i="1" s="1"/>
  <c r="W57" i="1" s="1"/>
  <c r="CQ57" i="1"/>
  <c r="CU57" i="1"/>
  <c r="CW57" i="1"/>
  <c r="V57" i="1" s="1"/>
  <c r="FR57" i="1"/>
  <c r="GL57" i="1"/>
  <c r="GO57" i="1"/>
  <c r="GP57" i="1"/>
  <c r="GV57" i="1"/>
  <c r="I58" i="1"/>
  <c r="U58" i="1" s="1"/>
  <c r="AC58" i="1"/>
  <c r="AE58" i="1"/>
  <c r="AF58" i="1"/>
  <c r="CT58" i="1" s="1"/>
  <c r="S58" i="1" s="1"/>
  <c r="AG58" i="1"/>
  <c r="CU58" i="1" s="1"/>
  <c r="AH58" i="1"/>
  <c r="AI58" i="1"/>
  <c r="CW58" i="1" s="1"/>
  <c r="AJ58" i="1"/>
  <c r="CX58" i="1" s="1"/>
  <c r="W58" i="1" s="1"/>
  <c r="CV58" i="1"/>
  <c r="FR58" i="1"/>
  <c r="GL58" i="1"/>
  <c r="GO58" i="1"/>
  <c r="GP58" i="1"/>
  <c r="GV58" i="1"/>
  <c r="GX58" i="1" s="1"/>
  <c r="AC59" i="1"/>
  <c r="AE59" i="1"/>
  <c r="AD59" i="1" s="1"/>
  <c r="AF59" i="1"/>
  <c r="AG59" i="1"/>
  <c r="CU59" i="1" s="1"/>
  <c r="AH59" i="1"/>
  <c r="CV59" i="1" s="1"/>
  <c r="AI59" i="1"/>
  <c r="AJ59" i="1"/>
  <c r="CX59" i="1" s="1"/>
  <c r="CQ59" i="1"/>
  <c r="CW59" i="1"/>
  <c r="FR59" i="1"/>
  <c r="GL59" i="1"/>
  <c r="GO59" i="1"/>
  <c r="GP59" i="1"/>
  <c r="GV59" i="1"/>
  <c r="I60" i="1"/>
  <c r="AC60" i="1"/>
  <c r="AE60" i="1"/>
  <c r="AD60" i="1" s="1"/>
  <c r="CR60" i="1" s="1"/>
  <c r="Q60" i="1" s="1"/>
  <c r="AF60" i="1"/>
  <c r="AG60" i="1"/>
  <c r="CU60" i="1" s="1"/>
  <c r="T60" i="1" s="1"/>
  <c r="AH60" i="1"/>
  <c r="AI60" i="1"/>
  <c r="CW60" i="1" s="1"/>
  <c r="V60" i="1" s="1"/>
  <c r="AJ60" i="1"/>
  <c r="CT60" i="1"/>
  <c r="S60" i="1" s="1"/>
  <c r="CV60" i="1"/>
  <c r="U60" i="1" s="1"/>
  <c r="CX60" i="1"/>
  <c r="W60" i="1" s="1"/>
  <c r="FR60" i="1"/>
  <c r="GL60" i="1"/>
  <c r="GO60" i="1"/>
  <c r="GP60" i="1"/>
  <c r="GV60" i="1"/>
  <c r="GX60" i="1" s="1"/>
  <c r="AC61" i="1"/>
  <c r="AD61" i="1"/>
  <c r="CR61" i="1" s="1"/>
  <c r="AE61" i="1"/>
  <c r="AF61" i="1"/>
  <c r="AG61" i="1"/>
  <c r="CU61" i="1" s="1"/>
  <c r="AH61" i="1"/>
  <c r="CV61" i="1" s="1"/>
  <c r="AI61" i="1"/>
  <c r="AJ61" i="1"/>
  <c r="CX61" i="1" s="1"/>
  <c r="CQ61" i="1"/>
  <c r="CS61" i="1"/>
  <c r="CW61" i="1"/>
  <c r="FR61" i="1"/>
  <c r="GL61" i="1"/>
  <c r="GO61" i="1"/>
  <c r="GP61" i="1"/>
  <c r="GV61" i="1"/>
  <c r="I62" i="1"/>
  <c r="AC62" i="1"/>
  <c r="AE62" i="1"/>
  <c r="AF62" i="1"/>
  <c r="AG62" i="1"/>
  <c r="CU62" i="1" s="1"/>
  <c r="T62" i="1" s="1"/>
  <c r="AH62" i="1"/>
  <c r="AI62" i="1"/>
  <c r="CW62" i="1" s="1"/>
  <c r="AJ62" i="1"/>
  <c r="CX62" i="1" s="1"/>
  <c r="CT62" i="1"/>
  <c r="S62" i="1" s="1"/>
  <c r="CV62" i="1"/>
  <c r="FR62" i="1"/>
  <c r="GL62" i="1"/>
  <c r="GO62" i="1"/>
  <c r="GP62" i="1"/>
  <c r="GV62" i="1"/>
  <c r="AC63" i="1"/>
  <c r="AE63" i="1"/>
  <c r="AD63" i="1" s="1"/>
  <c r="AF63" i="1"/>
  <c r="AG63" i="1"/>
  <c r="CU63" i="1" s="1"/>
  <c r="AH63" i="1"/>
  <c r="CV63" i="1" s="1"/>
  <c r="AI63" i="1"/>
  <c r="AJ63" i="1"/>
  <c r="CX63" i="1" s="1"/>
  <c r="CQ63" i="1"/>
  <c r="CS63" i="1"/>
  <c r="CW63" i="1"/>
  <c r="FR63" i="1"/>
  <c r="GL63" i="1"/>
  <c r="GO63" i="1"/>
  <c r="GP63" i="1"/>
  <c r="GV63" i="1"/>
  <c r="C64" i="1"/>
  <c r="D64" i="1"/>
  <c r="I64" i="1"/>
  <c r="I68" i="1" s="1"/>
  <c r="U64" i="1"/>
  <c r="AC64" i="1"/>
  <c r="AE64" i="1"/>
  <c r="AF64" i="1"/>
  <c r="AG64" i="1"/>
  <c r="CU64" i="1" s="1"/>
  <c r="T64" i="1" s="1"/>
  <c r="AH64" i="1"/>
  <c r="AI64" i="1"/>
  <c r="CW64" i="1" s="1"/>
  <c r="AJ64" i="1"/>
  <c r="CX64" i="1" s="1"/>
  <c r="W64" i="1" s="1"/>
  <c r="CT64" i="1"/>
  <c r="S64" i="1" s="1"/>
  <c r="CV64" i="1"/>
  <c r="FR64" i="1"/>
  <c r="GL64" i="1"/>
  <c r="GO64" i="1"/>
  <c r="GP64" i="1"/>
  <c r="GV64" i="1"/>
  <c r="C65" i="1"/>
  <c r="D65" i="1"/>
  <c r="I65" i="1"/>
  <c r="AC65" i="1"/>
  <c r="AD65" i="1"/>
  <c r="AE65" i="1"/>
  <c r="H101" i="5" s="1"/>
  <c r="R101" i="5" s="1"/>
  <c r="AF65" i="1"/>
  <c r="AG65" i="1"/>
  <c r="CU65" i="1" s="1"/>
  <c r="AH65" i="1"/>
  <c r="CV65" i="1" s="1"/>
  <c r="AI65" i="1"/>
  <c r="CW65" i="1" s="1"/>
  <c r="AJ65" i="1"/>
  <c r="CX65" i="1" s="1"/>
  <c r="CQ65" i="1"/>
  <c r="CS65" i="1"/>
  <c r="R65" i="1" s="1"/>
  <c r="FR65" i="1"/>
  <c r="GL65" i="1"/>
  <c r="GO65" i="1"/>
  <c r="GP65" i="1"/>
  <c r="GV65" i="1"/>
  <c r="AC66" i="1"/>
  <c r="AE66" i="1"/>
  <c r="AF66" i="1"/>
  <c r="CT66" i="1" s="1"/>
  <c r="AG66" i="1"/>
  <c r="CU66" i="1" s="1"/>
  <c r="AH66" i="1"/>
  <c r="AI66" i="1"/>
  <c r="CW66" i="1" s="1"/>
  <c r="AJ66" i="1"/>
  <c r="CX66" i="1" s="1"/>
  <c r="CV66" i="1"/>
  <c r="FR66" i="1"/>
  <c r="GL66" i="1"/>
  <c r="GO66" i="1"/>
  <c r="GP66" i="1"/>
  <c r="GV66" i="1"/>
  <c r="AC67" i="1"/>
  <c r="AD67" i="1"/>
  <c r="AE67" i="1"/>
  <c r="AF67" i="1"/>
  <c r="AG67" i="1"/>
  <c r="CU67" i="1" s="1"/>
  <c r="AH67" i="1"/>
  <c r="CV67" i="1" s="1"/>
  <c r="AI67" i="1"/>
  <c r="AJ67" i="1"/>
  <c r="CX67" i="1" s="1"/>
  <c r="CQ67" i="1"/>
  <c r="CS67" i="1"/>
  <c r="CW67" i="1"/>
  <c r="FR67" i="1"/>
  <c r="GL67" i="1"/>
  <c r="GO67" i="1"/>
  <c r="GP67" i="1"/>
  <c r="GV67" i="1"/>
  <c r="AC68" i="1"/>
  <c r="AE68" i="1"/>
  <c r="AD68" i="1" s="1"/>
  <c r="CR68" i="1" s="1"/>
  <c r="AF68" i="1"/>
  <c r="CT68" i="1" s="1"/>
  <c r="AG68" i="1"/>
  <c r="CU68" i="1" s="1"/>
  <c r="AH68" i="1"/>
  <c r="CV68" i="1" s="1"/>
  <c r="U68" i="1" s="1"/>
  <c r="AI68" i="1"/>
  <c r="CW68" i="1" s="1"/>
  <c r="AJ68" i="1"/>
  <c r="CX68" i="1"/>
  <c r="W68" i="1" s="1"/>
  <c r="FR68" i="1"/>
  <c r="GL68" i="1"/>
  <c r="GO68" i="1"/>
  <c r="GP68" i="1"/>
  <c r="GV68" i="1"/>
  <c r="AC69" i="1"/>
  <c r="AE69" i="1"/>
  <c r="AF69" i="1"/>
  <c r="AG69" i="1"/>
  <c r="AH69" i="1"/>
  <c r="CV69" i="1" s="1"/>
  <c r="AI69" i="1"/>
  <c r="CW69" i="1" s="1"/>
  <c r="AJ69" i="1"/>
  <c r="CX69" i="1" s="1"/>
  <c r="CQ69" i="1"/>
  <c r="CU69" i="1"/>
  <c r="FR69" i="1"/>
  <c r="GL69" i="1"/>
  <c r="GO69" i="1"/>
  <c r="GP69" i="1"/>
  <c r="GV69" i="1"/>
  <c r="C70" i="1"/>
  <c r="D70" i="1"/>
  <c r="I70" i="1"/>
  <c r="AC70" i="1"/>
  <c r="AE70" i="1"/>
  <c r="AD70" i="1" s="1"/>
  <c r="CR70" i="1" s="1"/>
  <c r="Q70" i="1" s="1"/>
  <c r="AF70" i="1"/>
  <c r="CT70" i="1" s="1"/>
  <c r="S70" i="1" s="1"/>
  <c r="AG70" i="1"/>
  <c r="CU70" i="1" s="1"/>
  <c r="T70" i="1" s="1"/>
  <c r="AH70" i="1"/>
  <c r="AI70" i="1"/>
  <c r="CW70" i="1" s="1"/>
  <c r="V70" i="1" s="1"/>
  <c r="AJ70" i="1"/>
  <c r="CX70" i="1" s="1"/>
  <c r="W70" i="1" s="1"/>
  <c r="CV70" i="1"/>
  <c r="U70" i="1" s="1"/>
  <c r="FR70" i="1"/>
  <c r="GL70" i="1"/>
  <c r="GO70" i="1"/>
  <c r="GP70" i="1"/>
  <c r="GV70" i="1"/>
  <c r="GX70" i="1" s="1"/>
  <c r="C71" i="1"/>
  <c r="D71" i="1"/>
  <c r="I71" i="1"/>
  <c r="AC71" i="1"/>
  <c r="AD71" i="1"/>
  <c r="AE71" i="1"/>
  <c r="AF71" i="1"/>
  <c r="AG71" i="1"/>
  <c r="CU71" i="1" s="1"/>
  <c r="T71" i="1" s="1"/>
  <c r="AH71" i="1"/>
  <c r="CV71" i="1" s="1"/>
  <c r="U71" i="1" s="1"/>
  <c r="AI71" i="1"/>
  <c r="CW71" i="1" s="1"/>
  <c r="V71" i="1" s="1"/>
  <c r="AJ71" i="1"/>
  <c r="CX71" i="1" s="1"/>
  <c r="W71" i="1" s="1"/>
  <c r="CQ71" i="1"/>
  <c r="P71" i="1" s="1"/>
  <c r="CS71" i="1"/>
  <c r="R71" i="1" s="1"/>
  <c r="FR71" i="1"/>
  <c r="GL71" i="1"/>
  <c r="GO71" i="1"/>
  <c r="GP71" i="1"/>
  <c r="GV71" i="1"/>
  <c r="GX71" i="1"/>
  <c r="I72" i="1"/>
  <c r="AC72" i="1"/>
  <c r="AE72" i="1"/>
  <c r="AF72" i="1"/>
  <c r="AG72" i="1"/>
  <c r="CU72" i="1" s="1"/>
  <c r="T72" i="1" s="1"/>
  <c r="AH72" i="1"/>
  <c r="AI72" i="1"/>
  <c r="CW72" i="1" s="1"/>
  <c r="V72" i="1" s="1"/>
  <c r="AJ72" i="1"/>
  <c r="CT72" i="1"/>
  <c r="S72" i="1" s="1"/>
  <c r="CV72" i="1"/>
  <c r="U72" i="1" s="1"/>
  <c r="CX72" i="1"/>
  <c r="W72" i="1" s="1"/>
  <c r="FR72" i="1"/>
  <c r="GL72" i="1"/>
  <c r="GO72" i="1"/>
  <c r="GP72" i="1"/>
  <c r="GV72" i="1"/>
  <c r="GX72" i="1"/>
  <c r="I73" i="1"/>
  <c r="E116" i="5" s="1"/>
  <c r="AC73" i="1"/>
  <c r="AE73" i="1"/>
  <c r="AD73" i="1" s="1"/>
  <c r="CR73" i="1" s="1"/>
  <c r="AF73" i="1"/>
  <c r="AG73" i="1"/>
  <c r="CU73" i="1" s="1"/>
  <c r="AH73" i="1"/>
  <c r="AI73" i="1"/>
  <c r="CW73" i="1" s="1"/>
  <c r="AJ73" i="1"/>
  <c r="CX73" i="1" s="1"/>
  <c r="W73" i="1" s="1"/>
  <c r="CV73" i="1"/>
  <c r="FR73" i="1"/>
  <c r="GL73" i="1"/>
  <c r="GO73" i="1"/>
  <c r="GP73" i="1"/>
  <c r="GV73" i="1"/>
  <c r="I74" i="1"/>
  <c r="GX74" i="1" s="1"/>
  <c r="AC74" i="1"/>
  <c r="AE74" i="1"/>
  <c r="AF74" i="1"/>
  <c r="CT74" i="1" s="1"/>
  <c r="AG74" i="1"/>
  <c r="AH74" i="1"/>
  <c r="CV74" i="1" s="1"/>
  <c r="AI74" i="1"/>
  <c r="AJ74" i="1"/>
  <c r="CX74" i="1" s="1"/>
  <c r="CQ74" i="1"/>
  <c r="CU74" i="1"/>
  <c r="CW74" i="1"/>
  <c r="FR74" i="1"/>
  <c r="GL74" i="1"/>
  <c r="GO74" i="1"/>
  <c r="GP74" i="1"/>
  <c r="GV74" i="1"/>
  <c r="I75" i="1"/>
  <c r="E117" i="5" s="1"/>
  <c r="AC75" i="1"/>
  <c r="AE75" i="1"/>
  <c r="AF75" i="1"/>
  <c r="AG75" i="1"/>
  <c r="CU75" i="1" s="1"/>
  <c r="T75" i="1" s="1"/>
  <c r="AH75" i="1"/>
  <c r="AI75" i="1"/>
  <c r="CW75" i="1" s="1"/>
  <c r="AJ75" i="1"/>
  <c r="CX75" i="1" s="1"/>
  <c r="W75" i="1" s="1"/>
  <c r="CT75" i="1"/>
  <c r="S75" i="1" s="1"/>
  <c r="CV75" i="1"/>
  <c r="U75" i="1" s="1"/>
  <c r="FR75" i="1"/>
  <c r="GL75" i="1"/>
  <c r="GO75" i="1"/>
  <c r="GP75" i="1"/>
  <c r="GV75" i="1"/>
  <c r="GX75" i="1" s="1"/>
  <c r="I76" i="1"/>
  <c r="GX76" i="1" s="1"/>
  <c r="AC76" i="1"/>
  <c r="AE76" i="1"/>
  <c r="AD76" i="1" s="1"/>
  <c r="AF76" i="1"/>
  <c r="CT76" i="1" s="1"/>
  <c r="AG76" i="1"/>
  <c r="CU76" i="1" s="1"/>
  <c r="T76" i="1" s="1"/>
  <c r="AH76" i="1"/>
  <c r="CV76" i="1" s="1"/>
  <c r="AI76" i="1"/>
  <c r="AJ76" i="1"/>
  <c r="CX76" i="1" s="1"/>
  <c r="CQ76" i="1"/>
  <c r="P76" i="1" s="1"/>
  <c r="CW76" i="1"/>
  <c r="FR76" i="1"/>
  <c r="GL76" i="1"/>
  <c r="GO76" i="1"/>
  <c r="GP76" i="1"/>
  <c r="GV76" i="1"/>
  <c r="I77" i="1"/>
  <c r="E118" i="5" s="1"/>
  <c r="AC77" i="1"/>
  <c r="AE77" i="1"/>
  <c r="AD77" i="1" s="1"/>
  <c r="CR77" i="1" s="1"/>
  <c r="AF77" i="1"/>
  <c r="AG77" i="1"/>
  <c r="CU77" i="1" s="1"/>
  <c r="AH77" i="1"/>
  <c r="AI77" i="1"/>
  <c r="CW77" i="1" s="1"/>
  <c r="AJ77" i="1"/>
  <c r="CX77" i="1" s="1"/>
  <c r="W77" i="1" s="1"/>
  <c r="CV77" i="1"/>
  <c r="FR77" i="1"/>
  <c r="GL77" i="1"/>
  <c r="GO77" i="1"/>
  <c r="GP77" i="1"/>
  <c r="GV77" i="1"/>
  <c r="I78" i="1"/>
  <c r="V78" i="1" s="1"/>
  <c r="AC78" i="1"/>
  <c r="AE78" i="1"/>
  <c r="AF78" i="1"/>
  <c r="CT78" i="1" s="1"/>
  <c r="AG78" i="1"/>
  <c r="AH78" i="1"/>
  <c r="CV78" i="1" s="1"/>
  <c r="AI78" i="1"/>
  <c r="AJ78" i="1"/>
  <c r="CX78" i="1" s="1"/>
  <c r="CQ78" i="1"/>
  <c r="CU78" i="1"/>
  <c r="CW78" i="1"/>
  <c r="FR78" i="1"/>
  <c r="GL78" i="1"/>
  <c r="GO78" i="1"/>
  <c r="GP78" i="1"/>
  <c r="GV78" i="1"/>
  <c r="I79" i="1"/>
  <c r="E119" i="5" s="1"/>
  <c r="AC79" i="1"/>
  <c r="AE79" i="1"/>
  <c r="AF79" i="1"/>
  <c r="AG79" i="1"/>
  <c r="CU79" i="1" s="1"/>
  <c r="T79" i="1" s="1"/>
  <c r="AH79" i="1"/>
  <c r="AI79" i="1"/>
  <c r="CW79" i="1" s="1"/>
  <c r="V79" i="1" s="1"/>
  <c r="AJ79" i="1"/>
  <c r="CT79" i="1"/>
  <c r="S79" i="1" s="1"/>
  <c r="CV79" i="1"/>
  <c r="U79" i="1" s="1"/>
  <c r="CX79" i="1"/>
  <c r="W79" i="1" s="1"/>
  <c r="FR79" i="1"/>
  <c r="GL79" i="1"/>
  <c r="GO79" i="1"/>
  <c r="GP79" i="1"/>
  <c r="GV79" i="1"/>
  <c r="GX79" i="1" s="1"/>
  <c r="I80" i="1"/>
  <c r="AC80" i="1"/>
  <c r="CQ80" i="1" s="1"/>
  <c r="P80" i="1" s="1"/>
  <c r="AE80" i="1"/>
  <c r="AD80" i="1" s="1"/>
  <c r="CR80" i="1" s="1"/>
  <c r="Q80" i="1" s="1"/>
  <c r="AF80" i="1"/>
  <c r="CT80" i="1" s="1"/>
  <c r="S80" i="1" s="1"/>
  <c r="AG80" i="1"/>
  <c r="AH80" i="1"/>
  <c r="CV80" i="1" s="1"/>
  <c r="AI80" i="1"/>
  <c r="AJ80" i="1"/>
  <c r="CX80" i="1" s="1"/>
  <c r="W80" i="1" s="1"/>
  <c r="CU80" i="1"/>
  <c r="T80" i="1" s="1"/>
  <c r="CW80" i="1"/>
  <c r="V80" i="1" s="1"/>
  <c r="FR80" i="1"/>
  <c r="GL80" i="1"/>
  <c r="GO80" i="1"/>
  <c r="GP80" i="1"/>
  <c r="GV80" i="1"/>
  <c r="GX80" i="1"/>
  <c r="I81" i="1"/>
  <c r="E120" i="5" s="1"/>
  <c r="AC81" i="1"/>
  <c r="AE81" i="1"/>
  <c r="AF81" i="1"/>
  <c r="AG81" i="1"/>
  <c r="CU81" i="1" s="1"/>
  <c r="AH81" i="1"/>
  <c r="AI81" i="1"/>
  <c r="CW81" i="1" s="1"/>
  <c r="V81" i="1" s="1"/>
  <c r="AJ81" i="1"/>
  <c r="CX81" i="1" s="1"/>
  <c r="CV81" i="1"/>
  <c r="U81" i="1" s="1"/>
  <c r="FR81" i="1"/>
  <c r="GL81" i="1"/>
  <c r="GO81" i="1"/>
  <c r="GP81" i="1"/>
  <c r="GV81" i="1"/>
  <c r="GX81" i="1"/>
  <c r="C82" i="1"/>
  <c r="D82" i="1"/>
  <c r="AC82" i="1"/>
  <c r="CQ82" i="1" s="1"/>
  <c r="P82" i="1" s="1"/>
  <c r="AE82" i="1"/>
  <c r="AF82" i="1"/>
  <c r="AG82" i="1"/>
  <c r="AH82" i="1"/>
  <c r="CV82" i="1" s="1"/>
  <c r="U82" i="1" s="1"/>
  <c r="AI82" i="1"/>
  <c r="CW82" i="1" s="1"/>
  <c r="V82" i="1" s="1"/>
  <c r="AJ82" i="1"/>
  <c r="CT82" i="1"/>
  <c r="S82" i="1" s="1"/>
  <c r="CU82" i="1"/>
  <c r="T82" i="1" s="1"/>
  <c r="CX82" i="1"/>
  <c r="W82" i="1" s="1"/>
  <c r="FR82" i="1"/>
  <c r="GL82" i="1"/>
  <c r="BZ111" i="1" s="1"/>
  <c r="BZ22" i="1" s="1"/>
  <c r="GO82" i="1"/>
  <c r="GP82" i="1"/>
  <c r="GV82" i="1"/>
  <c r="GX82" i="1" s="1"/>
  <c r="C83" i="1"/>
  <c r="D83" i="1"/>
  <c r="AC83" i="1"/>
  <c r="H126" i="5" s="1"/>
  <c r="AE83" i="1"/>
  <c r="AF83" i="1"/>
  <c r="AG83" i="1"/>
  <c r="CU83" i="1" s="1"/>
  <c r="T83" i="1" s="1"/>
  <c r="AH83" i="1"/>
  <c r="AI83" i="1"/>
  <c r="CW83" i="1" s="1"/>
  <c r="V83" i="1" s="1"/>
  <c r="AJ83" i="1"/>
  <c r="CT83" i="1"/>
  <c r="S83" i="1" s="1"/>
  <c r="K123" i="5" s="1"/>
  <c r="CV83" i="1"/>
  <c r="U83" i="1" s="1"/>
  <c r="CX83" i="1"/>
  <c r="W83" i="1" s="1"/>
  <c r="FR83" i="1"/>
  <c r="GL83" i="1"/>
  <c r="GO83" i="1"/>
  <c r="GP83" i="1"/>
  <c r="GV83" i="1"/>
  <c r="GX83" i="1" s="1"/>
  <c r="I84" i="1"/>
  <c r="AC84" i="1"/>
  <c r="CQ84" i="1" s="1"/>
  <c r="AE84" i="1"/>
  <c r="AF84" i="1"/>
  <c r="CT84" i="1" s="1"/>
  <c r="AG84" i="1"/>
  <c r="AH84" i="1"/>
  <c r="AI84" i="1"/>
  <c r="CW84" i="1" s="1"/>
  <c r="AJ84" i="1"/>
  <c r="CX84" i="1" s="1"/>
  <c r="CU84" i="1"/>
  <c r="CV84" i="1"/>
  <c r="FR84" i="1"/>
  <c r="GL84" i="1"/>
  <c r="GO84" i="1"/>
  <c r="GP84" i="1"/>
  <c r="GV84" i="1"/>
  <c r="I85" i="1"/>
  <c r="E130" i="5" s="1"/>
  <c r="AC85" i="1"/>
  <c r="AE85" i="1"/>
  <c r="AF85" i="1"/>
  <c r="AG85" i="1"/>
  <c r="CU85" i="1" s="1"/>
  <c r="T85" i="1" s="1"/>
  <c r="AH85" i="1"/>
  <c r="CV85" i="1" s="1"/>
  <c r="U85" i="1" s="1"/>
  <c r="AI85" i="1"/>
  <c r="CW85" i="1" s="1"/>
  <c r="AJ85" i="1"/>
  <c r="CT85" i="1"/>
  <c r="S85" i="1" s="1"/>
  <c r="CX85" i="1"/>
  <c r="FR85" i="1"/>
  <c r="GL85" i="1"/>
  <c r="GO85" i="1"/>
  <c r="GP85" i="1"/>
  <c r="GV85" i="1"/>
  <c r="GX85" i="1" s="1"/>
  <c r="I86" i="1"/>
  <c r="AC86" i="1"/>
  <c r="AD86" i="1"/>
  <c r="CR86" i="1" s="1"/>
  <c r="Q86" i="1" s="1"/>
  <c r="AE86" i="1"/>
  <c r="AF86" i="1"/>
  <c r="CT86" i="1" s="1"/>
  <c r="S86" i="1" s="1"/>
  <c r="AG86" i="1"/>
  <c r="CU86" i="1" s="1"/>
  <c r="T86" i="1" s="1"/>
  <c r="AH86" i="1"/>
  <c r="CV86" i="1" s="1"/>
  <c r="U86" i="1" s="1"/>
  <c r="AI86" i="1"/>
  <c r="AJ86" i="1"/>
  <c r="CQ86" i="1"/>
  <c r="P86" i="1" s="1"/>
  <c r="CS86" i="1"/>
  <c r="R86" i="1" s="1"/>
  <c r="GK86" i="1" s="1"/>
  <c r="CW86" i="1"/>
  <c r="V86" i="1" s="1"/>
  <c r="CX86" i="1"/>
  <c r="W86" i="1" s="1"/>
  <c r="FR86" i="1"/>
  <c r="GL86" i="1"/>
  <c r="GO86" i="1"/>
  <c r="GP86" i="1"/>
  <c r="GV86" i="1"/>
  <c r="GX86" i="1"/>
  <c r="I87" i="1"/>
  <c r="AC87" i="1"/>
  <c r="AE87" i="1"/>
  <c r="AD87" i="1" s="1"/>
  <c r="CR87" i="1" s="1"/>
  <c r="AF87" i="1"/>
  <c r="AG87" i="1"/>
  <c r="CU87" i="1" s="1"/>
  <c r="AH87" i="1"/>
  <c r="AI87" i="1"/>
  <c r="AJ87" i="1"/>
  <c r="CX87" i="1" s="1"/>
  <c r="W87" i="1" s="1"/>
  <c r="CS87" i="1"/>
  <c r="CV87" i="1"/>
  <c r="CW87" i="1"/>
  <c r="FR87" i="1"/>
  <c r="GL87" i="1"/>
  <c r="GO87" i="1"/>
  <c r="GP87" i="1"/>
  <c r="GV87" i="1"/>
  <c r="C88" i="1"/>
  <c r="D88" i="1"/>
  <c r="I88" i="1"/>
  <c r="AC88" i="1"/>
  <c r="AD88" i="1"/>
  <c r="CR88" i="1" s="1"/>
  <c r="Q88" i="1" s="1"/>
  <c r="AE88" i="1"/>
  <c r="AF88" i="1"/>
  <c r="CT88" i="1" s="1"/>
  <c r="S88" i="1" s="1"/>
  <c r="CZ88" i="1" s="1"/>
  <c r="Y88" i="1" s="1"/>
  <c r="AG88" i="1"/>
  <c r="CU88" i="1" s="1"/>
  <c r="T88" i="1" s="1"/>
  <c r="AH88" i="1"/>
  <c r="CV88" i="1" s="1"/>
  <c r="U88" i="1" s="1"/>
  <c r="AI88" i="1"/>
  <c r="AJ88" i="1"/>
  <c r="CQ88" i="1"/>
  <c r="P88" i="1" s="1"/>
  <c r="CS88" i="1"/>
  <c r="R88" i="1" s="1"/>
  <c r="GK88" i="1" s="1"/>
  <c r="CW88" i="1"/>
  <c r="V88" i="1" s="1"/>
  <c r="CX88" i="1"/>
  <c r="W88" i="1" s="1"/>
  <c r="FR88" i="1"/>
  <c r="GL88" i="1"/>
  <c r="GO88" i="1"/>
  <c r="GP88" i="1"/>
  <c r="GV88" i="1"/>
  <c r="GX88" i="1"/>
  <c r="C89" i="1"/>
  <c r="D89" i="1"/>
  <c r="I89" i="1"/>
  <c r="AC89" i="1"/>
  <c r="H138" i="5" s="1"/>
  <c r="AE89" i="1"/>
  <c r="H137" i="5" s="1"/>
  <c r="R137" i="5" s="1"/>
  <c r="AF89" i="1"/>
  <c r="AG89" i="1"/>
  <c r="AH89" i="1"/>
  <c r="AI89" i="1"/>
  <c r="CW89" i="1" s="1"/>
  <c r="V89" i="1" s="1"/>
  <c r="AJ89" i="1"/>
  <c r="CX89" i="1" s="1"/>
  <c r="W89" i="1" s="1"/>
  <c r="CU89" i="1"/>
  <c r="T89" i="1" s="1"/>
  <c r="CV89" i="1"/>
  <c r="U89" i="1" s="1"/>
  <c r="FR89" i="1"/>
  <c r="GL89" i="1"/>
  <c r="GO89" i="1"/>
  <c r="GP89" i="1"/>
  <c r="GV89" i="1"/>
  <c r="GX89" i="1" s="1"/>
  <c r="C90" i="1"/>
  <c r="D90" i="1"/>
  <c r="AC90" i="1"/>
  <c r="CQ90" i="1" s="1"/>
  <c r="P90" i="1" s="1"/>
  <c r="AE90" i="1"/>
  <c r="AF90" i="1"/>
  <c r="CT90" i="1" s="1"/>
  <c r="AG90" i="1"/>
  <c r="AH90" i="1"/>
  <c r="AI90" i="1"/>
  <c r="CW90" i="1" s="1"/>
  <c r="V90" i="1" s="1"/>
  <c r="AJ90" i="1"/>
  <c r="CX90" i="1" s="1"/>
  <c r="CU90" i="1"/>
  <c r="T90" i="1" s="1"/>
  <c r="CV90" i="1"/>
  <c r="FR90" i="1"/>
  <c r="GL90" i="1"/>
  <c r="GO90" i="1"/>
  <c r="GP90" i="1"/>
  <c r="GV90" i="1"/>
  <c r="C91" i="1"/>
  <c r="D91" i="1"/>
  <c r="AC91" i="1"/>
  <c r="H148" i="5" s="1"/>
  <c r="AE91" i="1"/>
  <c r="AF91" i="1"/>
  <c r="AG91" i="1"/>
  <c r="CU91" i="1" s="1"/>
  <c r="T91" i="1" s="1"/>
  <c r="AH91" i="1"/>
  <c r="AI91" i="1"/>
  <c r="AJ91" i="1"/>
  <c r="CX91" i="1" s="1"/>
  <c r="W91" i="1" s="1"/>
  <c r="CV91" i="1"/>
  <c r="U91" i="1" s="1"/>
  <c r="CW91" i="1"/>
  <c r="V91" i="1" s="1"/>
  <c r="FR91" i="1"/>
  <c r="GL91" i="1"/>
  <c r="GO91" i="1"/>
  <c r="GP91" i="1"/>
  <c r="GV91" i="1"/>
  <c r="GX91" i="1"/>
  <c r="I92" i="1"/>
  <c r="V92" i="1" s="1"/>
  <c r="AC92" i="1"/>
  <c r="AE92" i="1"/>
  <c r="AD92" i="1" s="1"/>
  <c r="CR92" i="1" s="1"/>
  <c r="AF92" i="1"/>
  <c r="CT92" i="1" s="1"/>
  <c r="AG92" i="1"/>
  <c r="CU92" i="1" s="1"/>
  <c r="AH92" i="1"/>
  <c r="AI92" i="1"/>
  <c r="AJ92" i="1"/>
  <c r="CX92" i="1" s="1"/>
  <c r="CQ92" i="1"/>
  <c r="CV92" i="1"/>
  <c r="CW92" i="1"/>
  <c r="FR92" i="1"/>
  <c r="GL92" i="1"/>
  <c r="GO92" i="1"/>
  <c r="GP92" i="1"/>
  <c r="GV92" i="1"/>
  <c r="I93" i="1"/>
  <c r="AC93" i="1"/>
  <c r="CQ93" i="1" s="1"/>
  <c r="AE93" i="1"/>
  <c r="AF93" i="1"/>
  <c r="AG93" i="1"/>
  <c r="AH93" i="1"/>
  <c r="CV93" i="1" s="1"/>
  <c r="AI93" i="1"/>
  <c r="CW93" i="1" s="1"/>
  <c r="AJ93" i="1"/>
  <c r="CT93" i="1"/>
  <c r="CU93" i="1"/>
  <c r="CX93" i="1"/>
  <c r="W93" i="1" s="1"/>
  <c r="FR93" i="1"/>
  <c r="GL93" i="1"/>
  <c r="GO93" i="1"/>
  <c r="GP93" i="1"/>
  <c r="GV93" i="1"/>
  <c r="AC94" i="1"/>
  <c r="AE94" i="1"/>
  <c r="AD94" i="1" s="1"/>
  <c r="CR94" i="1" s="1"/>
  <c r="AF94" i="1"/>
  <c r="CT94" i="1" s="1"/>
  <c r="AG94" i="1"/>
  <c r="CU94" i="1" s="1"/>
  <c r="AH94" i="1"/>
  <c r="CV94" i="1" s="1"/>
  <c r="AI94" i="1"/>
  <c r="AJ94" i="1"/>
  <c r="CX94" i="1" s="1"/>
  <c r="CQ94" i="1"/>
  <c r="CW94" i="1"/>
  <c r="FR94" i="1"/>
  <c r="GL94" i="1"/>
  <c r="GO94" i="1"/>
  <c r="GP94" i="1"/>
  <c r="GV94" i="1"/>
  <c r="I95" i="1"/>
  <c r="AC95" i="1"/>
  <c r="AE95" i="1"/>
  <c r="AD95" i="1" s="1"/>
  <c r="CR95" i="1" s="1"/>
  <c r="AF95" i="1"/>
  <c r="AG95" i="1"/>
  <c r="CU95" i="1" s="1"/>
  <c r="T95" i="1" s="1"/>
  <c r="AH95" i="1"/>
  <c r="CV95" i="1" s="1"/>
  <c r="AI95" i="1"/>
  <c r="AJ95" i="1"/>
  <c r="CS95" i="1"/>
  <c r="R95" i="1" s="1"/>
  <c r="GK95" i="1" s="1"/>
  <c r="CT95" i="1"/>
  <c r="CW95" i="1"/>
  <c r="CX95" i="1"/>
  <c r="FR95" i="1"/>
  <c r="GL95" i="1"/>
  <c r="GO95" i="1"/>
  <c r="GP95" i="1"/>
  <c r="GV95" i="1"/>
  <c r="C96" i="1"/>
  <c r="D96" i="1"/>
  <c r="AC96" i="1"/>
  <c r="AE96" i="1"/>
  <c r="AF96" i="1"/>
  <c r="CT96" i="1" s="1"/>
  <c r="S96" i="1" s="1"/>
  <c r="AG96" i="1"/>
  <c r="CU96" i="1" s="1"/>
  <c r="T96" i="1" s="1"/>
  <c r="AH96" i="1"/>
  <c r="AI96" i="1"/>
  <c r="CW96" i="1" s="1"/>
  <c r="V96" i="1" s="1"/>
  <c r="AJ96" i="1"/>
  <c r="CQ96" i="1"/>
  <c r="P96" i="1" s="1"/>
  <c r="CV96" i="1"/>
  <c r="U96" i="1" s="1"/>
  <c r="CX96" i="1"/>
  <c r="W96" i="1" s="1"/>
  <c r="FR96" i="1"/>
  <c r="GL96" i="1"/>
  <c r="GO96" i="1"/>
  <c r="GP96" i="1"/>
  <c r="GV96" i="1"/>
  <c r="GX96" i="1" s="1"/>
  <c r="C97" i="1"/>
  <c r="D97" i="1"/>
  <c r="AC97" i="1"/>
  <c r="H159" i="5" s="1"/>
  <c r="AE97" i="1"/>
  <c r="AF97" i="1"/>
  <c r="AG97" i="1"/>
  <c r="CU97" i="1" s="1"/>
  <c r="T97" i="1" s="1"/>
  <c r="AH97" i="1"/>
  <c r="AI97" i="1"/>
  <c r="AJ97" i="1"/>
  <c r="CS97" i="1"/>
  <c r="R97" i="1" s="1"/>
  <c r="CV97" i="1"/>
  <c r="U97" i="1" s="1"/>
  <c r="CW97" i="1"/>
  <c r="V97" i="1" s="1"/>
  <c r="CX97" i="1"/>
  <c r="W97" i="1" s="1"/>
  <c r="FR97" i="1"/>
  <c r="GL97" i="1"/>
  <c r="GO97" i="1"/>
  <c r="GP97" i="1"/>
  <c r="GV97" i="1"/>
  <c r="GX97" i="1"/>
  <c r="I98" i="1"/>
  <c r="AC98" i="1"/>
  <c r="CQ98" i="1" s="1"/>
  <c r="AE98" i="1"/>
  <c r="AD98" i="1" s="1"/>
  <c r="CR98" i="1" s="1"/>
  <c r="AF98" i="1"/>
  <c r="AG98" i="1"/>
  <c r="CU98" i="1" s="1"/>
  <c r="T98" i="1" s="1"/>
  <c r="AH98" i="1"/>
  <c r="AI98" i="1"/>
  <c r="CW98" i="1" s="1"/>
  <c r="AJ98" i="1"/>
  <c r="CX98" i="1" s="1"/>
  <c r="CT98" i="1"/>
  <c r="S98" i="1" s="1"/>
  <c r="CV98" i="1"/>
  <c r="FR98" i="1"/>
  <c r="GL98" i="1"/>
  <c r="GO98" i="1"/>
  <c r="GP98" i="1"/>
  <c r="GV98" i="1"/>
  <c r="I99" i="1"/>
  <c r="E163" i="5" s="1"/>
  <c r="AC99" i="1"/>
  <c r="AE99" i="1"/>
  <c r="AD99" i="1" s="1"/>
  <c r="CR99" i="1" s="1"/>
  <c r="AF99" i="1"/>
  <c r="AG99" i="1"/>
  <c r="CU99" i="1" s="1"/>
  <c r="T99" i="1" s="1"/>
  <c r="AH99" i="1"/>
  <c r="CV99" i="1" s="1"/>
  <c r="AI99" i="1"/>
  <c r="AJ99" i="1"/>
  <c r="CX99" i="1" s="1"/>
  <c r="W99" i="1" s="1"/>
  <c r="CW99" i="1"/>
  <c r="V99" i="1" s="1"/>
  <c r="FR99" i="1"/>
  <c r="GL99" i="1"/>
  <c r="GO99" i="1"/>
  <c r="GP99" i="1"/>
  <c r="GV99" i="1"/>
  <c r="AC100" i="1"/>
  <c r="AE100" i="1"/>
  <c r="CS100" i="1" s="1"/>
  <c r="R100" i="1" s="1"/>
  <c r="GK100" i="1" s="1"/>
  <c r="AF100" i="1"/>
  <c r="CT100" i="1" s="1"/>
  <c r="S100" i="1" s="1"/>
  <c r="AG100" i="1"/>
  <c r="CU100" i="1" s="1"/>
  <c r="T100" i="1" s="1"/>
  <c r="AH100" i="1"/>
  <c r="CV100" i="1" s="1"/>
  <c r="U100" i="1" s="1"/>
  <c r="AI100" i="1"/>
  <c r="CW100" i="1" s="1"/>
  <c r="V100" i="1" s="1"/>
  <c r="AJ100" i="1"/>
  <c r="CX100" i="1"/>
  <c r="W100" i="1" s="1"/>
  <c r="FR100" i="1"/>
  <c r="GL100" i="1"/>
  <c r="GO100" i="1"/>
  <c r="GP100" i="1"/>
  <c r="GV100" i="1"/>
  <c r="GX100" i="1" s="1"/>
  <c r="AC101" i="1"/>
  <c r="AE101" i="1"/>
  <c r="AD101" i="1" s="1"/>
  <c r="CR101" i="1" s="1"/>
  <c r="Q101" i="1" s="1"/>
  <c r="AF101" i="1"/>
  <c r="AG101" i="1"/>
  <c r="AH101" i="1"/>
  <c r="CV101" i="1" s="1"/>
  <c r="U101" i="1" s="1"/>
  <c r="AI101" i="1"/>
  <c r="CW101" i="1" s="1"/>
  <c r="V101" i="1" s="1"/>
  <c r="AJ101" i="1"/>
  <c r="CX101" i="1" s="1"/>
  <c r="W101" i="1" s="1"/>
  <c r="CQ101" i="1"/>
  <c r="P101" i="1" s="1"/>
  <c r="CU101" i="1"/>
  <c r="T101" i="1" s="1"/>
  <c r="FR101" i="1"/>
  <c r="GL101" i="1"/>
  <c r="GO101" i="1"/>
  <c r="GP101" i="1"/>
  <c r="GV101" i="1"/>
  <c r="GX101" i="1"/>
  <c r="I102" i="1"/>
  <c r="AC102" i="1"/>
  <c r="CQ102" i="1" s="1"/>
  <c r="AE102" i="1"/>
  <c r="AD102" i="1" s="1"/>
  <c r="CR102" i="1" s="1"/>
  <c r="AF102" i="1"/>
  <c r="AG102" i="1"/>
  <c r="CU102" i="1" s="1"/>
  <c r="T102" i="1" s="1"/>
  <c r="AH102" i="1"/>
  <c r="AI102" i="1"/>
  <c r="CW102" i="1" s="1"/>
  <c r="AJ102" i="1"/>
  <c r="CX102" i="1" s="1"/>
  <c r="CT102" i="1"/>
  <c r="S102" i="1" s="1"/>
  <c r="CV102" i="1"/>
  <c r="FR102" i="1"/>
  <c r="GL102" i="1"/>
  <c r="GO102" i="1"/>
  <c r="GP102" i="1"/>
  <c r="GV102" i="1"/>
  <c r="I103" i="1"/>
  <c r="E165" i="5" s="1"/>
  <c r="AC103" i="1"/>
  <c r="H165" i="5" s="1"/>
  <c r="W165" i="5" s="1"/>
  <c r="AE103" i="1"/>
  <c r="AD103" i="1" s="1"/>
  <c r="CR103" i="1" s="1"/>
  <c r="Q103" i="1" s="1"/>
  <c r="AF103" i="1"/>
  <c r="AG103" i="1"/>
  <c r="AH103" i="1"/>
  <c r="CV103" i="1" s="1"/>
  <c r="AI103" i="1"/>
  <c r="AJ103" i="1"/>
  <c r="CX103" i="1" s="1"/>
  <c r="W103" i="1" s="1"/>
  <c r="CS103" i="1"/>
  <c r="R103" i="1" s="1"/>
  <c r="GK103" i="1" s="1"/>
  <c r="CU103" i="1"/>
  <c r="T103" i="1" s="1"/>
  <c r="CW103" i="1"/>
  <c r="V103" i="1" s="1"/>
  <c r="FR103" i="1"/>
  <c r="GL103" i="1"/>
  <c r="GO103" i="1"/>
  <c r="GP103" i="1"/>
  <c r="GV103" i="1"/>
  <c r="GX103" i="1"/>
  <c r="C104" i="1"/>
  <c r="D104" i="1"/>
  <c r="I104" i="1"/>
  <c r="AC104" i="1"/>
  <c r="CQ104" i="1" s="1"/>
  <c r="P104" i="1" s="1"/>
  <c r="AE104" i="1"/>
  <c r="AD104" i="1" s="1"/>
  <c r="CR104" i="1" s="1"/>
  <c r="Q104" i="1" s="1"/>
  <c r="AF104" i="1"/>
  <c r="CT104" i="1" s="1"/>
  <c r="S104" i="1" s="1"/>
  <c r="AG104" i="1"/>
  <c r="CU104" i="1" s="1"/>
  <c r="T104" i="1" s="1"/>
  <c r="AH104" i="1"/>
  <c r="AI104" i="1"/>
  <c r="CW104" i="1" s="1"/>
  <c r="V104" i="1" s="1"/>
  <c r="AJ104" i="1"/>
  <c r="CX104" i="1" s="1"/>
  <c r="W104" i="1" s="1"/>
  <c r="CV104" i="1"/>
  <c r="U104" i="1" s="1"/>
  <c r="FR104" i="1"/>
  <c r="GL104" i="1"/>
  <c r="GO104" i="1"/>
  <c r="GP104" i="1"/>
  <c r="GV104" i="1"/>
  <c r="GX104" i="1" s="1"/>
  <c r="C105" i="1"/>
  <c r="D105" i="1"/>
  <c r="AC105" i="1"/>
  <c r="AE105" i="1"/>
  <c r="AD105" i="1" s="1"/>
  <c r="CR105" i="1" s="1"/>
  <c r="AF105" i="1"/>
  <c r="AG105" i="1"/>
  <c r="AH105" i="1"/>
  <c r="CV105" i="1" s="1"/>
  <c r="AI105" i="1"/>
  <c r="CW105" i="1" s="1"/>
  <c r="AJ105" i="1"/>
  <c r="CX105" i="1" s="1"/>
  <c r="CQ105" i="1"/>
  <c r="CU105" i="1"/>
  <c r="FR105" i="1"/>
  <c r="GL105" i="1"/>
  <c r="GO105" i="1"/>
  <c r="GP105" i="1"/>
  <c r="GV105" i="1"/>
  <c r="C106" i="1"/>
  <c r="D106" i="1"/>
  <c r="O106" i="1"/>
  <c r="P106" i="1"/>
  <c r="Q106" i="1"/>
  <c r="R106" i="1"/>
  <c r="GK106" i="1" s="1"/>
  <c r="S106" i="1"/>
  <c r="T106" i="1"/>
  <c r="U106" i="1"/>
  <c r="V106" i="1"/>
  <c r="W106" i="1"/>
  <c r="X106" i="1"/>
  <c r="Y106" i="1"/>
  <c r="AB106" i="1"/>
  <c r="CP106" i="1" s="1"/>
  <c r="AC106" i="1"/>
  <c r="AD106" i="1"/>
  <c r="AE106" i="1"/>
  <c r="AF106" i="1"/>
  <c r="AG106" i="1"/>
  <c r="AH106" i="1"/>
  <c r="AI106" i="1"/>
  <c r="AJ106" i="1"/>
  <c r="FR106" i="1"/>
  <c r="GL106" i="1"/>
  <c r="GO106" i="1"/>
  <c r="GP106" i="1"/>
  <c r="GV106" i="1"/>
  <c r="C107" i="1"/>
  <c r="D107" i="1"/>
  <c r="O107" i="1"/>
  <c r="P107" i="1"/>
  <c r="Q107" i="1"/>
  <c r="R107" i="1"/>
  <c r="GK107" i="1" s="1"/>
  <c r="S107" i="1"/>
  <c r="T107" i="1"/>
  <c r="U107" i="1"/>
  <c r="L176" i="5" s="1"/>
  <c r="Q176" i="5" s="1"/>
  <c r="V107" i="1"/>
  <c r="W107" i="1"/>
  <c r="X107" i="1"/>
  <c r="T174" i="5" s="1"/>
  <c r="Y107" i="1"/>
  <c r="V174" i="5" s="1"/>
  <c r="AB107" i="1"/>
  <c r="AC107" i="1"/>
  <c r="AD107" i="1"/>
  <c r="AE107" i="1"/>
  <c r="AF107" i="1"/>
  <c r="AG107" i="1"/>
  <c r="AH107" i="1"/>
  <c r="AI107" i="1"/>
  <c r="AJ107" i="1"/>
  <c r="FR107" i="1"/>
  <c r="GL107" i="1"/>
  <c r="GO107" i="1"/>
  <c r="GP107" i="1"/>
  <c r="GV107" i="1"/>
  <c r="O108" i="1"/>
  <c r="P108" i="1"/>
  <c r="Q108" i="1"/>
  <c r="R108" i="1"/>
  <c r="GK108" i="1" s="1"/>
  <c r="S108" i="1"/>
  <c r="T108" i="1"/>
  <c r="U108" i="1"/>
  <c r="V108" i="1"/>
  <c r="W108" i="1"/>
  <c r="X108" i="1"/>
  <c r="Y108" i="1"/>
  <c r="AB108" i="1"/>
  <c r="CP108" i="1" s="1"/>
  <c r="AC108" i="1"/>
  <c r="AD108" i="1"/>
  <c r="AE108" i="1"/>
  <c r="AF108" i="1"/>
  <c r="AG108" i="1"/>
  <c r="AH108" i="1"/>
  <c r="AI108" i="1"/>
  <c r="AJ108" i="1"/>
  <c r="FR108" i="1"/>
  <c r="GL108" i="1"/>
  <c r="GO108" i="1"/>
  <c r="GP108" i="1"/>
  <c r="GV108" i="1"/>
  <c r="O109" i="1"/>
  <c r="P109" i="1"/>
  <c r="Q109" i="1"/>
  <c r="R109" i="1"/>
  <c r="GK109" i="1" s="1"/>
  <c r="S109" i="1"/>
  <c r="T109" i="1"/>
  <c r="U109" i="1"/>
  <c r="L178" i="5" s="1"/>
  <c r="Q178" i="5" s="1"/>
  <c r="V109" i="1"/>
  <c r="W109" i="1"/>
  <c r="X109" i="1"/>
  <c r="T177" i="5" s="1"/>
  <c r="Y109" i="1"/>
  <c r="V177" i="5" s="1"/>
  <c r="AB109" i="1"/>
  <c r="AC109" i="1"/>
  <c r="AD109" i="1"/>
  <c r="AE109" i="1"/>
  <c r="AF109" i="1"/>
  <c r="AG109" i="1"/>
  <c r="AH109" i="1"/>
  <c r="AI109" i="1"/>
  <c r="AJ109" i="1"/>
  <c r="FR109" i="1"/>
  <c r="GL109" i="1"/>
  <c r="GO109" i="1"/>
  <c r="GP109" i="1"/>
  <c r="GV109" i="1"/>
  <c r="B111" i="1"/>
  <c r="B22" i="1" s="1"/>
  <c r="C111" i="1"/>
  <c r="C22" i="1" s="1"/>
  <c r="D111" i="1"/>
  <c r="D22" i="1" s="1"/>
  <c r="F111" i="1"/>
  <c r="F22" i="1" s="1"/>
  <c r="G111" i="1"/>
  <c r="BX111" i="1"/>
  <c r="BX22" i="1" s="1"/>
  <c r="CK111" i="1"/>
  <c r="CK22" i="1" s="1"/>
  <c r="CL111" i="1"/>
  <c r="CL22" i="1" s="1"/>
  <c r="FP111" i="1"/>
  <c r="FP22" i="1" s="1"/>
  <c r="GC111" i="1"/>
  <c r="GC22" i="1" s="1"/>
  <c r="GD111" i="1"/>
  <c r="GD22" i="1" s="1"/>
  <c r="B143" i="1"/>
  <c r="B18" i="1" s="1"/>
  <c r="C143" i="1"/>
  <c r="C18" i="1" s="1"/>
  <c r="D143" i="1"/>
  <c r="D18" i="1" s="1"/>
  <c r="F143" i="1"/>
  <c r="F18" i="1" s="1"/>
  <c r="G143" i="1"/>
  <c r="G18" i="1" s="1"/>
  <c r="GM108" i="1" l="1"/>
  <c r="CT99" i="1"/>
  <c r="S99" i="1" s="1"/>
  <c r="U163" i="5"/>
  <c r="S163" i="5"/>
  <c r="S95" i="1"/>
  <c r="CY95" i="1" s="1"/>
  <c r="X95" i="1" s="1"/>
  <c r="T153" i="5" s="1"/>
  <c r="GX95" i="1"/>
  <c r="H145" i="5"/>
  <c r="R145" i="5" s="1"/>
  <c r="U143" i="5"/>
  <c r="S143" i="5"/>
  <c r="CT91" i="1"/>
  <c r="S91" i="1" s="1"/>
  <c r="K145" i="5" s="1"/>
  <c r="L121" i="5"/>
  <c r="Q121" i="5" s="1"/>
  <c r="L115" i="5"/>
  <c r="CR71" i="1"/>
  <c r="Q71" i="1" s="1"/>
  <c r="K111" i="5" s="1"/>
  <c r="H111" i="5"/>
  <c r="EU111" i="1"/>
  <c r="EU22" i="1" s="1"/>
  <c r="CS105" i="1"/>
  <c r="CQ103" i="1"/>
  <c r="P103" i="1" s="1"/>
  <c r="W102" i="1"/>
  <c r="CS101" i="1"/>
  <c r="R101" i="1" s="1"/>
  <c r="GK101" i="1" s="1"/>
  <c r="GX99" i="1"/>
  <c r="Q99" i="1"/>
  <c r="U98" i="1"/>
  <c r="P98" i="1"/>
  <c r="S155" i="5"/>
  <c r="H156" i="5"/>
  <c r="R156" i="5" s="1"/>
  <c r="U155" i="5"/>
  <c r="CT97" i="1"/>
  <c r="S97" i="1" s="1"/>
  <c r="K156" i="5" s="1"/>
  <c r="W95" i="1"/>
  <c r="AD91" i="1"/>
  <c r="H147" i="5"/>
  <c r="R147" i="5" s="1"/>
  <c r="CS91" i="1"/>
  <c r="R91" i="1" s="1"/>
  <c r="AD90" i="1"/>
  <c r="CR90" i="1" s="1"/>
  <c r="Q90" i="1" s="1"/>
  <c r="CS90" i="1"/>
  <c r="R90" i="1" s="1"/>
  <c r="GK90" i="1" s="1"/>
  <c r="V87" i="1"/>
  <c r="W85" i="1"/>
  <c r="AD83" i="1"/>
  <c r="H125" i="5"/>
  <c r="R125" i="5" s="1"/>
  <c r="CS83" i="1"/>
  <c r="R83" i="1" s="1"/>
  <c r="GX77" i="1"/>
  <c r="W76" i="1"/>
  <c r="S76" i="1"/>
  <c r="W74" i="1"/>
  <c r="S74" i="1"/>
  <c r="GX73" i="1"/>
  <c r="K112" i="5"/>
  <c r="AD69" i="1"/>
  <c r="CR69" i="1" s="1"/>
  <c r="CS69" i="1"/>
  <c r="CT63" i="1"/>
  <c r="G22" i="1"/>
  <c r="A180" i="5"/>
  <c r="GK97" i="1"/>
  <c r="K158" i="5"/>
  <c r="S133" i="5"/>
  <c r="H139" i="5" s="1"/>
  <c r="H135" i="5"/>
  <c r="U133" i="5"/>
  <c r="H140" i="5" s="1"/>
  <c r="CT89" i="1"/>
  <c r="S89" i="1" s="1"/>
  <c r="K135" i="5" s="1"/>
  <c r="EG111" i="1"/>
  <c r="CP109" i="1"/>
  <c r="CT103" i="1"/>
  <c r="S103" i="1" s="1"/>
  <c r="U165" i="5"/>
  <c r="S165" i="5"/>
  <c r="GX102" i="1"/>
  <c r="H163" i="5"/>
  <c r="W163" i="5" s="1"/>
  <c r="CC111" i="1"/>
  <c r="L142" i="5"/>
  <c r="Q142" i="5" s="1"/>
  <c r="L141" i="5"/>
  <c r="L132" i="5"/>
  <c r="Q132" i="5" s="1"/>
  <c r="L129" i="5"/>
  <c r="AD78" i="1"/>
  <c r="CR78" i="1" s="1"/>
  <c r="CS78" i="1"/>
  <c r="R78" i="1" s="1"/>
  <c r="GK78" i="1" s="1"/>
  <c r="V74" i="1"/>
  <c r="AD74" i="1"/>
  <c r="CR74" i="1" s="1"/>
  <c r="Q74" i="1" s="1"/>
  <c r="CS74" i="1"/>
  <c r="R74" i="1" s="1"/>
  <c r="GK74" i="1" s="1"/>
  <c r="CT32" i="1"/>
  <c r="AB32" i="1"/>
  <c r="K28" i="5"/>
  <c r="GK25" i="1"/>
  <c r="CP107" i="1"/>
  <c r="U131" i="5"/>
  <c r="S131" i="5"/>
  <c r="CT87" i="1"/>
  <c r="S87" i="1" s="1"/>
  <c r="E131" i="5"/>
  <c r="GX87" i="1"/>
  <c r="AD84" i="1"/>
  <c r="CR84" i="1" s="1"/>
  <c r="CS84" i="1"/>
  <c r="R84" i="1" s="1"/>
  <c r="GK84" i="1" s="1"/>
  <c r="AD81" i="1"/>
  <c r="CR81" i="1" s="1"/>
  <c r="Q81" i="1" s="1"/>
  <c r="CS81" i="1"/>
  <c r="R81" i="1" s="1"/>
  <c r="GK81" i="1" s="1"/>
  <c r="S118" i="5"/>
  <c r="U118" i="5"/>
  <c r="S116" i="5"/>
  <c r="U116" i="5"/>
  <c r="BC111" i="1"/>
  <c r="CT105" i="1"/>
  <c r="U102" i="1"/>
  <c r="P102" i="1"/>
  <c r="CT101" i="1"/>
  <c r="S101" i="1" s="1"/>
  <c r="S164" i="5"/>
  <c r="U164" i="5"/>
  <c r="CQ99" i="1"/>
  <c r="P99" i="1" s="1"/>
  <c r="CP99" i="1" s="1"/>
  <c r="O99" i="1" s="1"/>
  <c r="K163" i="5" s="1"/>
  <c r="W98" i="1"/>
  <c r="U95" i="1"/>
  <c r="AB94" i="1"/>
  <c r="CP88" i="1"/>
  <c r="O88" i="1" s="1"/>
  <c r="AB88" i="1"/>
  <c r="R87" i="1"/>
  <c r="GK87" i="1" s="1"/>
  <c r="T87" i="1"/>
  <c r="CQ85" i="1"/>
  <c r="P85" i="1" s="1"/>
  <c r="W81" i="1"/>
  <c r="S120" i="5"/>
  <c r="U120" i="5"/>
  <c r="CT81" i="1"/>
  <c r="S81" i="1" s="1"/>
  <c r="CT77" i="1"/>
  <c r="S77" i="1" s="1"/>
  <c r="T77" i="1"/>
  <c r="V76" i="1"/>
  <c r="CT73" i="1"/>
  <c r="S73" i="1" s="1"/>
  <c r="T73" i="1"/>
  <c r="H105" i="5"/>
  <c r="W105" i="5" s="1"/>
  <c r="CT57" i="1"/>
  <c r="S57" i="1" s="1"/>
  <c r="K86" i="5" s="1"/>
  <c r="H86" i="5"/>
  <c r="R86" i="5" s="1"/>
  <c r="U84" i="5"/>
  <c r="S84" i="5"/>
  <c r="CT67" i="1"/>
  <c r="U105" i="5"/>
  <c r="GK65" i="1"/>
  <c r="K101" i="5"/>
  <c r="CR65" i="1"/>
  <c r="Q65" i="1" s="1"/>
  <c r="K100" i="5" s="1"/>
  <c r="H100" i="5"/>
  <c r="CT59" i="1"/>
  <c r="S93" i="5"/>
  <c r="H88" i="5"/>
  <c r="R88" i="5" s="1"/>
  <c r="AD57" i="1"/>
  <c r="CS57" i="1"/>
  <c r="R57" i="1" s="1"/>
  <c r="CY57" i="1" s="1"/>
  <c r="X57" i="1" s="1"/>
  <c r="T84" i="5" s="1"/>
  <c r="AD55" i="1"/>
  <c r="CS55" i="1"/>
  <c r="R55" i="1" s="1"/>
  <c r="GK55" i="1" s="1"/>
  <c r="U40" i="1"/>
  <c r="CT37" i="1"/>
  <c r="S37" i="1" s="1"/>
  <c r="K54" i="5" s="1"/>
  <c r="U52" i="5"/>
  <c r="S52" i="5"/>
  <c r="H58" i="5" s="1"/>
  <c r="H54" i="5"/>
  <c r="R54" i="5" s="1"/>
  <c r="I40" i="1"/>
  <c r="I38" i="1"/>
  <c r="U38" i="1" s="1"/>
  <c r="I42" i="1"/>
  <c r="S42" i="1" s="1"/>
  <c r="E42" i="5"/>
  <c r="C43" i="5"/>
  <c r="GX33" i="1"/>
  <c r="I35" i="1"/>
  <c r="T35" i="1" s="1"/>
  <c r="GX98" i="1"/>
  <c r="L162" i="5"/>
  <c r="L166" i="5"/>
  <c r="Q166" i="5" s="1"/>
  <c r="AD97" i="1"/>
  <c r="H158" i="5"/>
  <c r="R158" i="5" s="1"/>
  <c r="V95" i="1"/>
  <c r="U87" i="1"/>
  <c r="Q87" i="1"/>
  <c r="U130" i="5"/>
  <c r="S130" i="5"/>
  <c r="H120" i="5"/>
  <c r="W120" i="5" s="1"/>
  <c r="V77" i="1"/>
  <c r="Q77" i="1"/>
  <c r="S117" i="5"/>
  <c r="U117" i="5"/>
  <c r="U74" i="1"/>
  <c r="V73" i="1"/>
  <c r="Q73" i="1"/>
  <c r="CT71" i="1"/>
  <c r="S71" i="1" s="1"/>
  <c r="K110" i="5" s="1"/>
  <c r="U108" i="5"/>
  <c r="H114" i="5" s="1"/>
  <c r="S108" i="5"/>
  <c r="H110" i="5"/>
  <c r="S68" i="1"/>
  <c r="GX64" i="1"/>
  <c r="W62" i="1"/>
  <c r="T58" i="1"/>
  <c r="T57" i="1"/>
  <c r="P51" i="1"/>
  <c r="W36" i="1"/>
  <c r="S36" i="1"/>
  <c r="W33" i="1"/>
  <c r="H44" i="5"/>
  <c r="U42" i="5"/>
  <c r="S42" i="5"/>
  <c r="CT33" i="1"/>
  <c r="S33" i="1" s="1"/>
  <c r="K44" i="5" s="1"/>
  <c r="AD30" i="1"/>
  <c r="CR30" i="1" s="1"/>
  <c r="CS30" i="1"/>
  <c r="AD24" i="1"/>
  <c r="CR24" i="1" s="1"/>
  <c r="CS24" i="1"/>
  <c r="R24" i="1" s="1"/>
  <c r="GK24" i="1" s="1"/>
  <c r="U103" i="1"/>
  <c r="V102" i="1"/>
  <c r="Q102" i="1"/>
  <c r="H164" i="5"/>
  <c r="W164" i="5" s="1"/>
  <c r="CS99" i="1"/>
  <c r="R99" i="1" s="1"/>
  <c r="GK99" i="1" s="1"/>
  <c r="U99" i="1"/>
  <c r="V98" i="1"/>
  <c r="Q98" i="1"/>
  <c r="Q95" i="1"/>
  <c r="CS94" i="1"/>
  <c r="CS92" i="1"/>
  <c r="R92" i="1" s="1"/>
  <c r="GK92" i="1" s="1"/>
  <c r="CQ89" i="1"/>
  <c r="P89" i="1" s="1"/>
  <c r="K138" i="5" s="1"/>
  <c r="C134" i="5"/>
  <c r="E133" i="5"/>
  <c r="H131" i="5"/>
  <c r="W131" i="5" s="1"/>
  <c r="V85" i="1"/>
  <c r="V84" i="1"/>
  <c r="H123" i="5"/>
  <c r="R123" i="5" s="1"/>
  <c r="U122" i="5"/>
  <c r="S122" i="5"/>
  <c r="H127" i="5" s="1"/>
  <c r="T81" i="1"/>
  <c r="CS80" i="1"/>
  <c r="R80" i="1" s="1"/>
  <c r="GK80" i="1" s="1"/>
  <c r="U80" i="1"/>
  <c r="S119" i="5"/>
  <c r="U119" i="5"/>
  <c r="P78" i="1"/>
  <c r="U77" i="1"/>
  <c r="H118" i="5"/>
  <c r="W118" i="5" s="1"/>
  <c r="CS76" i="1"/>
  <c r="R76" i="1" s="1"/>
  <c r="GK76" i="1" s="1"/>
  <c r="U76" i="1"/>
  <c r="V75" i="1"/>
  <c r="P74" i="1"/>
  <c r="CP74" i="1" s="1"/>
  <c r="O74" i="1" s="1"/>
  <c r="U73" i="1"/>
  <c r="H116" i="5"/>
  <c r="W116" i="5" s="1"/>
  <c r="E108" i="5"/>
  <c r="C109" i="5"/>
  <c r="V68" i="1"/>
  <c r="Q68" i="1"/>
  <c r="I66" i="1"/>
  <c r="GX66" i="1" s="1"/>
  <c r="GX62" i="1"/>
  <c r="E84" i="5"/>
  <c r="C85" i="5"/>
  <c r="GX57" i="1"/>
  <c r="I61" i="1"/>
  <c r="E94" i="5" s="1"/>
  <c r="GX51" i="1"/>
  <c r="GX42" i="1"/>
  <c r="V33" i="1"/>
  <c r="L41" i="5"/>
  <c r="Q41" i="5" s="1"/>
  <c r="L39" i="5"/>
  <c r="I30" i="1"/>
  <c r="I106" i="1" s="1"/>
  <c r="I108" i="1" s="1"/>
  <c r="GN108" i="1" s="1"/>
  <c r="GX28" i="1"/>
  <c r="L33" i="5"/>
  <c r="Q33" i="5" s="1"/>
  <c r="L31" i="5"/>
  <c r="H112" i="5"/>
  <c r="T68" i="1"/>
  <c r="CT65" i="1"/>
  <c r="U97" i="5"/>
  <c r="S97" i="5"/>
  <c r="H99" i="5"/>
  <c r="R99" i="5" s="1"/>
  <c r="E97" i="5"/>
  <c r="C98" i="5"/>
  <c r="V64" i="1"/>
  <c r="V62" i="1"/>
  <c r="CT61" i="1"/>
  <c r="S94" i="5"/>
  <c r="U94" i="5"/>
  <c r="V58" i="1"/>
  <c r="U57" i="1"/>
  <c r="U55" i="1"/>
  <c r="V51" i="1"/>
  <c r="W51" i="1"/>
  <c r="S51" i="1"/>
  <c r="CP51" i="1" s="1"/>
  <c r="O51" i="1" s="1"/>
  <c r="U50" i="1"/>
  <c r="CT47" i="1"/>
  <c r="S47" i="1" s="1"/>
  <c r="K76" i="5" s="1"/>
  <c r="H76" i="5"/>
  <c r="U75" i="5"/>
  <c r="H81" i="5" s="1"/>
  <c r="S75" i="5"/>
  <c r="H80" i="5" s="1"/>
  <c r="V46" i="1"/>
  <c r="CT45" i="1"/>
  <c r="S45" i="1" s="1"/>
  <c r="S65" i="5"/>
  <c r="H71" i="5" s="1"/>
  <c r="H67" i="5"/>
  <c r="U65" i="5"/>
  <c r="H72" i="5" s="1"/>
  <c r="P43" i="1"/>
  <c r="H63" i="5"/>
  <c r="W63" i="5" s="1"/>
  <c r="CT41" i="1"/>
  <c r="S41" i="1" s="1"/>
  <c r="CY41" i="1" s="1"/>
  <c r="X41" i="1" s="1"/>
  <c r="T62" i="5" s="1"/>
  <c r="U62" i="5"/>
  <c r="S62" i="5"/>
  <c r="S40" i="1"/>
  <c r="T40" i="1"/>
  <c r="CT39" i="1"/>
  <c r="S39" i="1" s="1"/>
  <c r="CP39" i="1" s="1"/>
  <c r="O39" i="1" s="1"/>
  <c r="K61" i="5" s="1"/>
  <c r="U61" i="5"/>
  <c r="S61" i="5"/>
  <c r="S38" i="1"/>
  <c r="T38" i="1"/>
  <c r="C53" i="5"/>
  <c r="E52" i="5"/>
  <c r="V36" i="1"/>
  <c r="Q36" i="1"/>
  <c r="CT35" i="1"/>
  <c r="U50" i="5"/>
  <c r="W34" i="1"/>
  <c r="U33" i="1"/>
  <c r="AD33" i="1"/>
  <c r="H46" i="5"/>
  <c r="R46" i="5" s="1"/>
  <c r="V32" i="1"/>
  <c r="Q32" i="1"/>
  <c r="H40" i="5"/>
  <c r="W40" i="5" s="1"/>
  <c r="S24" i="5"/>
  <c r="H26" i="5"/>
  <c r="U24" i="5"/>
  <c r="C25" i="5"/>
  <c r="E24" i="5"/>
  <c r="CT69" i="1"/>
  <c r="GX68" i="1"/>
  <c r="U66" i="1"/>
  <c r="U62" i="1"/>
  <c r="CS59" i="1"/>
  <c r="P57" i="1"/>
  <c r="K89" i="5" s="1"/>
  <c r="H89" i="5"/>
  <c r="P55" i="1"/>
  <c r="V54" i="1"/>
  <c r="T50" i="1"/>
  <c r="W49" i="1"/>
  <c r="S49" i="1"/>
  <c r="H78" i="5"/>
  <c r="R78" i="5" s="1"/>
  <c r="U46" i="1"/>
  <c r="C66" i="5"/>
  <c r="E65" i="5"/>
  <c r="V44" i="1"/>
  <c r="Q44" i="1"/>
  <c r="CT43" i="1"/>
  <c r="S43" i="1" s="1"/>
  <c r="U63" i="5"/>
  <c r="S63" i="5"/>
  <c r="GX40" i="1"/>
  <c r="GX38" i="1"/>
  <c r="CS37" i="1"/>
  <c r="R37" i="1" s="1"/>
  <c r="U37" i="1"/>
  <c r="AD37" i="1"/>
  <c r="H55" i="5" s="1"/>
  <c r="U36" i="1"/>
  <c r="U32" i="1"/>
  <c r="P32" i="1"/>
  <c r="U34" i="5"/>
  <c r="H38" i="5" s="1"/>
  <c r="S34" i="5"/>
  <c r="H36" i="5"/>
  <c r="E34" i="5"/>
  <c r="C35" i="5"/>
  <c r="CS28" i="1"/>
  <c r="R28" i="1" s="1"/>
  <c r="GK28" i="1" s="1"/>
  <c r="AD25" i="1"/>
  <c r="H28" i="5"/>
  <c r="R28" i="5" s="1"/>
  <c r="CZ55" i="1"/>
  <c r="Y55" i="1" s="1"/>
  <c r="U51" i="1"/>
  <c r="Q51" i="1"/>
  <c r="GK47" i="1"/>
  <c r="K78" i="5"/>
  <c r="L83" i="5"/>
  <c r="Q83" i="5" s="1"/>
  <c r="L82" i="5"/>
  <c r="CR47" i="1"/>
  <c r="Q47" i="1" s="1"/>
  <c r="K77" i="5" s="1"/>
  <c r="H77" i="5"/>
  <c r="GK45" i="1"/>
  <c r="K69" i="5"/>
  <c r="L74" i="5"/>
  <c r="Q74" i="5" s="1"/>
  <c r="L73" i="5"/>
  <c r="W40" i="1"/>
  <c r="V40" i="1"/>
  <c r="W38" i="1"/>
  <c r="V38" i="1"/>
  <c r="Q38" i="1"/>
  <c r="T36" i="1"/>
  <c r="R35" i="1"/>
  <c r="GK35" i="1" s="1"/>
  <c r="V34" i="1"/>
  <c r="R33" i="1"/>
  <c r="T33" i="1"/>
  <c r="R32" i="1"/>
  <c r="GK32" i="1" s="1"/>
  <c r="T32" i="1"/>
  <c r="CT31" i="1"/>
  <c r="S31" i="1" s="1"/>
  <c r="U40" i="5"/>
  <c r="S40" i="5"/>
  <c r="V28" i="1"/>
  <c r="P28" i="1"/>
  <c r="GX26" i="1"/>
  <c r="CX1" i="3"/>
  <c r="CG111" i="1"/>
  <c r="CG22" i="1" s="1"/>
  <c r="AQ111" i="1"/>
  <c r="FV111" i="1"/>
  <c r="FV22" i="1" s="1"/>
  <c r="U93" i="1"/>
  <c r="GK91" i="1"/>
  <c r="K147" i="5"/>
  <c r="FU111" i="1"/>
  <c r="FU22" i="1" s="1"/>
  <c r="U152" i="5"/>
  <c r="S152" i="5"/>
  <c r="H149" i="5" s="1"/>
  <c r="E152" i="5"/>
  <c r="T93" i="1"/>
  <c r="V93" i="1"/>
  <c r="FR111" i="1"/>
  <c r="FR22" i="1" s="1"/>
  <c r="P93" i="1"/>
  <c r="FQ111" i="1"/>
  <c r="H153" i="5"/>
  <c r="W153" i="5" s="1"/>
  <c r="U153" i="5"/>
  <c r="S153" i="5"/>
  <c r="E153" i="5"/>
  <c r="GX93" i="1"/>
  <c r="S93" i="1"/>
  <c r="L154" i="5"/>
  <c r="Q154" i="5" s="1"/>
  <c r="L151" i="5"/>
  <c r="BY111" i="1"/>
  <c r="BY22" i="1" s="1"/>
  <c r="CD111" i="1"/>
  <c r="CD22" i="1" s="1"/>
  <c r="CY100" i="1"/>
  <c r="X100" i="1" s="1"/>
  <c r="CZ100" i="1"/>
  <c r="Y100" i="1" s="1"/>
  <c r="CY103" i="1"/>
  <c r="X103" i="1" s="1"/>
  <c r="CZ103" i="1"/>
  <c r="Y103" i="1" s="1"/>
  <c r="V165" i="5" s="1"/>
  <c r="CZ101" i="1"/>
  <c r="Y101" i="1" s="1"/>
  <c r="V164" i="5" s="1"/>
  <c r="CY101" i="1"/>
  <c r="X101" i="1" s="1"/>
  <c r="T164" i="5" s="1"/>
  <c r="CC22" i="1"/>
  <c r="AT111" i="1"/>
  <c r="CP98" i="1"/>
  <c r="O98" i="1" s="1"/>
  <c r="FQ22" i="1"/>
  <c r="EH111" i="1"/>
  <c r="EM111" i="1"/>
  <c r="CP104" i="1"/>
  <c r="O104" i="1" s="1"/>
  <c r="CP101" i="1"/>
  <c r="O101" i="1" s="1"/>
  <c r="K164" i="5" s="1"/>
  <c r="CY99" i="1"/>
  <c r="X99" i="1" s="1"/>
  <c r="CZ99" i="1"/>
  <c r="Y99" i="1" s="1"/>
  <c r="V163" i="5" s="1"/>
  <c r="AB103" i="1"/>
  <c r="CQ97" i="1"/>
  <c r="P97" i="1" s="1"/>
  <c r="CP86" i="1"/>
  <c r="O86" i="1" s="1"/>
  <c r="CS82" i="1"/>
  <c r="R82" i="1" s="1"/>
  <c r="GK82" i="1" s="1"/>
  <c r="AD82" i="1"/>
  <c r="CR82" i="1" s="1"/>
  <c r="Q82" i="1" s="1"/>
  <c r="GK71" i="1"/>
  <c r="CY71" i="1"/>
  <c r="X71" i="1" s="1"/>
  <c r="T108" i="5" s="1"/>
  <c r="V61" i="1"/>
  <c r="GX61" i="1"/>
  <c r="AB57" i="1"/>
  <c r="ET111" i="1"/>
  <c r="BB111" i="1"/>
  <c r="CS104" i="1"/>
  <c r="R104" i="1" s="1"/>
  <c r="GK104" i="1" s="1"/>
  <c r="AB104" i="1"/>
  <c r="CX239" i="3"/>
  <c r="CX240" i="3"/>
  <c r="CS102" i="1"/>
  <c r="R102" i="1" s="1"/>
  <c r="GK102" i="1" s="1"/>
  <c r="AB102" i="1"/>
  <c r="CQ100" i="1"/>
  <c r="P100" i="1" s="1"/>
  <c r="AD100" i="1"/>
  <c r="CR100" i="1" s="1"/>
  <c r="Q100" i="1" s="1"/>
  <c r="CS98" i="1"/>
  <c r="R98" i="1" s="1"/>
  <c r="GK98" i="1" s="1"/>
  <c r="AB98" i="1"/>
  <c r="P92" i="1"/>
  <c r="AB92" i="1"/>
  <c r="CX202" i="3"/>
  <c r="CX206" i="3"/>
  <c r="CX203" i="3"/>
  <c r="CX207" i="3"/>
  <c r="CX204" i="3"/>
  <c r="CX208" i="3"/>
  <c r="CX205" i="3"/>
  <c r="CX209" i="3"/>
  <c r="CX201" i="3"/>
  <c r="I94" i="1"/>
  <c r="U94" i="1" s="1"/>
  <c r="AB86" i="1"/>
  <c r="AB85" i="1"/>
  <c r="P84" i="1"/>
  <c r="AB84" i="1"/>
  <c r="CY80" i="1"/>
  <c r="X80" i="1" s="1"/>
  <c r="CZ80" i="1"/>
  <c r="Y80" i="1" s="1"/>
  <c r="W78" i="1"/>
  <c r="S78" i="1"/>
  <c r="AB78" i="1"/>
  <c r="CQ77" i="1"/>
  <c r="P77" i="1" s="1"/>
  <c r="CP77" i="1" s="1"/>
  <c r="O77" i="1" s="1"/>
  <c r="K118" i="5" s="1"/>
  <c r="AB77" i="1"/>
  <c r="CS75" i="1"/>
  <c r="R75" i="1" s="1"/>
  <c r="GK75" i="1" s="1"/>
  <c r="AD75" i="1"/>
  <c r="CR75" i="1" s="1"/>
  <c r="Q75" i="1" s="1"/>
  <c r="CS66" i="1"/>
  <c r="AD66" i="1"/>
  <c r="CR66" i="1" s="1"/>
  <c r="P65" i="1"/>
  <c r="AB39" i="1"/>
  <c r="AB99" i="1"/>
  <c r="CQ91" i="1"/>
  <c r="P91" i="1" s="1"/>
  <c r="AB91" i="1"/>
  <c r="CQ87" i="1"/>
  <c r="P87" i="1" s="1"/>
  <c r="AB87" i="1"/>
  <c r="CS85" i="1"/>
  <c r="R85" i="1" s="1"/>
  <c r="GK85" i="1" s="1"/>
  <c r="AD85" i="1"/>
  <c r="CR85" i="1" s="1"/>
  <c r="Q85" i="1" s="1"/>
  <c r="CZ81" i="1"/>
  <c r="Y81" i="1" s="1"/>
  <c r="V120" i="5" s="1"/>
  <c r="CZ57" i="1"/>
  <c r="Y57" i="1" s="1"/>
  <c r="V84" i="5" s="1"/>
  <c r="AO111" i="1"/>
  <c r="AB105" i="1"/>
  <c r="AB101" i="1"/>
  <c r="CY97" i="1"/>
  <c r="X97" i="1" s="1"/>
  <c r="T155" i="5" s="1"/>
  <c r="CQ95" i="1"/>
  <c r="P95" i="1" s="1"/>
  <c r="AB95" i="1"/>
  <c r="GX92" i="1"/>
  <c r="U92" i="1"/>
  <c r="W92" i="1"/>
  <c r="S92" i="1"/>
  <c r="CY91" i="1"/>
  <c r="X91" i="1" s="1"/>
  <c r="T143" i="5" s="1"/>
  <c r="CZ91" i="1"/>
  <c r="Y91" i="1" s="1"/>
  <c r="V143" i="5" s="1"/>
  <c r="CY89" i="1"/>
  <c r="X89" i="1" s="1"/>
  <c r="T133" i="5" s="1"/>
  <c r="K139" i="5" s="1"/>
  <c r="CS89" i="1"/>
  <c r="R89" i="1" s="1"/>
  <c r="K137" i="5" s="1"/>
  <c r="AD89" i="1"/>
  <c r="CY87" i="1"/>
  <c r="X87" i="1" s="1"/>
  <c r="T131" i="5" s="1"/>
  <c r="CZ87" i="1"/>
  <c r="Y87" i="1" s="1"/>
  <c r="V131" i="5" s="1"/>
  <c r="CP85" i="1"/>
  <c r="O85" i="1" s="1"/>
  <c r="K130" i="5" s="1"/>
  <c r="GX84" i="1"/>
  <c r="U84" i="1"/>
  <c r="W84" i="1"/>
  <c r="S84" i="1"/>
  <c r="CY83" i="1"/>
  <c r="X83" i="1" s="1"/>
  <c r="T122" i="5" s="1"/>
  <c r="CZ83" i="1"/>
  <c r="Y83" i="1" s="1"/>
  <c r="V122" i="5" s="1"/>
  <c r="CP82" i="1"/>
  <c r="O82" i="1" s="1"/>
  <c r="CQ81" i="1"/>
  <c r="P81" i="1" s="1"/>
  <c r="CP81" i="1" s="1"/>
  <c r="O81" i="1" s="1"/>
  <c r="K120" i="5" s="1"/>
  <c r="AB81" i="1"/>
  <c r="CP80" i="1"/>
  <c r="O80" i="1" s="1"/>
  <c r="GX78" i="1"/>
  <c r="T78" i="1"/>
  <c r="CY74" i="1"/>
  <c r="X74" i="1" s="1"/>
  <c r="CZ74" i="1"/>
  <c r="Y74" i="1" s="1"/>
  <c r="AB74" i="1"/>
  <c r="CQ73" i="1"/>
  <c r="P73" i="1" s="1"/>
  <c r="CP73" i="1" s="1"/>
  <c r="O73" i="1" s="1"/>
  <c r="K116" i="5" s="1"/>
  <c r="AB73" i="1"/>
  <c r="CX126" i="3"/>
  <c r="CX123" i="3"/>
  <c r="CX127" i="3"/>
  <c r="CX124" i="3"/>
  <c r="CX128" i="3"/>
  <c r="CX125" i="3"/>
  <c r="I67" i="1"/>
  <c r="S105" i="5" s="1"/>
  <c r="V65" i="1"/>
  <c r="GX65" i="1"/>
  <c r="I69" i="1"/>
  <c r="U106" i="5" s="1"/>
  <c r="R61" i="1"/>
  <c r="GK61" i="1" s="1"/>
  <c r="CR49" i="1"/>
  <c r="Q49" i="1" s="1"/>
  <c r="CP49" i="1" s="1"/>
  <c r="O49" i="1" s="1"/>
  <c r="AB49" i="1"/>
  <c r="CS96" i="1"/>
  <c r="R96" i="1" s="1"/>
  <c r="GK96" i="1" s="1"/>
  <c r="AD96" i="1"/>
  <c r="CR96" i="1" s="1"/>
  <c r="Q96" i="1" s="1"/>
  <c r="CP96" i="1" s="1"/>
  <c r="O96" i="1" s="1"/>
  <c r="CS93" i="1"/>
  <c r="R93" i="1" s="1"/>
  <c r="GK93" i="1" s="1"/>
  <c r="AD93" i="1"/>
  <c r="CR93" i="1" s="1"/>
  <c r="Q93" i="1" s="1"/>
  <c r="CY88" i="1"/>
  <c r="X88" i="1" s="1"/>
  <c r="GM88" i="1" s="1"/>
  <c r="CQ83" i="1"/>
  <c r="P83" i="1" s="1"/>
  <c r="CS79" i="1"/>
  <c r="R79" i="1" s="1"/>
  <c r="CY79" i="1" s="1"/>
  <c r="X79" i="1" s="1"/>
  <c r="T119" i="5" s="1"/>
  <c r="AD79" i="1"/>
  <c r="CR79" i="1" s="1"/>
  <c r="Q79" i="1" s="1"/>
  <c r="EU143" i="1"/>
  <c r="P127" i="1"/>
  <c r="CX243" i="3"/>
  <c r="CX244" i="3"/>
  <c r="CZ97" i="1"/>
  <c r="Y97" i="1" s="1"/>
  <c r="V155" i="5" s="1"/>
  <c r="T92" i="1"/>
  <c r="Q92" i="1"/>
  <c r="GX90" i="1"/>
  <c r="U90" i="1"/>
  <c r="W90" i="1"/>
  <c r="S90" i="1"/>
  <c r="AB89" i="1"/>
  <c r="CY86" i="1"/>
  <c r="X86" i="1" s="1"/>
  <c r="CZ86" i="1"/>
  <c r="Y86" i="1" s="1"/>
  <c r="T84" i="1"/>
  <c r="Q84" i="1"/>
  <c r="AB80" i="1"/>
  <c r="U78" i="1"/>
  <c r="Q78" i="1"/>
  <c r="CR76" i="1"/>
  <c r="Q76" i="1" s="1"/>
  <c r="CP76" i="1" s="1"/>
  <c r="O76" i="1" s="1"/>
  <c r="AB76" i="1"/>
  <c r="T74" i="1"/>
  <c r="CQ70" i="1"/>
  <c r="P70" i="1" s="1"/>
  <c r="CP70" i="1" s="1"/>
  <c r="O70" i="1" s="1"/>
  <c r="AB70" i="1"/>
  <c r="P67" i="1"/>
  <c r="CS62" i="1"/>
  <c r="R62" i="1" s="1"/>
  <c r="CY62" i="1" s="1"/>
  <c r="X62" i="1" s="1"/>
  <c r="AD62" i="1"/>
  <c r="CR62" i="1" s="1"/>
  <c r="Q62" i="1" s="1"/>
  <c r="P61" i="1"/>
  <c r="CX210" i="3"/>
  <c r="CX214" i="3"/>
  <c r="CX218" i="3"/>
  <c r="CX211" i="3"/>
  <c r="CX215" i="3"/>
  <c r="CX212" i="3"/>
  <c r="CX216" i="3"/>
  <c r="CX213" i="3"/>
  <c r="CX217" i="3"/>
  <c r="CQ79" i="1"/>
  <c r="P79" i="1" s="1"/>
  <c r="CS77" i="1"/>
  <c r="R77" i="1" s="1"/>
  <c r="GK77" i="1" s="1"/>
  <c r="CQ75" i="1"/>
  <c r="P75" i="1" s="1"/>
  <c r="CS73" i="1"/>
  <c r="R73" i="1" s="1"/>
  <c r="GK73" i="1" s="1"/>
  <c r="V67" i="1"/>
  <c r="W67" i="1"/>
  <c r="S67" i="1"/>
  <c r="W65" i="1"/>
  <c r="S65" i="1"/>
  <c r="K99" i="5" s="1"/>
  <c r="AB65" i="1"/>
  <c r="W61" i="1"/>
  <c r="S61" i="1"/>
  <c r="AB61" i="1"/>
  <c r="CQ60" i="1"/>
  <c r="P60" i="1" s="1"/>
  <c r="CP60" i="1" s="1"/>
  <c r="O60" i="1" s="1"/>
  <c r="AB60" i="1"/>
  <c r="CQ48" i="1"/>
  <c r="P48" i="1" s="1"/>
  <c r="CP48" i="1" s="1"/>
  <c r="O48" i="1" s="1"/>
  <c r="AB48" i="1"/>
  <c r="CQ38" i="1"/>
  <c r="P38" i="1" s="1"/>
  <c r="CP38" i="1" s="1"/>
  <c r="O38" i="1" s="1"/>
  <c r="AB38" i="1"/>
  <c r="CZ37" i="1"/>
  <c r="Y37" i="1" s="1"/>
  <c r="V52" i="5" s="1"/>
  <c r="CY37" i="1"/>
  <c r="X37" i="1" s="1"/>
  <c r="T52" i="5" s="1"/>
  <c r="CQ33" i="1"/>
  <c r="P33" i="1" s="1"/>
  <c r="AB33" i="1"/>
  <c r="R30" i="1"/>
  <c r="GK30" i="1" s="1"/>
  <c r="V30" i="1"/>
  <c r="GX30" i="1"/>
  <c r="CQ29" i="1"/>
  <c r="P29" i="1" s="1"/>
  <c r="CP29" i="1" s="1"/>
  <c r="O29" i="1" s="1"/>
  <c r="AB29" i="1"/>
  <c r="CR28" i="1"/>
  <c r="Q28" i="1" s="1"/>
  <c r="AB28" i="1"/>
  <c r="CX186" i="3"/>
  <c r="CX190" i="3"/>
  <c r="CX187" i="3"/>
  <c r="CX191" i="3"/>
  <c r="CX188" i="3"/>
  <c r="CX192" i="3"/>
  <c r="CX189" i="3"/>
  <c r="CX185" i="3"/>
  <c r="AD72" i="1"/>
  <c r="CR72" i="1" s="1"/>
  <c r="Q72" i="1" s="1"/>
  <c r="CS72" i="1"/>
  <c r="R72" i="1" s="1"/>
  <c r="GK72" i="1" s="1"/>
  <c r="AB69" i="1"/>
  <c r="CQ68" i="1"/>
  <c r="P68" i="1" s="1"/>
  <c r="CP68" i="1" s="1"/>
  <c r="O68" i="1" s="1"/>
  <c r="AB68" i="1"/>
  <c r="T65" i="1"/>
  <c r="T61" i="1"/>
  <c r="R59" i="1"/>
  <c r="GK59" i="1" s="1"/>
  <c r="CR59" i="1"/>
  <c r="AB59" i="1"/>
  <c r="CS56" i="1"/>
  <c r="R56" i="1" s="1"/>
  <c r="AD56" i="1"/>
  <c r="CR56" i="1" s="1"/>
  <c r="Q56" i="1" s="1"/>
  <c r="AD54" i="1"/>
  <c r="CR54" i="1" s="1"/>
  <c r="Q54" i="1" s="1"/>
  <c r="CP54" i="1" s="1"/>
  <c r="O54" i="1" s="1"/>
  <c r="CS54" i="1"/>
  <c r="R54" i="1" s="1"/>
  <c r="GK54" i="1" s="1"/>
  <c r="AD52" i="1"/>
  <c r="CR52" i="1" s="1"/>
  <c r="Q52" i="1" s="1"/>
  <c r="CS52" i="1"/>
  <c r="R52" i="1" s="1"/>
  <c r="GK52" i="1" s="1"/>
  <c r="CZ50" i="1"/>
  <c r="Y50" i="1" s="1"/>
  <c r="CY49" i="1"/>
  <c r="X49" i="1" s="1"/>
  <c r="CX194" i="3"/>
  <c r="CX198" i="3"/>
  <c r="CX195" i="3"/>
  <c r="CX199" i="3"/>
  <c r="CX196" i="3"/>
  <c r="CX200" i="3"/>
  <c r="CX193" i="3"/>
  <c r="CX197" i="3"/>
  <c r="CQ72" i="1"/>
  <c r="P72" i="1" s="1"/>
  <c r="AB72" i="1"/>
  <c r="CZ71" i="1"/>
  <c r="Y71" i="1" s="1"/>
  <c r="AB71" i="1"/>
  <c r="T69" i="1"/>
  <c r="R67" i="1"/>
  <c r="GK67" i="1" s="1"/>
  <c r="U67" i="1"/>
  <c r="CR67" i="1"/>
  <c r="Q67" i="1" s="1"/>
  <c r="AB67" i="1"/>
  <c r="U65" i="1"/>
  <c r="CS64" i="1"/>
  <c r="R64" i="1" s="1"/>
  <c r="GK64" i="1" s="1"/>
  <c r="AD64" i="1"/>
  <c r="CR64" i="1" s="1"/>
  <c r="Q64" i="1" s="1"/>
  <c r="R63" i="1"/>
  <c r="GK63" i="1" s="1"/>
  <c r="U63" i="1"/>
  <c r="CR63" i="1"/>
  <c r="AB63" i="1"/>
  <c r="U61" i="1"/>
  <c r="Q61" i="1"/>
  <c r="CS58" i="1"/>
  <c r="R58" i="1" s="1"/>
  <c r="GK58" i="1" s="1"/>
  <c r="AD58" i="1"/>
  <c r="CR58" i="1" s="1"/>
  <c r="Q58" i="1" s="1"/>
  <c r="CX106" i="3"/>
  <c r="CX110" i="3"/>
  <c r="CX114" i="3"/>
  <c r="CX107" i="3"/>
  <c r="CX111" i="3"/>
  <c r="CX115" i="3"/>
  <c r="CX108" i="3"/>
  <c r="CX112" i="3"/>
  <c r="CX116" i="3"/>
  <c r="CX105" i="3"/>
  <c r="CX109" i="3"/>
  <c r="CX113" i="3"/>
  <c r="I59" i="1"/>
  <c r="H93" i="5" s="1"/>
  <c r="W93" i="5" s="1"/>
  <c r="I63" i="1"/>
  <c r="U95" i="5" s="1"/>
  <c r="CY56" i="1"/>
  <c r="X56" i="1" s="1"/>
  <c r="AB56" i="1"/>
  <c r="CR55" i="1"/>
  <c r="Q55" i="1" s="1"/>
  <c r="CP55" i="1" s="1"/>
  <c r="O55" i="1" s="1"/>
  <c r="AB55" i="1"/>
  <c r="CZ54" i="1"/>
  <c r="Y54" i="1" s="1"/>
  <c r="CS46" i="1"/>
  <c r="R46" i="1" s="1"/>
  <c r="CY46" i="1" s="1"/>
  <c r="X46" i="1" s="1"/>
  <c r="AD46" i="1"/>
  <c r="CR46" i="1" s="1"/>
  <c r="Q46" i="1" s="1"/>
  <c r="AB35" i="1"/>
  <c r="CY25" i="1"/>
  <c r="X25" i="1" s="1"/>
  <c r="T24" i="5" s="1"/>
  <c r="CZ25" i="1"/>
  <c r="Y25" i="1" s="1"/>
  <c r="V24" i="5" s="1"/>
  <c r="CS70" i="1"/>
  <c r="R70" i="1" s="1"/>
  <c r="GK70" i="1" s="1"/>
  <c r="CX130" i="3"/>
  <c r="CX134" i="3"/>
  <c r="CX138" i="3"/>
  <c r="CX142" i="3"/>
  <c r="CX146" i="3"/>
  <c r="CX131" i="3"/>
  <c r="CX135" i="3"/>
  <c r="CX139" i="3"/>
  <c r="CX143" i="3"/>
  <c r="CX147" i="3"/>
  <c r="CX132" i="3"/>
  <c r="CX136" i="3"/>
  <c r="CX140" i="3"/>
  <c r="CX144" i="3"/>
  <c r="CX133" i="3"/>
  <c r="CX137" i="3"/>
  <c r="CX141" i="3"/>
  <c r="CX145" i="3"/>
  <c r="CS68" i="1"/>
  <c r="R68" i="1" s="1"/>
  <c r="GK68" i="1" s="1"/>
  <c r="CQ66" i="1"/>
  <c r="CQ64" i="1"/>
  <c r="P64" i="1" s="1"/>
  <c r="CQ62" i="1"/>
  <c r="P62" i="1" s="1"/>
  <c r="CP62" i="1" s="1"/>
  <c r="O62" i="1" s="1"/>
  <c r="CS60" i="1"/>
  <c r="R60" i="1" s="1"/>
  <c r="GK60" i="1" s="1"/>
  <c r="CQ58" i="1"/>
  <c r="P58" i="1" s="1"/>
  <c r="CP58" i="1" s="1"/>
  <c r="O58" i="1" s="1"/>
  <c r="CQ56" i="1"/>
  <c r="P56" i="1" s="1"/>
  <c r="CP56" i="1" s="1"/>
  <c r="O56" i="1" s="1"/>
  <c r="CZ53" i="1"/>
  <c r="Y53" i="1" s="1"/>
  <c r="GM53" i="1" s="1"/>
  <c r="AB53" i="1"/>
  <c r="CQ52" i="1"/>
  <c r="P52" i="1" s="1"/>
  <c r="CP52" i="1" s="1"/>
  <c r="O52" i="1" s="1"/>
  <c r="AB52" i="1"/>
  <c r="CP47" i="1"/>
  <c r="O47" i="1" s="1"/>
  <c r="CX66" i="3"/>
  <c r="CX70" i="3"/>
  <c r="CX67" i="3"/>
  <c r="CX68" i="3"/>
  <c r="CX69" i="3"/>
  <c r="CR45" i="1"/>
  <c r="Q45" i="1" s="1"/>
  <c r="AB45" i="1"/>
  <c r="CQ44" i="1"/>
  <c r="P44" i="1" s="1"/>
  <c r="CP44" i="1" s="1"/>
  <c r="O44" i="1" s="1"/>
  <c r="AB44" i="1"/>
  <c r="U43" i="1"/>
  <c r="Q43" i="1"/>
  <c r="CR41" i="1"/>
  <c r="Q41" i="1" s="1"/>
  <c r="CP41" i="1" s="1"/>
  <c r="O41" i="1" s="1"/>
  <c r="K62" i="5" s="1"/>
  <c r="AB41" i="1"/>
  <c r="V26" i="1"/>
  <c r="R26" i="1"/>
  <c r="CX150" i="3"/>
  <c r="CX154" i="3"/>
  <c r="CX158" i="3"/>
  <c r="CX162" i="3"/>
  <c r="CX166" i="3"/>
  <c r="CX151" i="3"/>
  <c r="CX155" i="3"/>
  <c r="CX159" i="3"/>
  <c r="CX163" i="3"/>
  <c r="CX148" i="3"/>
  <c r="CX152" i="3"/>
  <c r="CX156" i="3"/>
  <c r="CX160" i="3"/>
  <c r="CX164" i="3"/>
  <c r="CX149" i="3"/>
  <c r="CX165" i="3"/>
  <c r="CX153" i="3"/>
  <c r="CX157" i="3"/>
  <c r="CX161" i="3"/>
  <c r="CZ51" i="1"/>
  <c r="Y51" i="1" s="1"/>
  <c r="AB51" i="1"/>
  <c r="CQ50" i="1"/>
  <c r="P50" i="1" s="1"/>
  <c r="CP50" i="1" s="1"/>
  <c r="O50" i="1" s="1"/>
  <c r="AB50" i="1"/>
  <c r="CZ49" i="1"/>
  <c r="Y49" i="1" s="1"/>
  <c r="CY47" i="1"/>
  <c r="X47" i="1" s="1"/>
  <c r="T75" i="5" s="1"/>
  <c r="K80" i="5" s="1"/>
  <c r="CZ47" i="1"/>
  <c r="Y47" i="1" s="1"/>
  <c r="V75" i="5" s="1"/>
  <c r="K81" i="5" s="1"/>
  <c r="AB47" i="1"/>
  <c r="CR37" i="1"/>
  <c r="Q37" i="1" s="1"/>
  <c r="K55" i="5" s="1"/>
  <c r="CQ36" i="1"/>
  <c r="P36" i="1" s="1"/>
  <c r="AB36" i="1"/>
  <c r="CT34" i="1"/>
  <c r="S34" i="1" s="1"/>
  <c r="AB34" i="1"/>
  <c r="R34" i="1"/>
  <c r="GK34" i="1" s="1"/>
  <c r="U34" i="1"/>
  <c r="CY29" i="1"/>
  <c r="X29" i="1" s="1"/>
  <c r="T34" i="5" s="1"/>
  <c r="CZ29" i="1"/>
  <c r="Y29" i="1" s="1"/>
  <c r="V34" i="5" s="1"/>
  <c r="CT24" i="1"/>
  <c r="S24" i="1" s="1"/>
  <c r="AB24" i="1"/>
  <c r="CX129" i="3"/>
  <c r="CX118" i="3"/>
  <c r="CX122" i="3"/>
  <c r="CX119" i="3"/>
  <c r="CX120" i="3"/>
  <c r="CX117" i="3"/>
  <c r="CX121" i="3"/>
  <c r="CX94" i="3"/>
  <c r="CX98" i="3"/>
  <c r="CX102" i="3"/>
  <c r="CX95" i="3"/>
  <c r="CX99" i="3"/>
  <c r="CX103" i="3"/>
  <c r="CX96" i="3"/>
  <c r="CX100" i="3"/>
  <c r="CX104" i="3"/>
  <c r="CX101" i="3"/>
  <c r="CX93" i="3"/>
  <c r="CX97" i="3"/>
  <c r="CX90" i="3"/>
  <c r="CX91" i="3"/>
  <c r="CX88" i="3"/>
  <c r="CX92" i="3"/>
  <c r="CX89" i="3"/>
  <c r="T51" i="1"/>
  <c r="GX47" i="1"/>
  <c r="T47" i="1"/>
  <c r="CZ45" i="1"/>
  <c r="Y45" i="1" s="1"/>
  <c r="V65" i="5" s="1"/>
  <c r="K72" i="5" s="1"/>
  <c r="W43" i="1"/>
  <c r="AB43" i="1"/>
  <c r="CQ42" i="1"/>
  <c r="P42" i="1" s="1"/>
  <c r="AB42" i="1"/>
  <c r="CZ41" i="1"/>
  <c r="Y41" i="1" s="1"/>
  <c r="V62" i="5" s="1"/>
  <c r="CS40" i="1"/>
  <c r="R40" i="1" s="1"/>
  <c r="GK40" i="1" s="1"/>
  <c r="AD40" i="1"/>
  <c r="CR40" i="1" s="1"/>
  <c r="Q40" i="1" s="1"/>
  <c r="GX34" i="1"/>
  <c r="U30" i="1"/>
  <c r="P30" i="1"/>
  <c r="T26" i="1"/>
  <c r="CR26" i="1"/>
  <c r="Q26" i="1" s="1"/>
  <c r="AB26" i="1"/>
  <c r="CX65" i="3"/>
  <c r="CX86" i="3"/>
  <c r="CX83" i="3"/>
  <c r="CX87" i="3"/>
  <c r="CX84" i="3"/>
  <c r="CX85" i="3"/>
  <c r="CS50" i="1"/>
  <c r="R50" i="1" s="1"/>
  <c r="GK50" i="1" s="1"/>
  <c r="CS48" i="1"/>
  <c r="R48" i="1" s="1"/>
  <c r="GK48" i="1" s="1"/>
  <c r="CX74" i="3"/>
  <c r="CX71" i="3"/>
  <c r="CX75" i="3"/>
  <c r="CX72" i="3"/>
  <c r="CX76" i="3"/>
  <c r="CX73" i="3"/>
  <c r="CQ46" i="1"/>
  <c r="P46" i="1" s="1"/>
  <c r="CP46" i="1" s="1"/>
  <c r="O46" i="1" s="1"/>
  <c r="CS44" i="1"/>
  <c r="R44" i="1" s="1"/>
  <c r="GK44" i="1" s="1"/>
  <c r="CX46" i="3"/>
  <c r="CX50" i="3"/>
  <c r="CX47" i="3"/>
  <c r="CX51" i="3"/>
  <c r="CX48" i="3"/>
  <c r="CX45" i="3"/>
  <c r="CS42" i="1"/>
  <c r="CQ40" i="1"/>
  <c r="P40" i="1" s="1"/>
  <c r="CP40" i="1" s="1"/>
  <c r="O40" i="1" s="1"/>
  <c r="CS38" i="1"/>
  <c r="R38" i="1" s="1"/>
  <c r="GK38" i="1" s="1"/>
  <c r="CS36" i="1"/>
  <c r="R36" i="1" s="1"/>
  <c r="GK36" i="1" s="1"/>
  <c r="CX26" i="3"/>
  <c r="CX30" i="3"/>
  <c r="CX34" i="3"/>
  <c r="CX27" i="3"/>
  <c r="CX31" i="3"/>
  <c r="CX28" i="3"/>
  <c r="CX32" i="3"/>
  <c r="CX25" i="3"/>
  <c r="CX29" i="3"/>
  <c r="W32" i="1"/>
  <c r="S32" i="1"/>
  <c r="CP32" i="1" s="1"/>
  <c r="O32" i="1" s="1"/>
  <c r="T30" i="1"/>
  <c r="AB30" i="1"/>
  <c r="CX10" i="3"/>
  <c r="CX9" i="3"/>
  <c r="CQ25" i="1"/>
  <c r="P25" i="1" s="1"/>
  <c r="AB25" i="1"/>
  <c r="T24" i="1"/>
  <c r="Q24" i="1"/>
  <c r="CX49" i="3"/>
  <c r="CX78" i="3"/>
  <c r="CX82" i="3"/>
  <c r="CX79" i="3"/>
  <c r="CX80" i="3"/>
  <c r="CX77" i="3"/>
  <c r="CX54" i="3"/>
  <c r="CX58" i="3"/>
  <c r="CX55" i="3"/>
  <c r="CX52" i="3"/>
  <c r="CX56" i="3"/>
  <c r="CX53" i="3"/>
  <c r="CX57" i="3"/>
  <c r="CX38" i="3"/>
  <c r="CX42" i="3"/>
  <c r="CX35" i="3"/>
  <c r="CX39" i="3"/>
  <c r="CX43" i="3"/>
  <c r="CX36" i="3"/>
  <c r="CX40" i="3"/>
  <c r="CX44" i="3"/>
  <c r="CX37" i="3"/>
  <c r="CX41" i="3"/>
  <c r="Q34" i="1"/>
  <c r="CS31" i="1"/>
  <c r="R31" i="1" s="1"/>
  <c r="CY31" i="1" s="1"/>
  <c r="X31" i="1" s="1"/>
  <c r="T40" i="5" s="1"/>
  <c r="AD31" i="1"/>
  <c r="W30" i="1"/>
  <c r="S30" i="1"/>
  <c r="CS27" i="1"/>
  <c r="AD27" i="1"/>
  <c r="CR27" i="1" s="1"/>
  <c r="P26" i="1"/>
  <c r="CX2" i="3"/>
  <c r="CX3" i="3"/>
  <c r="CX4" i="3"/>
  <c r="CX33" i="3"/>
  <c r="CX62" i="3"/>
  <c r="CX59" i="3"/>
  <c r="CX63" i="3"/>
  <c r="CX60" i="3"/>
  <c r="CX64" i="3"/>
  <c r="CX61" i="3"/>
  <c r="P34" i="1"/>
  <c r="CP34" i="1" s="1"/>
  <c r="O34" i="1" s="1"/>
  <c r="CX14" i="3"/>
  <c r="CX18" i="3"/>
  <c r="CX15" i="3"/>
  <c r="CX16" i="3"/>
  <c r="CX13" i="3"/>
  <c r="Q30" i="1"/>
  <c r="CY28" i="1"/>
  <c r="X28" i="1" s="1"/>
  <c r="CZ28" i="1"/>
  <c r="Y28" i="1" s="1"/>
  <c r="U26" i="1"/>
  <c r="W26" i="1"/>
  <c r="S26" i="1"/>
  <c r="P24" i="1"/>
  <c r="CX81" i="3"/>
  <c r="CX17" i="3"/>
  <c r="CX22" i="3"/>
  <c r="CX19" i="3"/>
  <c r="CX23" i="3"/>
  <c r="CX20" i="3"/>
  <c r="CX24" i="3"/>
  <c r="CX11" i="3"/>
  <c r="CX12" i="3"/>
  <c r="CX6" i="3"/>
  <c r="CX7" i="3"/>
  <c r="CX8" i="3"/>
  <c r="I27" i="1"/>
  <c r="U32" i="5" s="1"/>
  <c r="CX21" i="3"/>
  <c r="CX5" i="3"/>
  <c r="V27" i="1" l="1"/>
  <c r="GK33" i="1"/>
  <c r="K46" i="5"/>
  <c r="CR33" i="1"/>
  <c r="Q33" i="1" s="1"/>
  <c r="K45" i="5" s="1"/>
  <c r="H45" i="5"/>
  <c r="EG22" i="1"/>
  <c r="EG143" i="1"/>
  <c r="CR83" i="1"/>
  <c r="Q83" i="1" s="1"/>
  <c r="K124" i="5" s="1"/>
  <c r="H124" i="5"/>
  <c r="CP36" i="1"/>
  <c r="O36" i="1" s="1"/>
  <c r="CY51" i="1"/>
  <c r="X51" i="1" s="1"/>
  <c r="P66" i="1"/>
  <c r="CP72" i="1"/>
  <c r="O72" i="1" s="1"/>
  <c r="AB83" i="1"/>
  <c r="CY52" i="1"/>
  <c r="X52" i="1" s="1"/>
  <c r="AB90" i="1"/>
  <c r="CP95" i="1"/>
  <c r="O95" i="1" s="1"/>
  <c r="K153" i="5" s="1"/>
  <c r="CY81" i="1"/>
  <c r="X81" i="1" s="1"/>
  <c r="T120" i="5" s="1"/>
  <c r="CZ95" i="1"/>
  <c r="Y95" i="1" s="1"/>
  <c r="V153" i="5" s="1"/>
  <c r="CZ39" i="1"/>
  <c r="Y39" i="1" s="1"/>
  <c r="V61" i="5" s="1"/>
  <c r="Q66" i="1"/>
  <c r="T165" i="5"/>
  <c r="L64" i="5"/>
  <c r="Q64" i="5" s="1"/>
  <c r="L60" i="5"/>
  <c r="U42" i="1"/>
  <c r="L51" i="5"/>
  <c r="Q51" i="5" s="1"/>
  <c r="L49" i="5"/>
  <c r="S35" i="1"/>
  <c r="K67" i="5"/>
  <c r="J74" i="5" s="1"/>
  <c r="P74" i="5" s="1"/>
  <c r="CY45" i="1"/>
  <c r="X45" i="1" s="1"/>
  <c r="T65" i="5" s="1"/>
  <c r="K71" i="5" s="1"/>
  <c r="G83" i="5"/>
  <c r="O83" i="5" s="1"/>
  <c r="R76" i="5"/>
  <c r="W83" i="5"/>
  <c r="V66" i="1"/>
  <c r="H50" i="5"/>
  <c r="W50" i="5" s="1"/>
  <c r="T66" i="1"/>
  <c r="H128" i="5"/>
  <c r="H59" i="5"/>
  <c r="W64" i="5" s="1"/>
  <c r="W42" i="1"/>
  <c r="CR57" i="1"/>
  <c r="Q57" i="1" s="1"/>
  <c r="H87" i="5"/>
  <c r="W66" i="1"/>
  <c r="H117" i="5"/>
  <c r="W117" i="5" s="1"/>
  <c r="GX108" i="1"/>
  <c r="R26" i="5"/>
  <c r="GK57" i="1"/>
  <c r="K88" i="5"/>
  <c r="S66" i="1"/>
  <c r="H160" i="5"/>
  <c r="W27" i="1"/>
  <c r="CZ33" i="1"/>
  <c r="Y33" i="1" s="1"/>
  <c r="V42" i="5" s="1"/>
  <c r="CY33" i="1"/>
  <c r="X33" i="1" s="1"/>
  <c r="T42" i="5" s="1"/>
  <c r="CP37" i="1"/>
  <c r="O37" i="1" s="1"/>
  <c r="CP45" i="1"/>
  <c r="O45" i="1" s="1"/>
  <c r="K68" i="5"/>
  <c r="GX63" i="1"/>
  <c r="E95" i="5"/>
  <c r="CP28" i="1"/>
  <c r="O28" i="1" s="1"/>
  <c r="CZ36" i="1"/>
  <c r="Y36" i="1" s="1"/>
  <c r="W63" i="1"/>
  <c r="CP78" i="1"/>
  <c r="O78" i="1" s="1"/>
  <c r="S59" i="1"/>
  <c r="CP83" i="1"/>
  <c r="O83" i="1" s="1"/>
  <c r="K126" i="5"/>
  <c r="CZ96" i="1"/>
  <c r="Y96" i="1" s="1"/>
  <c r="GX67" i="1"/>
  <c r="E105" i="5"/>
  <c r="CY75" i="1"/>
  <c r="X75" i="1" s="1"/>
  <c r="T117" i="5" s="1"/>
  <c r="CR89" i="1"/>
  <c r="Q89" i="1" s="1"/>
  <c r="K136" i="5" s="1"/>
  <c r="H136" i="5"/>
  <c r="CZ68" i="1"/>
  <c r="Y68" i="1" s="1"/>
  <c r="CY82" i="1"/>
  <c r="X82" i="1" s="1"/>
  <c r="CP87" i="1"/>
  <c r="O87" i="1" s="1"/>
  <c r="K131" i="5" s="1"/>
  <c r="CY39" i="1"/>
  <c r="X39" i="1" s="1"/>
  <c r="T61" i="5" s="1"/>
  <c r="R66" i="1"/>
  <c r="AB82" i="1"/>
  <c r="AX111" i="1"/>
  <c r="CY98" i="1"/>
  <c r="X98" i="1" s="1"/>
  <c r="K161" i="5"/>
  <c r="H152" i="5"/>
  <c r="W152" i="5" s="1"/>
  <c r="Q35" i="1"/>
  <c r="CR25" i="1"/>
  <c r="Q25" i="1" s="1"/>
  <c r="K27" i="5" s="1"/>
  <c r="H27" i="5"/>
  <c r="R36" i="5"/>
  <c r="GK37" i="1"/>
  <c r="K56" i="5"/>
  <c r="W35" i="1"/>
  <c r="Q42" i="1"/>
  <c r="CP42" i="1" s="1"/>
  <c r="O42" i="1" s="1"/>
  <c r="J83" i="5"/>
  <c r="P83" i="5" s="1"/>
  <c r="H48" i="5"/>
  <c r="R110" i="5"/>
  <c r="H94" i="5"/>
  <c r="W94" i="5" s="1"/>
  <c r="H119" i="5"/>
  <c r="W119" i="5" s="1"/>
  <c r="BC22" i="1"/>
  <c r="BC143" i="1"/>
  <c r="F127" i="1"/>
  <c r="H130" i="5"/>
  <c r="W130" i="5" s="1"/>
  <c r="S95" i="5"/>
  <c r="H90" i="5" s="1"/>
  <c r="GK83" i="1"/>
  <c r="K125" i="5"/>
  <c r="H161" i="5"/>
  <c r="GM106" i="1"/>
  <c r="I107" i="1"/>
  <c r="E32" i="5"/>
  <c r="L107" i="5"/>
  <c r="Q107" i="5" s="1"/>
  <c r="L104" i="5"/>
  <c r="K159" i="5"/>
  <c r="GN99" i="1"/>
  <c r="T163" i="5"/>
  <c r="K160" i="5" s="1"/>
  <c r="J166" i="5" s="1"/>
  <c r="P166" i="5" s="1"/>
  <c r="L96" i="5"/>
  <c r="Q96" i="5" s="1"/>
  <c r="L92" i="5"/>
  <c r="CR97" i="1"/>
  <c r="Q97" i="1" s="1"/>
  <c r="K157" i="5" s="1"/>
  <c r="H157" i="5"/>
  <c r="E50" i="5"/>
  <c r="I105" i="1"/>
  <c r="S105" i="1" s="1"/>
  <c r="R42" i="1"/>
  <c r="GK42" i="1" s="1"/>
  <c r="CP30" i="1"/>
  <c r="O30" i="1" s="1"/>
  <c r="K37" i="5"/>
  <c r="AB37" i="1"/>
  <c r="AB54" i="1"/>
  <c r="T59" i="1"/>
  <c r="E93" i="5"/>
  <c r="V108" i="5"/>
  <c r="CP75" i="1"/>
  <c r="O75" i="1" s="1"/>
  <c r="K117" i="5" s="1"/>
  <c r="CZ75" i="1"/>
  <c r="Y75" i="1" s="1"/>
  <c r="V117" i="5" s="1"/>
  <c r="P115" i="1"/>
  <c r="CY85" i="1"/>
  <c r="X85" i="1" s="1"/>
  <c r="T130" i="5" s="1"/>
  <c r="K127" i="5" s="1"/>
  <c r="V69" i="1"/>
  <c r="E106" i="5"/>
  <c r="CY40" i="1"/>
  <c r="X40" i="1" s="1"/>
  <c r="AB93" i="1"/>
  <c r="W59" i="1"/>
  <c r="AB97" i="1"/>
  <c r="CZ82" i="1"/>
  <c r="Y82" i="1" s="1"/>
  <c r="CZ85" i="1"/>
  <c r="Y85" i="1" s="1"/>
  <c r="V130" i="5" s="1"/>
  <c r="K128" i="5" s="1"/>
  <c r="J132" i="5" s="1"/>
  <c r="P132" i="5" s="1"/>
  <c r="H32" i="5"/>
  <c r="W32" i="5" s="1"/>
  <c r="U35" i="1"/>
  <c r="T42" i="1"/>
  <c r="H37" i="5"/>
  <c r="G41" i="5" s="1"/>
  <c r="O41" i="5" s="1"/>
  <c r="S106" i="5"/>
  <c r="H102" i="5" s="1"/>
  <c r="H30" i="5"/>
  <c r="S32" i="5"/>
  <c r="H29" i="5" s="1"/>
  <c r="S50" i="5"/>
  <c r="H47" i="5" s="1"/>
  <c r="V35" i="1"/>
  <c r="V42" i="1"/>
  <c r="R67" i="5"/>
  <c r="W74" i="5"/>
  <c r="G74" i="5"/>
  <c r="O74" i="5" s="1"/>
  <c r="H103" i="5"/>
  <c r="H106" i="5"/>
  <c r="W106" i="5" s="1"/>
  <c r="P35" i="1"/>
  <c r="CP35" i="1" s="1"/>
  <c r="O35" i="1" s="1"/>
  <c r="K50" i="5" s="1"/>
  <c r="R44" i="5"/>
  <c r="H95" i="5"/>
  <c r="W95" i="5" s="1"/>
  <c r="H113" i="5"/>
  <c r="W121" i="5" s="1"/>
  <c r="U93" i="5"/>
  <c r="H91" i="5" s="1"/>
  <c r="CY55" i="1"/>
  <c r="X55" i="1" s="1"/>
  <c r="CP102" i="1"/>
  <c r="O102" i="1" s="1"/>
  <c r="GX106" i="1"/>
  <c r="GX35" i="1"/>
  <c r="R135" i="5"/>
  <c r="G142" i="5"/>
  <c r="O142" i="5" s="1"/>
  <c r="W142" i="5"/>
  <c r="CP71" i="1"/>
  <c r="O71" i="1" s="1"/>
  <c r="GM71" i="1" s="1"/>
  <c r="CZ76" i="1"/>
  <c r="Y76" i="1" s="1"/>
  <c r="CY76" i="1"/>
  <c r="X76" i="1" s="1"/>
  <c r="GM76" i="1" s="1"/>
  <c r="CR91" i="1"/>
  <c r="Q91" i="1" s="1"/>
  <c r="K146" i="5" s="1"/>
  <c r="H146" i="5"/>
  <c r="CP103" i="1"/>
  <c r="O103" i="1" s="1"/>
  <c r="K165" i="5" s="1"/>
  <c r="GN106" i="1"/>
  <c r="EL111" i="1"/>
  <c r="P129" i="1" s="1"/>
  <c r="U16" i="2" s="1"/>
  <c r="U18" i="2" s="1"/>
  <c r="AU111" i="1"/>
  <c r="AU22" i="1" s="1"/>
  <c r="AQ22" i="1"/>
  <c r="F121" i="1"/>
  <c r="EI111" i="1"/>
  <c r="FY111" i="1"/>
  <c r="CP93" i="1"/>
  <c r="O93" i="1" s="1"/>
  <c r="K152" i="5" s="1"/>
  <c r="CP91" i="1"/>
  <c r="O91" i="1" s="1"/>
  <c r="GN91" i="1" s="1"/>
  <c r="K148" i="5"/>
  <c r="GA111" i="1"/>
  <c r="ER111" i="1" s="1"/>
  <c r="AQ143" i="1"/>
  <c r="H150" i="5"/>
  <c r="W154" i="5" s="1"/>
  <c r="AP111" i="1"/>
  <c r="F120" i="1" s="1"/>
  <c r="G16" i="2" s="1"/>
  <c r="G18" i="2" s="1"/>
  <c r="CI111" i="1"/>
  <c r="GM45" i="1"/>
  <c r="GN45" i="1"/>
  <c r="GM28" i="1"/>
  <c r="GN28" i="1"/>
  <c r="GM41" i="1"/>
  <c r="GN41" i="1"/>
  <c r="GN76" i="1"/>
  <c r="GM39" i="1"/>
  <c r="GN39" i="1"/>
  <c r="GM47" i="1"/>
  <c r="GN47" i="1"/>
  <c r="CZ48" i="1"/>
  <c r="Y48" i="1" s="1"/>
  <c r="GM55" i="1"/>
  <c r="GN55" i="1"/>
  <c r="GM95" i="1"/>
  <c r="GN95" i="1"/>
  <c r="W94" i="1"/>
  <c r="AX22" i="1"/>
  <c r="F118" i="1"/>
  <c r="AX143" i="1"/>
  <c r="P94" i="1"/>
  <c r="GM99" i="1"/>
  <c r="AT22" i="1"/>
  <c r="F129" i="1"/>
  <c r="F16" i="2" s="1"/>
  <c r="F18" i="2" s="1"/>
  <c r="AT143" i="1"/>
  <c r="F130" i="1"/>
  <c r="AU143" i="1"/>
  <c r="EL143" i="1"/>
  <c r="GM103" i="1"/>
  <c r="AJ111" i="1"/>
  <c r="CP26" i="1"/>
  <c r="O26" i="1" s="1"/>
  <c r="S27" i="1"/>
  <c r="AB31" i="1"/>
  <c r="CR31" i="1"/>
  <c r="Q31" i="1" s="1"/>
  <c r="CP31" i="1" s="1"/>
  <c r="O31" i="1" s="1"/>
  <c r="K40" i="5" s="1"/>
  <c r="T27" i="1"/>
  <c r="CY34" i="1"/>
  <c r="X34" i="1" s="1"/>
  <c r="CZ34" i="1"/>
  <c r="Y34" i="1" s="1"/>
  <c r="CZ42" i="1"/>
  <c r="Y42" i="1" s="1"/>
  <c r="AB46" i="1"/>
  <c r="GM51" i="1"/>
  <c r="GN51" i="1"/>
  <c r="Q63" i="1"/>
  <c r="CZ38" i="1"/>
  <c r="Y38" i="1" s="1"/>
  <c r="CY48" i="1"/>
  <c r="X48" i="1" s="1"/>
  <c r="CY50" i="1"/>
  <c r="X50" i="1" s="1"/>
  <c r="GN50" i="1" s="1"/>
  <c r="CY36" i="1"/>
  <c r="X36" i="1" s="1"/>
  <c r="GM36" i="1" s="1"/>
  <c r="AB62" i="1"/>
  <c r="V63" i="1"/>
  <c r="AB66" i="1"/>
  <c r="AB58" i="1"/>
  <c r="T63" i="1"/>
  <c r="V59" i="1"/>
  <c r="CY70" i="1"/>
  <c r="X70" i="1" s="1"/>
  <c r="GK79" i="1"/>
  <c r="CZ79" i="1"/>
  <c r="Y79" i="1" s="1"/>
  <c r="V119" i="5" s="1"/>
  <c r="CZ93" i="1"/>
  <c r="Y93" i="1" s="1"/>
  <c r="GN53" i="1"/>
  <c r="AB75" i="1"/>
  <c r="GM80" i="1"/>
  <c r="GN80" i="1"/>
  <c r="CY92" i="1"/>
  <c r="X92" i="1" s="1"/>
  <c r="CZ92" i="1"/>
  <c r="Y92" i="1" s="1"/>
  <c r="CY68" i="1"/>
  <c r="X68" i="1" s="1"/>
  <c r="GM68" i="1" s="1"/>
  <c r="GK66" i="1"/>
  <c r="CZ66" i="1"/>
  <c r="Y66" i="1" s="1"/>
  <c r="CY78" i="1"/>
  <c r="X78" i="1" s="1"/>
  <c r="GM78" i="1" s="1"/>
  <c r="CZ78" i="1"/>
  <c r="Y78" i="1" s="1"/>
  <c r="CP84" i="1"/>
  <c r="O84" i="1" s="1"/>
  <c r="Q94" i="1"/>
  <c r="AD111" i="1" s="1"/>
  <c r="AB96" i="1"/>
  <c r="CP100" i="1"/>
  <c r="O100" i="1" s="1"/>
  <c r="BB22" i="1"/>
  <c r="F124" i="1"/>
  <c r="BB143" i="1"/>
  <c r="CZ98" i="1"/>
  <c r="Y98" i="1" s="1"/>
  <c r="AB100" i="1"/>
  <c r="AP22" i="1"/>
  <c r="GN88" i="1"/>
  <c r="FY22" i="1"/>
  <c r="EP111" i="1"/>
  <c r="CZ102" i="1"/>
  <c r="Y102" i="1" s="1"/>
  <c r="CY90" i="1"/>
  <c r="X90" i="1" s="1"/>
  <c r="CZ90" i="1"/>
  <c r="Y90" i="1" s="1"/>
  <c r="CZ59" i="1"/>
  <c r="Y59" i="1" s="1"/>
  <c r="V93" i="5" s="1"/>
  <c r="CY59" i="1"/>
  <c r="X59" i="1" s="1"/>
  <c r="T93" i="5" s="1"/>
  <c r="GN82" i="1"/>
  <c r="GM82" i="1"/>
  <c r="GM87" i="1"/>
  <c r="GN87" i="1"/>
  <c r="CY93" i="1"/>
  <c r="X93" i="1" s="1"/>
  <c r="AH111" i="1"/>
  <c r="CY24" i="1"/>
  <c r="X24" i="1" s="1"/>
  <c r="CZ24" i="1"/>
  <c r="Y24" i="1" s="1"/>
  <c r="CY42" i="1"/>
  <c r="X42" i="1" s="1"/>
  <c r="AB40" i="1"/>
  <c r="GX59" i="1"/>
  <c r="P59" i="1"/>
  <c r="CY38" i="1"/>
  <c r="X38" i="1" s="1"/>
  <c r="GM38" i="1" s="1"/>
  <c r="GM49" i="1"/>
  <c r="GN49" i="1"/>
  <c r="CY54" i="1"/>
  <c r="X54" i="1" s="1"/>
  <c r="GN54" i="1" s="1"/>
  <c r="Q59" i="1"/>
  <c r="S69" i="1"/>
  <c r="U27" i="1"/>
  <c r="GM29" i="1"/>
  <c r="GN29" i="1"/>
  <c r="P69" i="1"/>
  <c r="CP79" i="1"/>
  <c r="O79" i="1" s="1"/>
  <c r="K119" i="5" s="1"/>
  <c r="CP61" i="1"/>
  <c r="O61" i="1" s="1"/>
  <c r="K94" i="5" s="1"/>
  <c r="AB64" i="1"/>
  <c r="CZ72" i="1"/>
  <c r="Y72" i="1" s="1"/>
  <c r="CZ60" i="1"/>
  <c r="Y60" i="1" s="1"/>
  <c r="CZ73" i="1"/>
  <c r="Y73" i="1" s="1"/>
  <c r="V116" i="5" s="1"/>
  <c r="Q69" i="1"/>
  <c r="CP90" i="1"/>
  <c r="O90" i="1" s="1"/>
  <c r="V94" i="1"/>
  <c r="AI111" i="1" s="1"/>
  <c r="CZ64" i="1"/>
  <c r="Y64" i="1" s="1"/>
  <c r="GM91" i="1"/>
  <c r="CY96" i="1"/>
  <c r="X96" i="1" s="1"/>
  <c r="GN96" i="1" s="1"/>
  <c r="P63" i="1"/>
  <c r="T67" i="1"/>
  <c r="ET22" i="1"/>
  <c r="ET143" i="1"/>
  <c r="P124" i="1"/>
  <c r="CZ58" i="1"/>
  <c r="Y58" i="1" s="1"/>
  <c r="GM101" i="1"/>
  <c r="GN101" i="1"/>
  <c r="EM22" i="1"/>
  <c r="EM143" i="1"/>
  <c r="P130" i="1"/>
  <c r="EH22" i="1"/>
  <c r="EH143" i="1"/>
  <c r="P120" i="1"/>
  <c r="V16" i="2" s="1"/>
  <c r="V18" i="2" s="1"/>
  <c r="CI22" i="1"/>
  <c r="AZ111" i="1"/>
  <c r="CZ77" i="1"/>
  <c r="Y77" i="1" s="1"/>
  <c r="V118" i="5" s="1"/>
  <c r="CY102" i="1"/>
  <c r="X102" i="1" s="1"/>
  <c r="CZ104" i="1"/>
  <c r="Y104" i="1" s="1"/>
  <c r="CY26" i="1"/>
  <c r="X26" i="1" s="1"/>
  <c r="CZ26" i="1"/>
  <c r="Y26" i="1" s="1"/>
  <c r="CP25" i="1"/>
  <c r="O25" i="1" s="1"/>
  <c r="GM37" i="1"/>
  <c r="GN37" i="1"/>
  <c r="GK26" i="1"/>
  <c r="CY44" i="1"/>
  <c r="X44" i="1" s="1"/>
  <c r="GK56" i="1"/>
  <c r="CZ56" i="1"/>
  <c r="Y56" i="1" s="1"/>
  <c r="GN56" i="1" s="1"/>
  <c r="GN75" i="1"/>
  <c r="GM75" i="1"/>
  <c r="GK62" i="1"/>
  <c r="CZ62" i="1"/>
  <c r="Y62" i="1" s="1"/>
  <c r="GN62" i="1" s="1"/>
  <c r="CZ70" i="1"/>
  <c r="Y70" i="1" s="1"/>
  <c r="GM70" i="1" s="1"/>
  <c r="GX69" i="1"/>
  <c r="R69" i="1"/>
  <c r="GK69" i="1" s="1"/>
  <c r="GX94" i="1"/>
  <c r="CJ111" i="1" s="1"/>
  <c r="T94" i="1"/>
  <c r="AG111" i="1" s="1"/>
  <c r="EI22" i="1"/>
  <c r="P121" i="1"/>
  <c r="EI143" i="1"/>
  <c r="CX246" i="3"/>
  <c r="CX245" i="3"/>
  <c r="GX107" i="1"/>
  <c r="I109" i="1"/>
  <c r="GN34" i="1"/>
  <c r="Q27" i="1"/>
  <c r="GK31" i="1"/>
  <c r="CZ31" i="1"/>
  <c r="Y31" i="1" s="1"/>
  <c r="V40" i="5" s="1"/>
  <c r="K38" i="5" s="1"/>
  <c r="J41" i="5" s="1"/>
  <c r="P41" i="5" s="1"/>
  <c r="CP24" i="1"/>
  <c r="O24" i="1" s="1"/>
  <c r="AC111" i="1"/>
  <c r="AB27" i="1"/>
  <c r="R27" i="1"/>
  <c r="CY30" i="1"/>
  <c r="X30" i="1" s="1"/>
  <c r="GM30" i="1" s="1"/>
  <c r="CZ30" i="1"/>
  <c r="Y30" i="1" s="1"/>
  <c r="CY32" i="1"/>
  <c r="X32" i="1" s="1"/>
  <c r="CZ32" i="1"/>
  <c r="Y32" i="1" s="1"/>
  <c r="P27" i="1"/>
  <c r="CP27" i="1" s="1"/>
  <c r="O27" i="1" s="1"/>
  <c r="K32" i="5" s="1"/>
  <c r="CY43" i="1"/>
  <c r="X43" i="1" s="1"/>
  <c r="T63" i="5" s="1"/>
  <c r="K58" i="5" s="1"/>
  <c r="J64" i="5" s="1"/>
  <c r="P64" i="5" s="1"/>
  <c r="CZ43" i="1"/>
  <c r="Y43" i="1" s="1"/>
  <c r="V63" i="5" s="1"/>
  <c r="K59" i="5" s="1"/>
  <c r="GX27" i="1"/>
  <c r="CP43" i="1"/>
  <c r="O43" i="1" s="1"/>
  <c r="K63" i="5" s="1"/>
  <c r="GM56" i="1"/>
  <c r="CP64" i="1"/>
  <c r="O64" i="1" s="1"/>
  <c r="CZ44" i="1"/>
  <c r="Y44" i="1" s="1"/>
  <c r="GK46" i="1"/>
  <c r="CZ46" i="1"/>
  <c r="Y46" i="1" s="1"/>
  <c r="GM46" i="1" s="1"/>
  <c r="U59" i="1"/>
  <c r="W69" i="1"/>
  <c r="GM48" i="1"/>
  <c r="GN48" i="1"/>
  <c r="CY61" i="1"/>
  <c r="X61" i="1" s="1"/>
  <c r="T94" i="5" s="1"/>
  <c r="CZ61" i="1"/>
  <c r="Y61" i="1" s="1"/>
  <c r="V94" i="5" s="1"/>
  <c r="S63" i="1"/>
  <c r="CY65" i="1"/>
  <c r="X65" i="1" s="1"/>
  <c r="T97" i="5" s="1"/>
  <c r="CZ65" i="1"/>
  <c r="Y65" i="1" s="1"/>
  <c r="V97" i="5" s="1"/>
  <c r="CZ67" i="1"/>
  <c r="Y67" i="1" s="1"/>
  <c r="V105" i="5" s="1"/>
  <c r="CY67" i="1"/>
  <c r="X67" i="1" s="1"/>
  <c r="T105" i="5" s="1"/>
  <c r="CP67" i="1"/>
  <c r="O67" i="1" s="1"/>
  <c r="K105" i="5" s="1"/>
  <c r="CY72" i="1"/>
  <c r="X72" i="1" s="1"/>
  <c r="GM72" i="1" s="1"/>
  <c r="EU18" i="1"/>
  <c r="P159" i="1"/>
  <c r="CY60" i="1"/>
  <c r="X60" i="1" s="1"/>
  <c r="GM60" i="1" s="1"/>
  <c r="CY73" i="1"/>
  <c r="X73" i="1" s="1"/>
  <c r="GM83" i="1"/>
  <c r="GN83" i="1"/>
  <c r="CZ52" i="1"/>
  <c r="Y52" i="1" s="1"/>
  <c r="GN52" i="1" s="1"/>
  <c r="U69" i="1"/>
  <c r="GM81" i="1"/>
  <c r="GN81" i="1"/>
  <c r="CY84" i="1"/>
  <c r="X84" i="1" s="1"/>
  <c r="CZ84" i="1"/>
  <c r="Y84" i="1" s="1"/>
  <c r="GN85" i="1"/>
  <c r="GM85" i="1"/>
  <c r="GK89" i="1"/>
  <c r="CZ89" i="1"/>
  <c r="Y89" i="1" s="1"/>
  <c r="AO22" i="1"/>
  <c r="AO143" i="1"/>
  <c r="F115" i="1"/>
  <c r="CY64" i="1"/>
  <c r="X64" i="1" s="1"/>
  <c r="S94" i="1"/>
  <c r="CZ40" i="1"/>
  <c r="Y40" i="1" s="1"/>
  <c r="GN40" i="1" s="1"/>
  <c r="CP65" i="1"/>
  <c r="O65" i="1" s="1"/>
  <c r="GM74" i="1"/>
  <c r="GN74" i="1"/>
  <c r="AB79" i="1"/>
  <c r="CP92" i="1"/>
  <c r="O92" i="1" s="1"/>
  <c r="R94" i="1"/>
  <c r="GK94" i="1" s="1"/>
  <c r="CY58" i="1"/>
  <c r="X58" i="1" s="1"/>
  <c r="GN58" i="1" s="1"/>
  <c r="GM86" i="1"/>
  <c r="GN86" i="1"/>
  <c r="GA22" i="1"/>
  <c r="GM98" i="1"/>
  <c r="GN98" i="1"/>
  <c r="CY77" i="1"/>
  <c r="X77" i="1" s="1"/>
  <c r="T118" i="5" s="1"/>
  <c r="CY104" i="1"/>
  <c r="X104" i="1" s="1"/>
  <c r="GN104" i="1" s="1"/>
  <c r="G107" i="5" l="1"/>
  <c r="O107" i="5" s="1"/>
  <c r="W107" i="5"/>
  <c r="G51" i="5"/>
  <c r="O51" i="5" s="1"/>
  <c r="W51" i="5"/>
  <c r="K168" i="5"/>
  <c r="CZ105" i="1"/>
  <c r="Y105" i="1" s="1"/>
  <c r="V167" i="5" s="1"/>
  <c r="K171" i="5" s="1"/>
  <c r="G33" i="5"/>
  <c r="O33" i="5" s="1"/>
  <c r="U177" i="5"/>
  <c r="S177" i="5"/>
  <c r="E177" i="5"/>
  <c r="H177" i="5"/>
  <c r="GM104" i="1"/>
  <c r="GM77" i="1"/>
  <c r="GM32" i="1"/>
  <c r="GM34" i="1"/>
  <c r="CP97" i="1"/>
  <c r="O97" i="1" s="1"/>
  <c r="CY66" i="1"/>
  <c r="X66" i="1" s="1"/>
  <c r="G64" i="5"/>
  <c r="O64" i="5" s="1"/>
  <c r="R105" i="1"/>
  <c r="GK105" i="1" s="1"/>
  <c r="CY35" i="1"/>
  <c r="X35" i="1" s="1"/>
  <c r="CZ35" i="1"/>
  <c r="Y35" i="1" s="1"/>
  <c r="V50" i="5" s="1"/>
  <c r="GN103" i="1"/>
  <c r="CP33" i="1"/>
  <c r="O33" i="1" s="1"/>
  <c r="GN72" i="1"/>
  <c r="GN68" i="1"/>
  <c r="K114" i="5"/>
  <c r="G166" i="5"/>
  <c r="O166" i="5" s="1"/>
  <c r="W166" i="5"/>
  <c r="K48" i="5"/>
  <c r="W33" i="5"/>
  <c r="G132" i="5"/>
  <c r="O132" i="5" s="1"/>
  <c r="W132" i="5"/>
  <c r="V133" i="5"/>
  <c r="K140" i="5" s="1"/>
  <c r="J142" i="5" s="1"/>
  <c r="P142" i="5" s="1"/>
  <c r="GM73" i="1"/>
  <c r="T116" i="5"/>
  <c r="K113" i="5" s="1"/>
  <c r="GN44" i="1"/>
  <c r="GM44" i="1"/>
  <c r="GN70" i="1"/>
  <c r="GM50" i="1"/>
  <c r="GN71" i="1"/>
  <c r="GN107" i="1"/>
  <c r="C175" i="5"/>
  <c r="U174" i="5"/>
  <c r="S174" i="5"/>
  <c r="E174" i="5"/>
  <c r="GM107" i="1"/>
  <c r="K174" i="5" s="1"/>
  <c r="J176" i="5" s="1"/>
  <c r="P176" i="5" s="1"/>
  <c r="H174" i="5"/>
  <c r="BC18" i="1"/>
  <c r="F159" i="1"/>
  <c r="G121" i="5"/>
  <c r="O121" i="5" s="1"/>
  <c r="W96" i="5"/>
  <c r="G96" i="5"/>
  <c r="O96" i="5" s="1"/>
  <c r="CP89" i="1"/>
  <c r="O89" i="1" s="1"/>
  <c r="GN89" i="1" s="1"/>
  <c r="CP66" i="1"/>
  <c r="O66" i="1" s="1"/>
  <c r="GN77" i="1"/>
  <c r="GM42" i="1"/>
  <c r="EA111" i="1"/>
  <c r="DN111" i="1" s="1"/>
  <c r="G154" i="5"/>
  <c r="O154" i="5" s="1"/>
  <c r="E167" i="5"/>
  <c r="GX105" i="1"/>
  <c r="H169" i="5"/>
  <c r="U167" i="5"/>
  <c r="H171" i="5" s="1"/>
  <c r="U105" i="1"/>
  <c r="V105" i="1"/>
  <c r="S167" i="5"/>
  <c r="H170" i="5" s="1"/>
  <c r="T105" i="1"/>
  <c r="CX241" i="3"/>
  <c r="Q105" i="1"/>
  <c r="W105" i="1"/>
  <c r="EB111" i="1" s="1"/>
  <c r="H168" i="5"/>
  <c r="CX242" i="3"/>
  <c r="P105" i="1"/>
  <c r="W41" i="5"/>
  <c r="K87" i="5"/>
  <c r="CP57" i="1"/>
  <c r="O57" i="1" s="1"/>
  <c r="EG18" i="1"/>
  <c r="P147" i="1"/>
  <c r="EL22" i="1"/>
  <c r="GN93" i="1"/>
  <c r="T152" i="5"/>
  <c r="K149" i="5" s="1"/>
  <c r="J154" i="5" s="1"/>
  <c r="P154" i="5" s="1"/>
  <c r="GM93" i="1"/>
  <c r="V152" i="5"/>
  <c r="K150" i="5" s="1"/>
  <c r="AP143" i="1"/>
  <c r="F152" i="1" s="1"/>
  <c r="AQ18" i="1"/>
  <c r="F153" i="1"/>
  <c r="AG22" i="1"/>
  <c r="T111" i="1"/>
  <c r="AI22" i="1"/>
  <c r="V111" i="1"/>
  <c r="EM18" i="1"/>
  <c r="P162" i="1"/>
  <c r="ET18" i="1"/>
  <c r="P156" i="1"/>
  <c r="GM58" i="1"/>
  <c r="BB18" i="1"/>
  <c r="F156" i="1"/>
  <c r="GN60" i="1"/>
  <c r="GN46" i="1"/>
  <c r="AU18" i="1"/>
  <c r="F162" i="1"/>
  <c r="AX18" i="1"/>
  <c r="F150" i="1"/>
  <c r="ER22" i="1"/>
  <c r="ER143" i="1"/>
  <c r="P122" i="1"/>
  <c r="GM92" i="1"/>
  <c r="GN92" i="1"/>
  <c r="CZ94" i="1"/>
  <c r="Y94" i="1" s="1"/>
  <c r="AL111" i="1" s="1"/>
  <c r="CY94" i="1"/>
  <c r="X94" i="1" s="1"/>
  <c r="AK111" i="1" s="1"/>
  <c r="GN36" i="1"/>
  <c r="GK27" i="1"/>
  <c r="DW111" i="1"/>
  <c r="AE111" i="1"/>
  <c r="GN30" i="1"/>
  <c r="EH18" i="1"/>
  <c r="P152" i="1"/>
  <c r="GM90" i="1"/>
  <c r="GN90" i="1"/>
  <c r="GM61" i="1"/>
  <c r="GN61" i="1"/>
  <c r="CP59" i="1"/>
  <c r="O59" i="1" s="1"/>
  <c r="K93" i="5" s="1"/>
  <c r="GM62" i="1"/>
  <c r="GN73" i="1"/>
  <c r="GM54" i="1"/>
  <c r="GN42" i="1"/>
  <c r="DY111" i="1"/>
  <c r="CY27" i="1"/>
  <c r="X27" i="1" s="1"/>
  <c r="T32" i="5" s="1"/>
  <c r="K29" i="5" s="1"/>
  <c r="J33" i="5" s="1"/>
  <c r="P33" i="5" s="1"/>
  <c r="CZ27" i="1"/>
  <c r="Y27" i="1" s="1"/>
  <c r="V32" i="5" s="1"/>
  <c r="K30" i="5" s="1"/>
  <c r="DX111" i="1"/>
  <c r="EL18" i="1"/>
  <c r="P161" i="1"/>
  <c r="GM102" i="1"/>
  <c r="GN102" i="1"/>
  <c r="EP22" i="1"/>
  <c r="EP143" i="1"/>
  <c r="P118" i="1"/>
  <c r="GM52" i="1"/>
  <c r="GX109" i="1"/>
  <c r="GM109" i="1"/>
  <c r="K177" i="5" s="1"/>
  <c r="J178" i="5" s="1"/>
  <c r="P178" i="5" s="1"/>
  <c r="GN109" i="1"/>
  <c r="EI18" i="1"/>
  <c r="P153" i="1"/>
  <c r="AZ22" i="1"/>
  <c r="AZ143" i="1"/>
  <c r="F122" i="1"/>
  <c r="GN79" i="1"/>
  <c r="GM79" i="1"/>
  <c r="DZ111" i="1"/>
  <c r="AF111" i="1"/>
  <c r="AH22" i="1"/>
  <c r="U111" i="1"/>
  <c r="GM40" i="1"/>
  <c r="GM84" i="1"/>
  <c r="GN84" i="1"/>
  <c r="GN38" i="1"/>
  <c r="AD22" i="1"/>
  <c r="Q111" i="1"/>
  <c r="GM26" i="1"/>
  <c r="GN26" i="1"/>
  <c r="GM96" i="1"/>
  <c r="GN32" i="1"/>
  <c r="GN78" i="1"/>
  <c r="AO18" i="1"/>
  <c r="F147" i="1"/>
  <c r="CZ63" i="1"/>
  <c r="Y63" i="1" s="1"/>
  <c r="V95" i="5" s="1"/>
  <c r="K91" i="5" s="1"/>
  <c r="CY63" i="1"/>
  <c r="X63" i="1" s="1"/>
  <c r="T95" i="5" s="1"/>
  <c r="K90" i="5" s="1"/>
  <c r="GM43" i="1"/>
  <c r="GN43" i="1"/>
  <c r="GM24" i="1"/>
  <c r="GN24" i="1"/>
  <c r="GM25" i="1"/>
  <c r="GN25" i="1"/>
  <c r="GM65" i="1"/>
  <c r="GN65" i="1"/>
  <c r="GM67" i="1"/>
  <c r="GN67" i="1"/>
  <c r="CJ22" i="1"/>
  <c r="BA111" i="1"/>
  <c r="GN64" i="1"/>
  <c r="GM64" i="1"/>
  <c r="GB111" i="1"/>
  <c r="AC22" i="1"/>
  <c r="P111" i="1"/>
  <c r="CF111" i="1"/>
  <c r="CE111" i="1"/>
  <c r="CH111" i="1"/>
  <c r="DV111" i="1"/>
  <c r="DU111" i="1"/>
  <c r="CP63" i="1"/>
  <c r="O63" i="1" s="1"/>
  <c r="K95" i="5" s="1"/>
  <c r="CP69" i="1"/>
  <c r="O69" i="1" s="1"/>
  <c r="K106" i="5" s="1"/>
  <c r="CY69" i="1"/>
  <c r="X69" i="1" s="1"/>
  <c r="T106" i="5" s="1"/>
  <c r="K102" i="5" s="1"/>
  <c r="J107" i="5" s="1"/>
  <c r="P107" i="5" s="1"/>
  <c r="CZ69" i="1"/>
  <c r="Y69" i="1" s="1"/>
  <c r="V106" i="5" s="1"/>
  <c r="K103" i="5" s="1"/>
  <c r="AP18" i="1"/>
  <c r="GN100" i="1"/>
  <c r="GM100" i="1"/>
  <c r="GN31" i="1"/>
  <c r="GM31" i="1"/>
  <c r="AJ22" i="1"/>
  <c r="W111" i="1"/>
  <c r="AT18" i="1"/>
  <c r="F161" i="1"/>
  <c r="CP94" i="1"/>
  <c r="O94" i="1" s="1"/>
  <c r="EB22" i="1" l="1"/>
  <c r="DO111" i="1"/>
  <c r="EA22" i="1"/>
  <c r="R168" i="5"/>
  <c r="G19" i="5" s="1"/>
  <c r="G173" i="5"/>
  <c r="O173" i="5" s="1"/>
  <c r="G180" i="5" s="1"/>
  <c r="W173" i="5"/>
  <c r="G16" i="5"/>
  <c r="GN66" i="1"/>
  <c r="GM66" i="1"/>
  <c r="G176" i="5"/>
  <c r="O176" i="5" s="1"/>
  <c r="W176" i="5"/>
  <c r="G17" i="5" s="1"/>
  <c r="GM89" i="1"/>
  <c r="J51" i="5"/>
  <c r="P51" i="5" s="1"/>
  <c r="J180" i="5" s="1"/>
  <c r="GM33" i="1"/>
  <c r="GN33" i="1"/>
  <c r="GM97" i="1"/>
  <c r="GN97" i="1"/>
  <c r="CY105" i="1"/>
  <c r="X105" i="1" s="1"/>
  <c r="T167" i="5" s="1"/>
  <c r="K170" i="5" s="1"/>
  <c r="J121" i="5"/>
  <c r="P121" i="5" s="1"/>
  <c r="G178" i="5"/>
  <c r="O178" i="5" s="1"/>
  <c r="W178" i="5"/>
  <c r="GM57" i="1"/>
  <c r="GN57" i="1"/>
  <c r="K169" i="5"/>
  <c r="J173" i="5" s="1"/>
  <c r="P173" i="5" s="1"/>
  <c r="CP105" i="1"/>
  <c r="O105" i="1" s="1"/>
  <c r="J96" i="5"/>
  <c r="P96" i="5" s="1"/>
  <c r="L173" i="5"/>
  <c r="Q173" i="5" s="1"/>
  <c r="L180" i="5" s="1"/>
  <c r="L172" i="5"/>
  <c r="T50" i="5"/>
  <c r="K47" i="5" s="1"/>
  <c r="GM35" i="1"/>
  <c r="GN35" i="1"/>
  <c r="AL22" i="1"/>
  <c r="Y111" i="1"/>
  <c r="AK22" i="1"/>
  <c r="X111" i="1"/>
  <c r="DV22" i="1"/>
  <c r="DI111" i="1"/>
  <c r="P22" i="1"/>
  <c r="F114" i="1"/>
  <c r="P143" i="1"/>
  <c r="ED111" i="1"/>
  <c r="DW22" i="1"/>
  <c r="DJ111" i="1"/>
  <c r="ER18" i="1"/>
  <c r="P154" i="1"/>
  <c r="V22" i="1"/>
  <c r="F134" i="1"/>
  <c r="V143" i="1"/>
  <c r="DN22" i="1"/>
  <c r="DN143" i="1"/>
  <c r="P134" i="1"/>
  <c r="W22" i="1"/>
  <c r="F135" i="1"/>
  <c r="W143" i="1"/>
  <c r="GM63" i="1"/>
  <c r="GN63" i="1"/>
  <c r="CH22" i="1"/>
  <c r="AY111" i="1"/>
  <c r="BA22" i="1"/>
  <c r="BA143" i="1"/>
  <c r="F131" i="1"/>
  <c r="H16" i="2" s="1"/>
  <c r="H18" i="2" s="1"/>
  <c r="DZ22" i="1"/>
  <c r="DM111" i="1"/>
  <c r="AZ18" i="1"/>
  <c r="F154" i="1"/>
  <c r="EC111" i="1"/>
  <c r="GM69" i="1"/>
  <c r="GN69" i="1"/>
  <c r="AF22" i="1"/>
  <c r="S111" i="1"/>
  <c r="GM94" i="1"/>
  <c r="GN94" i="1"/>
  <c r="CE22" i="1"/>
  <c r="AV111" i="1"/>
  <c r="GB22" i="1"/>
  <c r="ES111" i="1"/>
  <c r="AB111" i="1"/>
  <c r="U22" i="1"/>
  <c r="U143" i="1"/>
  <c r="F133" i="1"/>
  <c r="EP18" i="1"/>
  <c r="P150" i="1"/>
  <c r="GM27" i="1"/>
  <c r="DY22" i="1"/>
  <c r="DL111" i="1"/>
  <c r="DO22" i="1"/>
  <c r="P135" i="1"/>
  <c r="DO143" i="1"/>
  <c r="T22" i="1"/>
  <c r="F132" i="1"/>
  <c r="T143" i="1"/>
  <c r="CA111" i="1"/>
  <c r="Q22" i="1"/>
  <c r="Q143" i="1"/>
  <c r="F123" i="1"/>
  <c r="DU22" i="1"/>
  <c r="DH111" i="1"/>
  <c r="FX111" i="1"/>
  <c r="FW111" i="1"/>
  <c r="FZ111" i="1"/>
  <c r="CF22" i="1"/>
  <c r="AW111" i="1"/>
  <c r="DT111" i="1"/>
  <c r="CB111" i="1"/>
  <c r="GN27" i="1"/>
  <c r="DX22" i="1"/>
  <c r="DK111" i="1"/>
  <c r="GM59" i="1"/>
  <c r="GN59" i="1"/>
  <c r="AE22" i="1"/>
  <c r="R111" i="1"/>
  <c r="GM105" i="1" l="1"/>
  <c r="GN105" i="1"/>
  <c r="FS111" i="1"/>
  <c r="FS22" i="1" s="1"/>
  <c r="FT111" i="1"/>
  <c r="FT22" i="1"/>
  <c r="EK111" i="1"/>
  <c r="CA22" i="1"/>
  <c r="AR111" i="1"/>
  <c r="AW22" i="1"/>
  <c r="AW143" i="1"/>
  <c r="F117" i="1"/>
  <c r="DH22" i="1"/>
  <c r="DH143" i="1"/>
  <c r="P114" i="1"/>
  <c r="DL22" i="1"/>
  <c r="DL143" i="1"/>
  <c r="P132" i="1"/>
  <c r="AB22" i="1"/>
  <c r="O111" i="1"/>
  <c r="AY22" i="1"/>
  <c r="F119" i="1"/>
  <c r="AY143" i="1"/>
  <c r="W18" i="1"/>
  <c r="F167" i="1"/>
  <c r="DN18" i="1"/>
  <c r="P166" i="1"/>
  <c r="X22" i="1"/>
  <c r="F136" i="1"/>
  <c r="X143" i="1"/>
  <c r="CB22" i="1"/>
  <c r="AS111" i="1"/>
  <c r="DO18" i="1"/>
  <c r="P167" i="1"/>
  <c r="ES22" i="1"/>
  <c r="P131" i="1"/>
  <c r="W16" i="2" s="1"/>
  <c r="W18" i="2" s="1"/>
  <c r="ES143" i="1"/>
  <c r="ED22" i="1"/>
  <c r="DQ111" i="1"/>
  <c r="R22" i="1"/>
  <c r="R143" i="1"/>
  <c r="F125" i="1"/>
  <c r="DK22" i="1"/>
  <c r="DK143" i="1"/>
  <c r="P126" i="1"/>
  <c r="DT22" i="1"/>
  <c r="DG111" i="1"/>
  <c r="FW22" i="1"/>
  <c r="EN111" i="1"/>
  <c r="T18" i="1"/>
  <c r="F164" i="1"/>
  <c r="U18" i="1"/>
  <c r="F165" i="1"/>
  <c r="DM22" i="1"/>
  <c r="P133" i="1"/>
  <c r="I18" i="5" s="1"/>
  <c r="G18" i="5" s="1"/>
  <c r="DM143" i="1"/>
  <c r="BA18" i="1"/>
  <c r="F163" i="1"/>
  <c r="V18" i="1"/>
  <c r="F166" i="1"/>
  <c r="DI22" i="1"/>
  <c r="P123" i="1"/>
  <c r="DI143" i="1"/>
  <c r="Y22" i="1"/>
  <c r="Y143" i="1"/>
  <c r="F137" i="1"/>
  <c r="FZ22" i="1"/>
  <c r="EQ111" i="1"/>
  <c r="FX22" i="1"/>
  <c r="EO111" i="1"/>
  <c r="Q18" i="1"/>
  <c r="F155" i="1"/>
  <c r="AV22" i="1"/>
  <c r="AV143" i="1"/>
  <c r="F116" i="1"/>
  <c r="S22" i="1"/>
  <c r="F126" i="1"/>
  <c r="J16" i="2" s="1"/>
  <c r="J18" i="2" s="1"/>
  <c r="S143" i="1"/>
  <c r="EC22" i="1"/>
  <c r="DP111" i="1"/>
  <c r="DJ22" i="1"/>
  <c r="P125" i="1"/>
  <c r="DJ143" i="1"/>
  <c r="P18" i="1"/>
  <c r="F146" i="1"/>
  <c r="EJ111" i="1" l="1"/>
  <c r="Y16" i="2"/>
  <c r="Y18" i="2" s="1"/>
  <c r="I19" i="5"/>
  <c r="DH18" i="1"/>
  <c r="P146" i="1"/>
  <c r="DJ18" i="1"/>
  <c r="P157" i="1"/>
  <c r="DI18" i="1"/>
  <c r="P155" i="1"/>
  <c r="DG22" i="1"/>
  <c r="P113" i="1"/>
  <c r="DG143" i="1"/>
  <c r="DQ22" i="1"/>
  <c r="P137" i="1"/>
  <c r="DQ143" i="1"/>
  <c r="AY18" i="1"/>
  <c r="F151" i="1"/>
  <c r="AW18" i="1"/>
  <c r="F149" i="1"/>
  <c r="EK22" i="1"/>
  <c r="EK143" i="1"/>
  <c r="P128" i="1"/>
  <c r="S18" i="1"/>
  <c r="F158" i="1"/>
  <c r="EO22" i="1"/>
  <c r="P117" i="1"/>
  <c r="EO143" i="1"/>
  <c r="X18" i="1"/>
  <c r="F168" i="1"/>
  <c r="Y18" i="1"/>
  <c r="F169" i="1"/>
  <c r="EN22" i="1"/>
  <c r="P116" i="1"/>
  <c r="EN143" i="1"/>
  <c r="R18" i="1"/>
  <c r="F157" i="1"/>
  <c r="ES18" i="1"/>
  <c r="P163" i="1"/>
  <c r="DL18" i="1"/>
  <c r="P164" i="1"/>
  <c r="AR22" i="1"/>
  <c r="AR143" i="1"/>
  <c r="F138" i="1"/>
  <c r="F139" i="1" s="1"/>
  <c r="EJ22" i="1"/>
  <c r="EJ143" i="1"/>
  <c r="P138" i="1"/>
  <c r="P139" i="1" s="1"/>
  <c r="AV18" i="1"/>
  <c r="F148" i="1"/>
  <c r="DP22" i="1"/>
  <c r="DP143" i="1"/>
  <c r="P136" i="1"/>
  <c r="EQ22" i="1"/>
  <c r="P119" i="1"/>
  <c r="EQ143" i="1"/>
  <c r="DM18" i="1"/>
  <c r="P165" i="1"/>
  <c r="DK18" i="1"/>
  <c r="P158" i="1"/>
  <c r="AS22" i="1"/>
  <c r="F128" i="1"/>
  <c r="E16" i="2" s="1"/>
  <c r="AS143" i="1"/>
  <c r="O22" i="1"/>
  <c r="F113" i="1"/>
  <c r="O143" i="1"/>
  <c r="T16" i="2" l="1"/>
  <c r="X16" i="2" s="1"/>
  <c r="X18" i="2" s="1"/>
  <c r="I17" i="5"/>
  <c r="EO18" i="1"/>
  <c r="P149" i="1"/>
  <c r="DQ18" i="1"/>
  <c r="P169" i="1"/>
  <c r="EQ18" i="1"/>
  <c r="P151" i="1"/>
  <c r="DP18" i="1"/>
  <c r="P168" i="1"/>
  <c r="P140" i="1"/>
  <c r="J181" i="5" s="1"/>
  <c r="AR18" i="1"/>
  <c r="F170" i="1"/>
  <c r="F171" i="1" s="1"/>
  <c r="EN18" i="1"/>
  <c r="P148" i="1"/>
  <c r="O18" i="1"/>
  <c r="F145" i="1"/>
  <c r="F140" i="1"/>
  <c r="F141" i="1" s="1"/>
  <c r="AS18" i="1"/>
  <c r="F160" i="1"/>
  <c r="EJ18" i="1"/>
  <c r="P170" i="1"/>
  <c r="P171" i="1" s="1"/>
  <c r="EK18" i="1"/>
  <c r="P160" i="1"/>
  <c r="I16" i="2"/>
  <c r="I18" i="2" s="1"/>
  <c r="E18" i="2"/>
  <c r="DG18" i="1"/>
  <c r="P145" i="1"/>
  <c r="T18" i="2" l="1"/>
  <c r="P141" i="1"/>
  <c r="J182" i="5" s="1"/>
  <c r="P172" i="1"/>
  <c r="P173" i="1" s="1"/>
  <c r="F172" i="1"/>
  <c r="F173" i="1" s="1"/>
  <c r="I16" i="5" l="1"/>
</calcChain>
</file>

<file path=xl/sharedStrings.xml><?xml version="1.0" encoding="utf-8"?>
<sst xmlns="http://schemas.openxmlformats.org/spreadsheetml/2006/main" count="6814" uniqueCount="548">
  <si>
    <t>Smeta.RU  (495) 974-1589</t>
  </si>
  <si>
    <t>_PS_</t>
  </si>
  <si>
    <t>Smeta.RU</t>
  </si>
  <si>
    <t>НИЯУ МИФИ  Доп. раб. место  MCCS-0016187</t>
  </si>
  <si>
    <t>на 4 кв 2017</t>
  </si>
  <si>
    <t>На выполнение работ по замене напольного покрытия в коридорах 2-го, 3-го, 4-го, 5-го этажей с установкой противопожарной перегородки в коридорах с 1-го по 5-й этаж здания общежития НИЯУ МИФИ по адресу: г. Москва, ул. Москворечье, д. 19, к. 4_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</si>
  <si>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</si>
  <si>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</si>
  <si>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</si>
  <si>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</si>
  <si>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</si>
  <si>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</si>
  <si>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</si>
  <si>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</si>
  <si>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57-2-1</t>
  </si>
  <si>
    <t>Разборка покрытий полов из линолеума и релина</t>
  </si>
  <si>
    <t>100 м2</t>
  </si>
  <si>
    <t>ФЕР-2001, 57-2-1, приказ Минстроя России №1039/пр от 30.12.2016г.</t>
  </si>
  <si>
    <t>Ремонтно-строительные работы</t>
  </si>
  <si>
    <t>Полы</t>
  </si>
  <si>
    <t>рФЕР-57</t>
  </si>
  <si>
    <t>1,1</t>
  </si>
  <si>
    <t>01.7.07.07</t>
  </si>
  <si>
    <t>Строительный мусор</t>
  </si>
  <si>
    <t>т</t>
  </si>
  <si>
    <t>2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</si>
  <si>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</si>
  <si>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</si>
  <si>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</si>
  <si>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</si>
  <si>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2,1</t>
  </si>
  <si>
    <t>3</t>
  </si>
  <si>
    <t>57-2-4</t>
  </si>
  <si>
    <t>Разборка покрытий полов цементных толщиной 30 мм</t>
  </si>
  <si>
    <t>ФЕР-2001, 57-2-4, приказ Минстроя России №1039/пр от 30.12.2016г.</t>
  </si>
  <si>
    <t>3,1</t>
  </si>
  <si>
    <t>4</t>
  </si>
  <si>
    <t>11-01-004-09</t>
  </si>
  <si>
    <t>Устройство гидроизоляции обмазочной в один слой праймером</t>
  </si>
  <si>
    <t>ФЕР-2001, 11-01-004-09, приказ Минстроя России №1039/пр от 30.12.2016г.</t>
  </si>
  <si>
    <t>)*1,25</t>
  </si>
  <si>
    <t>)*1,15</t>
  </si>
  <si>
    <t>Общестроительные работы</t>
  </si>
  <si>
    <t>ФЕР-11</t>
  </si>
  <si>
    <t>Поправка: МДС 81-35.2004, п.4.7</t>
  </si>
  <si>
    <t>*0,9</t>
  </si>
  <si>
    <t>*0,85</t>
  </si>
  <si>
    <t>4,1</t>
  </si>
  <si>
    <t>14.3.01.01-0001</t>
  </si>
  <si>
    <t>Грунтовка: «Бетоконтакт», КНАУФ</t>
  </si>
  <si>
    <t>кг</t>
  </si>
  <si>
    <t>ФССЦ-2001, 14.3.01.01-0001, приказ Минстроя России №1039/пр от 30.12.2016г.</t>
  </si>
  <si>
    <t>4,2</t>
  </si>
  <si>
    <t>01.2.01.02-0054</t>
  </si>
  <si>
    <t>Битумы нефтяные строительные марки БН-90/10</t>
  </si>
  <si>
    <t>ФССЦ-2001, 01.2.01.02-0054, приказ Минстроя России №1039/пр от 30.12.2016г.</t>
  </si>
  <si>
    <t>4,3</t>
  </si>
  <si>
    <t>01.3.01.03-0002</t>
  </si>
  <si>
    <t>Керосин для технических целей марок КТ-1, КТ-2</t>
  </si>
  <si>
    <t>ФССЦ-2001, 01.3.01.03-0002, приказ Минстроя России №1039/пр от 30.12.2016г.</t>
  </si>
  <si>
    <t>5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</si>
  <si>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</si>
  <si>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</si>
  <si>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</si>
  <si>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6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</si>
  <si>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</si>
  <si>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</si>
  <si>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</si>
  <si>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*10</t>
  </si>
  <si>
    <t>)*1,25*10</t>
  </si>
  <si>
    <t>)*1,15*10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</si>
  <si>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</si>
  <si>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</si>
  <si>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</si>
  <si>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04.3.01.09</t>
  </si>
  <si>
    <t>Раствор готовый кладочный тяжелый цементный</t>
  </si>
  <si>
    <t>м3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</si>
  <si>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</si>
  <si>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</si>
  <si>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</si>
  <si>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7</t>
  </si>
  <si>
    <t>11-01-047-01</t>
  </si>
  <si>
    <t>Устройство покрытий из плит керамогранитных размером 30х30 см</t>
  </si>
  <si>
    <t>ФЕР-2001, 11-01-047-01, приказ Минстроя России №1039/пр от 30.12.2016г.</t>
  </si>
  <si>
    <t>7,1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</si>
  <si>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</si>
  <si>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</si>
  <si>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</si>
  <si>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</si>
  <si>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7,2</t>
  </si>
  <si>
    <t>06.2.05.03-0003</t>
  </si>
  <si>
    <t>Гранит керамический многоцветный неполированный, размером 400х400х9 мм</t>
  </si>
  <si>
    <t>м2</t>
  </si>
  <si>
    <t>ФССЦ-2001, 06.2.05.03-0003, приказ Минстроя России №1039/пр от 30.12.2016г.</t>
  </si>
  <si>
    <t>7,3</t>
  </si>
  <si>
    <t>06.2.05.03-0054</t>
  </si>
  <si>
    <t>Плитки керамогранитные размером 300х300х8 мм, серые</t>
  </si>
  <si>
    <t>ФССЦ-2001, 06.2.05.03-0054, приказ Минстроя России №1039/пр от 30.12.2016г.</t>
  </si>
  <si>
    <t>8</t>
  </si>
  <si>
    <t>11-01-039-04</t>
  </si>
  <si>
    <t>Устройство плинтусов из плиток керамогранитных</t>
  </si>
  <si>
    <t>ФЕР-2001, 11-01-039-04, приказ Минстроя России №1039/пр от 30.12.2016г.</t>
  </si>
  <si>
    <t>8,1</t>
  </si>
  <si>
    <t>8,2</t>
  </si>
  <si>
    <t>14.1.06.02-0044</t>
  </si>
  <si>
    <t>Клей плиточный «Юнис Гранит»</t>
  </si>
  <si>
    <t>ФССЦ-2001, 14.1.06.02-0044, приказ Минстроя России №1039/пр от 30.12.2016г.</t>
  </si>
  <si>
    <t>9</t>
  </si>
  <si>
    <t>10-06-032-02</t>
  </si>
  <si>
    <t>Устройство перегородок из гипсоволокнистых листов (ГВЛ) по системе «КНАУФ» с одинарным металлическим каркасом и двухслойной обшивкой с обеих сторон (С 362) с одним дверным проемом</t>
  </si>
  <si>
    <t>ФЕР-2001, 10-06-032-02, приказ Минстроя России №1039/пр от 30.12.2016г.</t>
  </si>
  <si>
    <t>Деревянные конструкции</t>
  </si>
  <si>
    <t>ФЕР-10</t>
  </si>
  <si>
    <t>9,1</t>
  </si>
  <si>
    <t>12.2.05.02-0002</t>
  </si>
  <si>
    <t>Плиты из минеральной ваты гидрофобизированные негорючие на основе каменных пород "Изолайт" (плотность 50)</t>
  </si>
  <si>
    <t>ФССЦ-2001, 12.2.05.02-0002, приказ Минстроя России №1039/пр от 30.12.2016г.</t>
  </si>
  <si>
    <t>9,2</t>
  </si>
  <si>
    <t>07.2.06.03-0112</t>
  </si>
  <si>
    <t>Профиль направляющий ПН-2 50/40/0,6</t>
  </si>
  <si>
    <t>м</t>
  </si>
  <si>
    <t>ФССЦ-2001, 07.2.06.03-0112, приказ Минстроя России №1039/пр от 30.12.2016г.</t>
  </si>
  <si>
    <t>9,3</t>
  </si>
  <si>
    <t>01.6.01.02-0010</t>
  </si>
  <si>
    <t>Листы гипсокартонные огнестойкие, ГИПРОК, толщиной 15 мм</t>
  </si>
  <si>
    <t>ФССЦ-2001, 01.6.01.02-0010, приказ Минстроя России №1039/пр от 30.12.2016г.</t>
  </si>
  <si>
    <t>9,4</t>
  </si>
  <si>
    <t>07.2.06.03-0195</t>
  </si>
  <si>
    <t>Профиль стоечный ПС-2 50/50/0,6</t>
  </si>
  <si>
    <t>ФССЦ-2001, 07.2.06.03-0195, приказ Минстроя России №1039/пр от 30.12.2016г.</t>
  </si>
  <si>
    <t>9,5</t>
  </si>
  <si>
    <t>01.7.06.01-0042</t>
  </si>
  <si>
    <t>Лента эластичная самоклеящаяся для профилей направляющих «Дихтунгсбанд» 50/30000 мм</t>
  </si>
  <si>
    <t>ФССЦ-2001, 01.7.06.01-0042, приказ Минстроя России №1039/пр от 30.12.2016г.</t>
  </si>
  <si>
    <t>10</t>
  </si>
  <si>
    <t>56-23-1</t>
  </si>
  <si>
    <t>ФЕР-2001, 56-23-1, приказ Минстроя России №1039/пр от 30.12.2016г.</t>
  </si>
  <si>
    <t>Проемы</t>
  </si>
  <si>
    <t>рФЕР-56</t>
  </si>
  <si>
    <t>10,1</t>
  </si>
  <si>
    <t>08.3.08.02-0011</t>
  </si>
  <si>
    <t>Угловой равнополочный горячекатаный прокат толщиной 11-30 мм, при ширине полки 180-200 мм, из углеродистой обыкновенного качества стали марки Ст6сп</t>
  </si>
  <si>
    <t>ФССЦ-2001, 08.3.08.02-0011, приказ Минстроя России №1039/пр от 30.12.2016г.</t>
  </si>
  <si>
    <t>10,2</t>
  </si>
  <si>
    <t>23.3.08.01-0056</t>
  </si>
  <si>
    <t>Трубы стальные квадратные (ГОСТ 8639-82) размером 70х70 мм, толщина стенки 5 мм</t>
  </si>
  <si>
    <t>ФССЦ-2001, 23.3.08.01-0056, приказ Минстроя России №1039/пр от 30.12.2016г.</t>
  </si>
  <si>
    <t>11</t>
  </si>
  <si>
    <t>13-03-002-04</t>
  </si>
  <si>
    <t>Огрунтовка металлических поверхностей за один раз грунтовкой ГФ-021</t>
  </si>
  <si>
    <t>ФЕР-2001, 13-03-002-04, приказ Минстроя России №1039/пр от 30.12.2016г.</t>
  </si>
  <si>
    <t>Защита строительных конструкций</t>
  </si>
  <si>
    <t>ФЕР-13</t>
  </si>
  <si>
    <t>12</t>
  </si>
  <si>
    <t>15-04-007-03</t>
  </si>
  <si>
    <t>Окраска водно-дисперсионными акриловыми составами улучшенная по сборным конструкциям стен, подготовленным под окраску</t>
  </si>
  <si>
    <t>ФЕР-2001, 15-04-007-03, приказ Минстроя России №1039/пр от 30.12.2016г.</t>
  </si>
  <si>
    <t>Отделочные работы</t>
  </si>
  <si>
    <t>ФЕР-15</t>
  </si>
  <si>
    <t>12,1</t>
  </si>
  <si>
    <t>14.2.02.03-0025</t>
  </si>
  <si>
    <t>Краска огнезащитная водно-дисперсионная акриловая однокомпонентная ВД-АК- 223 Defender C (ТУ 2316-002-76044141-06)</t>
  </si>
  <si>
    <t>ФССЦ-2001, 14.2.02.03-0025, приказ Минстроя России №1039/пр от 30.12.2016г.</t>
  </si>
  <si>
    <t>12,2</t>
  </si>
  <si>
    <t>14.4.01.02-0101</t>
  </si>
  <si>
    <t>Грунтовка: акриловая глубокого проникновения "БИРСС Грунт КШ"</t>
  </si>
  <si>
    <t>ФССЦ-2001, 14.4.01.02-0101, приказ Минстроя России №1039/пр от 30.12.2016г.</t>
  </si>
  <si>
    <t>13</t>
  </si>
  <si>
    <t>09-04-013-04</t>
  </si>
  <si>
    <t>Установка противопожарных дверей двупольных остекленных</t>
  </si>
  <si>
    <t>ФЕР-2001, 09-04-013-04, приказ Минстроя России №1039/пр от 30.12.2016г.</t>
  </si>
  <si>
    <t>Металлические конструкции</t>
  </si>
  <si>
    <t>ФЕР-09</t>
  </si>
  <si>
    <t>13,1</t>
  </si>
  <si>
    <t>07.1.01.01-0025</t>
  </si>
  <si>
    <t>Дверь противопожарная металлическая остекленная двупольная ДПМО-02/60, размером 1600х2100 мм</t>
  </si>
  <si>
    <t>шт.</t>
  </si>
  <si>
    <t>ФССЦ-2001, 07.1.01.01-0025, приказ Минстроя России №1039/пр от 30.12.2016г.</t>
  </si>
  <si>
    <t>13,2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</si>
  <si>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</si>
  <si>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</si>
  <si>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</si>
  <si>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13,3</t>
  </si>
  <si>
    <t>01.7.04.04-0012</t>
  </si>
  <si>
    <t>Замок врезной оцинкованный антипаника</t>
  </si>
  <si>
    <t>компл.</t>
  </si>
  <si>
    <t>ФССЦ-2001, 01.7.04.04-0012, приказ Минстроя России №1039/пр от 30.12.2016г.</t>
  </si>
  <si>
    <t>14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</si>
  <si>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</si>
  <si>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</si>
  <si>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</si>
  <si>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</si>
  <si>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</si>
  <si>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15</t>
  </si>
  <si>
    <t>т01-01-01-041</t>
  </si>
  <si>
    <t>Погрузка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</si>
  <si>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</si>
  <si>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№899/пр от 11.12.2015 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</si>
  <si>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</si>
  <si>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</si>
  <si>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</si>
  <si>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16</t>
  </si>
  <si>
    <t>т03-01-01-050</t>
  </si>
  <si>
    <t>Перевозка грузов I класса автомобилями бортовыми грузоподъемностью до 15 т на расстояние до 50 км</t>
  </si>
  <si>
    <t>ФССЦпг-2001, т03-01-01-050,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</si>
  <si>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</si>
  <si>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</si>
  <si>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</si>
  <si>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</si>
  <si>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</si>
  <si>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</si>
  <si>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</si>
  <si>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</si>
  <si>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</si>
  <si>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</si>
  <si>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</si>
  <si>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</si>
  <si>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</si>
  <si>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</si>
  <si>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</si>
  <si>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</si>
  <si>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</si>
  <si>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</si>
  <si>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</si>
  <si>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</si>
  <si>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</si>
  <si>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</si>
  <si>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</si>
  <si>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</si>
  <si>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</si>
  <si>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</si>
  <si>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</si>
  <si>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</si>
  <si>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</si>
  <si>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</si>
  <si>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</si>
  <si>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</si>
  <si>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</si>
  <si>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</si>
  <si>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</si>
  <si>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</si>
  <si>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</si>
  <si>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</si>
  <si>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</si>
  <si>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</si>
  <si>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</si>
  <si>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</si>
  <si>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</si>
  <si>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</si>
  <si>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</si>
  <si>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</si>
  <si>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</si>
  <si>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</si>
  <si>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</si>
  <si>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</si>
  <si>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</si>
  <si>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</si>
  <si>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</si>
  <si>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</si>
  <si>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</si>
  <si>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</si>
  <si>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</si>
  <si>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</si>
  <si>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</si>
  <si>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</si>
  <si>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</si>
  <si>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</si>
  <si>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</si>
  <si>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</si>
  <si>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</si>
  <si>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</si>
  <si>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</si>
  <si>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</si>
  <si>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</si>
  <si>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</si>
  <si>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</si>
  <si>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</si>
  <si>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</si>
  <si>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</si>
  <si>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</si>
  <si>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</si>
  <si>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</si>
  <si>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</si>
  <si>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</si>
  <si>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</si>
  <si>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</si>
  <si>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</si>
  <si>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</si>
  <si>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</si>
  <si>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</si>
  <si>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</si>
  <si>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</si>
  <si>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</si>
  <si>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</si>
  <si>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</si>
  <si>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</si>
  <si>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</si>
  <si>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</si>
  <si>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</si>
  <si>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</si>
  <si>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</si>
  <si>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</si>
  <si>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</si>
  <si>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</si>
  <si>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</si>
  <si>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</si>
  <si>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</si>
  <si>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</si>
  <si>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</si>
  <si>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</si>
  <si>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</si>
  <si>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</si>
  <si>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</si>
  <si>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</si>
  <si>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</si>
  <si>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</si>
  <si>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</si>
  <si>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</si>
  <si>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</si>
  <si>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</si>
  <si>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</si>
  <si>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</si>
  <si>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</si>
  <si>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</si>
  <si>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</si>
  <si>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</si>
  <si>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</si>
  <si>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</si>
  <si>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</si>
  <si>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</si>
  <si>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</si>
  <si>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</si>
  <si>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</si>
  <si>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</si>
  <si>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</si>
  <si>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</si>
  <si>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</si>
  <si>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</si>
  <si>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</si>
  <si>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</si>
  <si>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</si>
  <si>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</si>
  <si>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</si>
  <si>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</si>
  <si>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</si>
  <si>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</si>
  <si>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</si>
  <si>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</si>
  <si>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</si>
  <si>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</si>
  <si>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</si>
  <si>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</si>
  <si>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</si>
  <si>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</si>
  <si>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</si>
  <si>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91.21.22-421</t>
  </si>
  <si>
    <t>ФСЭМ-2001, 91.21.22-421, приказ Минстроя России №1039/пр от 30.12.2016г.</t>
  </si>
  <si>
    <t>Термос 100 л</t>
  </si>
  <si>
    <t>01.7.20.08-0051</t>
  </si>
  <si>
    <t>ФССЦ-2001, 01.7.20.08-0051, приказ Минстроя России №1039/пр от 30.12.2016г.</t>
  </si>
  <si>
    <t>Ветошь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</si>
  <si>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</si>
  <si>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</si>
  <si>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</si>
  <si>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01.7.03.01-0001</t>
  </si>
  <si>
    <t>ФССЦ-2001, 01.7.03.01-0001, приказ Минстроя России №1039/пр от 30.12.2016г.</t>
  </si>
  <si>
    <t>Вода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</si>
  <si>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</si>
  <si>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</si>
  <si>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</si>
  <si>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</si>
  <si>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</si>
  <si>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</si>
  <si>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</si>
  <si>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</si>
  <si>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</si>
  <si>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</si>
  <si>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</si>
  <si>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</si>
  <si>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</si>
  <si>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</si>
  <si>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</si>
  <si>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</si>
  <si>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</si>
  <si>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</si>
  <si>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</si>
  <si>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</si>
  <si>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</si>
  <si>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</si>
  <si>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</si>
  <si>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</si>
  <si>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</si>
  <si>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1-100-39</t>
  </si>
  <si>
    <t>Рабочий среднего разряда 3.9</t>
  </si>
  <si>
    <t>1-100-35</t>
  </si>
  <si>
    <t>Рабочий среднего разряда 3.5</t>
  </si>
  <si>
    <t>91.21.12-004</t>
  </si>
  <si>
    <t>ФСЭМ-2001, 91.21.12-004, приказ Минстроя России №1039/пр от 30.12.2016г.</t>
  </si>
  <si>
    <t>Ножницы электрические</t>
  </si>
  <si>
    <t>01.6.01.01-0001</t>
  </si>
  <si>
    <t>ФССЦ-2001, 01.6.01.01-0001, приказ Минстроя России №1039/пр от 30.12.2016г.</t>
  </si>
  <si>
    <t>Листы гипсоволокнистые влагостойкие ГВЛВ 10 мм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</si>
  <si>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</si>
  <si>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</si>
  <si>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</si>
  <si>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</si>
  <si>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</si>
  <si>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</si>
  <si>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01.7.15.07-0082</t>
  </si>
  <si>
    <t>ФССЦ-2001, 01.7.15.07-0082, приказ Минстроя России №1039/пр от 30.12.2016г.</t>
  </si>
  <si>
    <t>Дюбель-гвоздь 6/39 мм</t>
  </si>
  <si>
    <t>100 шт.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</si>
  <si>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</si>
  <si>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</si>
  <si>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</si>
  <si>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01.7.15.14-0022</t>
  </si>
  <si>
    <t>ФССЦ-2001, 01.7.15.14-0022, приказ Минстроя России №1039/пр от 30.12.2016г.</t>
  </si>
  <si>
    <t>Шуруп для ГВЛ 3,9/30</t>
  </si>
  <si>
    <t>01.7.15.14-0023</t>
  </si>
  <si>
    <t>ФССЦ-2001, 01.7.15.14-0023, приказ Минстроя России №1039/пр от 30.12.2016г.</t>
  </si>
  <si>
    <t>Шуруп для ГВЛ 3,9/45</t>
  </si>
  <si>
    <t>07.2.06.04-0011</t>
  </si>
  <si>
    <t>ФССЦ-2001, 07.2.06.04-0011, приказ Минстроя России №1039/пр от 30.12.2016г.</t>
  </si>
  <si>
    <t>Верхний уголок для крепления несущих элементов двери 100x123 мм</t>
  </si>
  <si>
    <t>07.2.06.04-0061</t>
  </si>
  <si>
    <t>ФССЦ-2001, 07.2.06.04-0061, приказ Минстроя России №1039/пр от 30.12.2016г.</t>
  </si>
  <si>
    <t>Нижний уголок для крепления несущих элементов двери 100x123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</si>
  <si>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</si>
  <si>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</si>
  <si>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</si>
  <si>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14.5.11.03-0003</t>
  </si>
  <si>
    <t>ФССЦ-2001, 14.5.11.03-0003, приказ Минстроя России №1039/пр от 30.12.2016г.</t>
  </si>
  <si>
    <t>Шпаклевка «Фугенфюллер ГВ», КНАУФ</t>
  </si>
  <si>
    <t>1-100-34</t>
  </si>
  <si>
    <t>Рабочий среднего разряда 3.4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</si>
  <si>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</si>
  <si>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</si>
  <si>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</si>
  <si>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01.7.11.07-0054</t>
  </si>
  <si>
    <t>ФССЦ-2001, 01.7.11.07-0054, приказ Минстроя России №1039/пр от 30.12.2016г.</t>
  </si>
  <si>
    <t>Электроды диаметром 6 мм Э42</t>
  </si>
  <si>
    <t>08.3.07.01-0004</t>
  </si>
  <si>
    <t>ФССЦ-2001, 08.3.07.01-0004, приказ Минстроя России №1039/пр от 30.12.2016г.</t>
  </si>
  <si>
    <t>Полосовой горячекатаный прокат толщиной 10-75 мм, при ширине 100-200 мм, из углеродистой стали обыкновенного качества марки Ст3сп</t>
  </si>
  <si>
    <t>1-100-47</t>
  </si>
  <si>
    <t>Рабочий среднего разряда 4.7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</si>
  <si>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</si>
  <si>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</si>
  <si>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</si>
  <si>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</si>
  <si>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</si>
  <si>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</si>
  <si>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</si>
  <si>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</si>
  <si>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</si>
  <si>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</si>
  <si>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</si>
  <si>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</si>
  <si>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14.5.09.02-0002</t>
  </si>
  <si>
    <t>ФССЦ-2001, 14.5.09.02-0002, приказ Минстроя России №1039/пр от 30.12.2016г.</t>
  </si>
  <si>
    <t>Ксилол нефтяной марки А</t>
  </si>
  <si>
    <t>1-100-33</t>
  </si>
  <si>
    <t>Рабочий среднего разряда 3.3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</si>
  <si>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</si>
  <si>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</si>
  <si>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</si>
  <si>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</si>
  <si>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</si>
  <si>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</si>
  <si>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1-100-43</t>
  </si>
  <si>
    <t>Рабочий среднего разряда 4.3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</si>
  <si>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</si>
  <si>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</si>
  <si>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</si>
  <si>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</si>
  <si>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</si>
  <si>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</si>
  <si>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</si>
  <si>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</si>
  <si>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</si>
  <si>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</si>
  <si>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</si>
  <si>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</si>
  <si>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</si>
  <si>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</si>
  <si>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1-1010</t>
  </si>
  <si>
    <t>Рабочий строитель среднего разряда 1</t>
  </si>
  <si>
    <t>чел.-ч</t>
  </si>
  <si>
    <t>400051</t>
  </si>
  <si>
    <t>ФСЭМ-2001, 400051, приказ Минстроя России №899/пр от 11.12.2015 г.</t>
  </si>
  <si>
    <t>Автомобиль-самосвал, грузоподъемность до 7 т</t>
  </si>
  <si>
    <t>11.2.04.05</t>
  </si>
  <si>
    <t>Рейки деревянные</t>
  </si>
  <si>
    <t>14.4.01.21</t>
  </si>
  <si>
    <t>Грунтовка</t>
  </si>
  <si>
    <t>06.2.05.03</t>
  </si>
  <si>
    <t>Плитки керамические плинтусные</t>
  </si>
  <si>
    <t>01.7.06.11</t>
  </si>
  <si>
    <t>Лента уплотнительная типа Дихтунгсбанд</t>
  </si>
  <si>
    <t>07.2.06.03</t>
  </si>
  <si>
    <t>Профиль направляющий</t>
  </si>
  <si>
    <t>Профиль стоечный</t>
  </si>
  <si>
    <t>11.1.03.01</t>
  </si>
  <si>
    <t>Бруски деревянные</t>
  </si>
  <si>
    <t>12.2.03.15</t>
  </si>
  <si>
    <t>Материалы теплоизоляционные из минеральных волокон</t>
  </si>
  <si>
    <t>14.3.02.01</t>
  </si>
  <si>
    <t>Краска акриловая</t>
  </si>
  <si>
    <t>07.1.01.01</t>
  </si>
  <si>
    <t>Дверь противопожарная металлическая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</si>
  <si>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</si>
  <si>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</si>
  <si>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</si>
  <si>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</si>
  <si>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</si>
  <si>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</si>
  <si>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</si>
  <si>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</si>
  <si>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</si>
  <si>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</si>
  <si>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</si>
  <si>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</si>
  <si>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</si>
  <si>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</si>
  <si>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</si>
  <si>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</si>
  <si>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</si>
  <si>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</si>
  <si>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</si>
  <si>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</si>
  <si>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</si>
  <si>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</si>
  <si>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</si>
  <si>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</si>
  <si>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</si>
  <si>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</si>
  <si>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</si>
  <si>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</si>
  <si>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</si>
  <si>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</si>
  <si>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</si>
  <si>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</si>
  <si>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>Плитки керамогранитные размером 300х300х8 мм</t>
  </si>
  <si>
    <t>Дверь противопожарная металлическая остекленная двупольная ДПМО-02/60, размером 2000х1600 мм</t>
  </si>
  <si>
    <t>На капитальный ремонт напольного покрытия коридоров со 2-го по  5-й этажи с установкой противопожарных перегородок коридоров с 1-го по 5-й этажи здания общежития НИЯУ МИФИ по адресу: г. Москва, ул. Москворечье, д. 19, к. 4</t>
  </si>
  <si>
    <t>Обрамление проемов сталью</t>
  </si>
  <si>
    <t>Приложение 1 к Форме 7</t>
  </si>
  <si>
    <t>на капитальный ремонт напольного покрытия в помещениях комнат отдыха и коридоров 2-5-го этажей с  устройством  противопожарных  перегородок в помещениях коридоров с 1-5-й этажи в здании общежития НИЯУ МИФИ по адресу: г. Москва, ул. Москворечье, д. 19, к.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</si>
</sst>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0" fillId="0" borderId="2" xfId="0" applyBorder="1"/>
    <xf numFmtId="0" fontId="11" fillId="0" borderId="2" xfId="0" applyFont="1" applyBorder="1" applyAlignment="1">
      <alignment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2" xfId="0" applyFont="1" applyBorder="1" applyAlignment="1">
      <alignment horizontal="lef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89"/>
  <sheetViews>
    <sheetView tabSelected="1" zoomScale="80" zoomScaleNormal="80" workbookViewId="0">
      <selection activeCell="I15" sqref="I15:J15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30" ht="16.5" x14ac:dyDescent="0.25">
      <c r="A3" s="14"/>
      <c r="B3" s="60"/>
      <c r="C3" s="60"/>
      <c r="D3" s="60"/>
      <c r="E3" s="60"/>
      <c r="F3" s="13"/>
      <c r="G3" s="13"/>
      <c r="H3" s="61" t="s">
        <v>546</v>
      </c>
      <c r="I3" s="61"/>
      <c r="J3" s="61"/>
      <c r="K3" s="61"/>
      <c r="L3" s="61"/>
    </row>
    <row r="4" spans="1:30" ht="14.25" x14ac:dyDescent="0.2">
      <c r="A4" s="15"/>
      <c r="B4" s="15"/>
      <c r="C4" s="16"/>
      <c r="D4" s="16"/>
      <c r="E4" s="16"/>
      <c r="F4" s="13"/>
      <c r="G4" s="13"/>
      <c r="H4" s="17"/>
      <c r="I4" s="16"/>
      <c r="J4" s="16"/>
      <c r="K4" s="16"/>
      <c r="L4" s="17"/>
    </row>
    <row r="5" spans="1:30" ht="14.25" x14ac:dyDescent="0.2">
      <c r="A5" s="17"/>
      <c r="B5" s="62"/>
      <c r="C5" s="62"/>
      <c r="D5" s="62"/>
      <c r="E5" s="62"/>
      <c r="F5" s="13"/>
      <c r="G5" s="13"/>
      <c r="H5" s="62"/>
      <c r="I5" s="62"/>
      <c r="J5" s="62"/>
      <c r="K5" s="62"/>
      <c r="L5" s="62"/>
    </row>
    <row r="6" spans="1:30" ht="14.25" x14ac:dyDescent="0.2">
      <c r="A6" s="18"/>
      <c r="B6" s="59"/>
      <c r="C6" s="59"/>
      <c r="D6" s="59"/>
      <c r="E6" s="59"/>
      <c r="F6" s="13"/>
      <c r="G6" s="13"/>
      <c r="H6" s="59"/>
      <c r="I6" s="59"/>
      <c r="J6" s="59"/>
      <c r="K6" s="59"/>
      <c r="L6" s="59"/>
    </row>
    <row r="8" spans="1:30" ht="15.75" x14ac:dyDescent="0.25">
      <c r="A8" s="19"/>
      <c r="B8" s="67" t="str">
        <f>CONCATENATE( "СМЕТА ",IF(Source!F20&lt;&gt;"Новая локальная смета", Source!F20, ""))</f>
        <v xml:space="preserve">СМЕТА </v>
      </c>
      <c r="C8" s="67"/>
      <c r="D8" s="67"/>
      <c r="E8" s="67"/>
      <c r="F8" s="67"/>
      <c r="G8" s="67"/>
      <c r="H8" s="67"/>
      <c r="I8" s="67"/>
      <c r="J8" s="67"/>
      <c r="K8" s="67"/>
      <c r="L8" s="19"/>
    </row>
    <row r="9" spans="1:30" ht="15.75" x14ac:dyDescent="0.25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  <c r="L9" s="19"/>
    </row>
    <row r="10" spans="1:30" ht="18" hidden="1" x14ac:dyDescent="0.25">
      <c r="A10" s="19"/>
      <c r="B10" s="68" t="str">
        <f>IF(Source!G20&lt;&gt;"Новая локальная смета", Source!G20, "")</f>
        <v/>
      </c>
      <c r="C10" s="68"/>
      <c r="D10" s="68"/>
      <c r="E10" s="68"/>
      <c r="F10" s="68"/>
      <c r="G10" s="68"/>
      <c r="H10" s="68"/>
      <c r="I10" s="68"/>
      <c r="J10" s="68"/>
      <c r="K10" s="68"/>
      <c r="L10" s="19"/>
    </row>
    <row r="11" spans="1:30" ht="14.25" hidden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30" ht="54.75" customHeight="1" x14ac:dyDescent="0.25">
      <c r="A12" s="13"/>
      <c r="B12" s="69" t="s">
        <v>547</v>
      </c>
      <c r="C12" s="69"/>
      <c r="D12" s="69"/>
      <c r="E12" s="69"/>
      <c r="F12" s="69"/>
      <c r="G12" s="69"/>
      <c r="H12" s="69"/>
      <c r="I12" s="69"/>
      <c r="J12" s="69"/>
      <c r="K12" s="69"/>
      <c r="L12" s="21"/>
      <c r="AD12" s="56" t="str">
        <f>IF(Source!G12&lt;&gt;"Новый объект", Source!G12, "")</f>
        <v>На капитальный ремонт напольного покрытия коридоров со 2-го по  5-й этажи с установкой противопожарных перегородок коридоров с 1-го по 5-й этажи здания общежития НИЯУ МИФИ по адресу: г. Москва, ул. Москворечье, д. 19, к. 4</v>
      </c>
    </row>
    <row r="13" spans="1:30" ht="14.25" x14ac:dyDescent="0.2">
      <c r="A13" s="13"/>
      <c r="B13" s="70" t="s">
        <v>511</v>
      </c>
      <c r="C13" s="70"/>
      <c r="D13" s="70"/>
      <c r="E13" s="70"/>
      <c r="F13" s="70"/>
      <c r="G13" s="70"/>
      <c r="H13" s="70"/>
      <c r="I13" s="70"/>
      <c r="J13" s="70"/>
      <c r="K13" s="70"/>
      <c r="L13" s="18"/>
    </row>
    <row r="14" spans="1:30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30" ht="14.25" x14ac:dyDescent="0.2">
      <c r="A15" s="13"/>
      <c r="B15" s="13"/>
      <c r="C15" s="13"/>
      <c r="D15" s="13"/>
      <c r="E15" s="22"/>
      <c r="F15" s="22"/>
      <c r="G15" s="71" t="s">
        <v>512</v>
      </c>
      <c r="H15" s="71"/>
      <c r="I15" s="71" t="s">
        <v>513</v>
      </c>
      <c r="J15" s="71"/>
      <c r="K15" s="13"/>
      <c r="L15" s="13"/>
    </row>
    <row r="16" spans="1:30" ht="15" x14ac:dyDescent="0.25">
      <c r="A16" s="13"/>
      <c r="B16" s="13"/>
      <c r="C16" s="63" t="s">
        <v>514</v>
      </c>
      <c r="D16" s="63"/>
      <c r="E16" s="63"/>
      <c r="F16" s="63"/>
      <c r="G16" s="64">
        <f>SUM(O24:O180)/1000</f>
        <v>525.19055999999989</v>
      </c>
      <c r="H16" s="64"/>
      <c r="I16" s="64">
        <f>(Source!P141/1000)</f>
        <v>4773.6214099999997</v>
      </c>
      <c r="J16" s="64"/>
      <c r="K16" s="65" t="s">
        <v>515</v>
      </c>
      <c r="L16" s="65"/>
    </row>
    <row r="17" spans="1:26" ht="14.25" x14ac:dyDescent="0.2">
      <c r="A17" s="13"/>
      <c r="B17" s="13"/>
      <c r="C17" s="66" t="s">
        <v>516</v>
      </c>
      <c r="D17" s="66"/>
      <c r="E17" s="66"/>
      <c r="F17" s="66"/>
      <c r="G17" s="64">
        <f>SUM(W24:W180)/1000</f>
        <v>525.19055999999989</v>
      </c>
      <c r="H17" s="64"/>
      <c r="I17" s="64">
        <f>(Source!P128)/1000</f>
        <v>4045.4418700000001</v>
      </c>
      <c r="J17" s="64"/>
      <c r="K17" s="65" t="s">
        <v>515</v>
      </c>
      <c r="L17" s="65"/>
    </row>
    <row r="18" spans="1:26" ht="15" x14ac:dyDescent="0.25">
      <c r="A18" s="13"/>
      <c r="B18" s="13"/>
      <c r="C18" s="63" t="s">
        <v>517</v>
      </c>
      <c r="D18" s="63"/>
      <c r="E18" s="63"/>
      <c r="F18" s="63"/>
      <c r="G18" s="64">
        <f>I18</f>
        <v>5092.8985670000011</v>
      </c>
      <c r="H18" s="64"/>
      <c r="I18" s="64">
        <f>(Source!P133+Source!P134)</f>
        <v>5092.8985670000011</v>
      </c>
      <c r="J18" s="64"/>
      <c r="K18" s="65" t="s">
        <v>518</v>
      </c>
      <c r="L18" s="65"/>
    </row>
    <row r="19" spans="1:26" ht="15" x14ac:dyDescent="0.25">
      <c r="A19" s="13"/>
      <c r="B19" s="13"/>
      <c r="C19" s="63" t="s">
        <v>519</v>
      </c>
      <c r="D19" s="63"/>
      <c r="E19" s="63"/>
      <c r="F19" s="63"/>
      <c r="G19" s="64">
        <f>SUM(R24:R180)/1000</f>
        <v>44.876839999999994</v>
      </c>
      <c r="H19" s="64"/>
      <c r="I19" s="64">
        <f>((Source!P126 + Source!P125)/1000)</f>
        <v>345.55175000000003</v>
      </c>
      <c r="J19" s="64"/>
      <c r="K19" s="65" t="s">
        <v>515</v>
      </c>
      <c r="L19" s="65"/>
    </row>
    <row r="20" spans="1:26" ht="14.25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26" ht="14.25" x14ac:dyDescent="0.2">
      <c r="A21" s="76" t="s">
        <v>532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</row>
    <row r="22" spans="1:26" ht="57" x14ac:dyDescent="0.2">
      <c r="A22" s="23" t="s">
        <v>520</v>
      </c>
      <c r="B22" s="23" t="s">
        <v>521</v>
      </c>
      <c r="C22" s="23" t="s">
        <v>522</v>
      </c>
      <c r="D22" s="23" t="s">
        <v>523</v>
      </c>
      <c r="E22" s="23" t="s">
        <v>524</v>
      </c>
      <c r="F22" s="23" t="s">
        <v>525</v>
      </c>
      <c r="G22" s="23" t="s">
        <v>526</v>
      </c>
      <c r="H22" s="23" t="s">
        <v>527</v>
      </c>
      <c r="I22" s="23" t="s">
        <v>528</v>
      </c>
      <c r="J22" s="23" t="s">
        <v>529</v>
      </c>
      <c r="K22" s="23" t="s">
        <v>530</v>
      </c>
      <c r="L22" s="23" t="s">
        <v>531</v>
      </c>
    </row>
    <row r="23" spans="1:26" ht="14.25" x14ac:dyDescent="0.2">
      <c r="A23" s="24">
        <v>1</v>
      </c>
      <c r="B23" s="24">
        <v>2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4">
        <v>8</v>
      </c>
      <c r="I23" s="24">
        <v>9</v>
      </c>
      <c r="J23" s="24">
        <v>10</v>
      </c>
      <c r="K23" s="24">
        <v>11</v>
      </c>
      <c r="L23" s="25">
        <v>12</v>
      </c>
    </row>
    <row r="24" spans="1:26" ht="28.5" x14ac:dyDescent="0.2">
      <c r="A24" s="51" t="str">
        <f>Source!E25</f>
        <v>1</v>
      </c>
      <c r="B24" s="52" t="str">
        <f>Source!F25</f>
        <v>57-2-1</v>
      </c>
      <c r="C24" s="52" t="str">
        <f>Source!G25</f>
        <v>Разборка покрытий полов из линолеума и релина</v>
      </c>
      <c r="D24" s="33" t="str">
        <f>Source!H25</f>
        <v>100 м2</v>
      </c>
      <c r="E24" s="12">
        <f>Source!I25</f>
        <v>8.1140000000000008</v>
      </c>
      <c r="F24" s="34">
        <f>Source!AL25+Source!AM25+Source!AO25</f>
        <v>92.9</v>
      </c>
      <c r="G24" s="35"/>
      <c r="H24" s="36"/>
      <c r="I24" s="35" t="str">
        <f>Source!BO25</f>
        <v/>
      </c>
      <c r="J24" s="35"/>
      <c r="K24" s="36"/>
      <c r="L24" s="37"/>
      <c r="S24">
        <f>ROUND((Source!FX25/100)*((ROUND(Source!AF25*Source!I25, 2)+ROUND(Source!AE25*Source!I25, 2))), 2)</f>
        <v>588.1</v>
      </c>
      <c r="T24">
        <f>Source!X25</f>
        <v>4528.3900000000003</v>
      </c>
      <c r="U24">
        <f>ROUND((Source!FY25/100)*((ROUND(Source!AF25*Source!I25, 2)+ROUND(Source!AE25*Source!I25, 2))), 2)</f>
        <v>499.89</v>
      </c>
      <c r="V24">
        <f>Source!Y25</f>
        <v>3849.13</v>
      </c>
    </row>
    <row r="25" spans="1:26" x14ac:dyDescent="0.2">
      <c r="C25" s="26" t="str">
        <f>"Объем: "&amp;Source!I25&amp;"=811,4/"&amp;"100"</f>
        <v>Объем: 8,114=811,4/100</v>
      </c>
    </row>
    <row r="26" spans="1:26" ht="14.25" x14ac:dyDescent="0.2">
      <c r="A26" s="51"/>
      <c r="B26" s="52"/>
      <c r="C26" s="52" t="s">
        <v>533</v>
      </c>
      <c r="D26" s="33"/>
      <c r="E26" s="12"/>
      <c r="F26" s="34">
        <f>Source!AO25</f>
        <v>88.84</v>
      </c>
      <c r="G26" s="35" t="str">
        <f>Source!DG25</f>
        <v/>
      </c>
      <c r="H26" s="36">
        <f>ROUND(Source!AF25*Source!I25, 2)</f>
        <v>720.85</v>
      </c>
      <c r="I26" s="35"/>
      <c r="J26" s="35">
        <f>IF(Source!BA25&lt;&gt; 0, Source!BA25, 1)</f>
        <v>7.7</v>
      </c>
      <c r="K26" s="36">
        <f>Source!S25</f>
        <v>5550.53</v>
      </c>
      <c r="L26" s="37"/>
      <c r="R26">
        <f>H26</f>
        <v>720.85</v>
      </c>
    </row>
    <row r="27" spans="1:26" ht="14.25" x14ac:dyDescent="0.2">
      <c r="A27" s="51"/>
      <c r="B27" s="52"/>
      <c r="C27" s="52" t="s">
        <v>229</v>
      </c>
      <c r="D27" s="33"/>
      <c r="E27" s="12"/>
      <c r="F27" s="34">
        <f>Source!AM25</f>
        <v>4.0599999999999996</v>
      </c>
      <c r="G27" s="35" t="str">
        <f>Source!DE25</f>
        <v/>
      </c>
      <c r="H27" s="36">
        <f>ROUND(Source!AD25*Source!I25, 2)</f>
        <v>32.94</v>
      </c>
      <c r="I27" s="35"/>
      <c r="J27" s="35">
        <f>IF(Source!BB25&lt;&gt; 0, Source!BB25, 1)</f>
        <v>7.7</v>
      </c>
      <c r="K27" s="36">
        <f>Source!Q25</f>
        <v>253.66</v>
      </c>
      <c r="L27" s="37"/>
    </row>
    <row r="28" spans="1:26" ht="14.25" x14ac:dyDescent="0.2">
      <c r="A28" s="51"/>
      <c r="B28" s="52"/>
      <c r="C28" s="52" t="s">
        <v>534</v>
      </c>
      <c r="D28" s="33"/>
      <c r="E28" s="12"/>
      <c r="F28" s="34">
        <f>Source!AN25</f>
        <v>1.76</v>
      </c>
      <c r="G28" s="35" t="str">
        <f>Source!DF25</f>
        <v/>
      </c>
      <c r="H28" s="38">
        <f>ROUND(Source!AE25*Source!I25, 2)</f>
        <v>14.28</v>
      </c>
      <c r="I28" s="35"/>
      <c r="J28" s="35">
        <f>IF(Source!BS25&lt;&gt; 0, Source!BS25, 1)</f>
        <v>7.7</v>
      </c>
      <c r="K28" s="38">
        <f>Source!R25</f>
        <v>109.96</v>
      </c>
      <c r="L28" s="37"/>
      <c r="R28">
        <f>H28</f>
        <v>14.28</v>
      </c>
    </row>
    <row r="29" spans="1:26" ht="14.25" x14ac:dyDescent="0.2">
      <c r="A29" s="51"/>
      <c r="B29" s="52"/>
      <c r="C29" s="52" t="s">
        <v>535</v>
      </c>
      <c r="D29" s="33" t="s">
        <v>536</v>
      </c>
      <c r="E29" s="12">
        <f>Source!BZ25</f>
        <v>80</v>
      </c>
      <c r="F29" s="55"/>
      <c r="G29" s="35"/>
      <c r="H29" s="36">
        <f>SUM(S24:S32)</f>
        <v>588.1</v>
      </c>
      <c r="I29" s="39"/>
      <c r="J29" s="32">
        <f>Source!AT25</f>
        <v>80</v>
      </c>
      <c r="K29" s="36">
        <f>SUM(T24:T32)</f>
        <v>4528.3900000000003</v>
      </c>
      <c r="L29" s="37"/>
    </row>
    <row r="30" spans="1:26" ht="14.25" x14ac:dyDescent="0.2">
      <c r="A30" s="51"/>
      <c r="B30" s="52"/>
      <c r="C30" s="52" t="s">
        <v>537</v>
      </c>
      <c r="D30" s="33" t="s">
        <v>536</v>
      </c>
      <c r="E30" s="12">
        <f>Source!CA25</f>
        <v>68</v>
      </c>
      <c r="F30" s="55"/>
      <c r="G30" s="35"/>
      <c r="H30" s="36">
        <f>SUM(U24:U32)</f>
        <v>499.89</v>
      </c>
      <c r="I30" s="39"/>
      <c r="J30" s="32">
        <f>Source!AU25</f>
        <v>68</v>
      </c>
      <c r="K30" s="36">
        <f>SUM(V24:V32)</f>
        <v>3849.13</v>
      </c>
      <c r="L30" s="37"/>
    </row>
    <row r="31" spans="1:26" ht="14.25" x14ac:dyDescent="0.2">
      <c r="A31" s="51"/>
      <c r="B31" s="52"/>
      <c r="C31" s="52" t="s">
        <v>538</v>
      </c>
      <c r="D31" s="33" t="s">
        <v>539</v>
      </c>
      <c r="E31" s="12">
        <f>Source!AQ25</f>
        <v>11.39</v>
      </c>
      <c r="F31" s="34"/>
      <c r="G31" s="35" t="str">
        <f>Source!DI25</f>
        <v/>
      </c>
      <c r="H31" s="36"/>
      <c r="I31" s="35"/>
      <c r="J31" s="35"/>
      <c r="K31" s="36"/>
      <c r="L31" s="40">
        <f>Source!U25</f>
        <v>92.41846000000001</v>
      </c>
    </row>
    <row r="32" spans="1:26" ht="14.25" x14ac:dyDescent="0.2">
      <c r="A32" s="53" t="str">
        <f>Source!E27</f>
        <v>1,1</v>
      </c>
      <c r="B32" s="54" t="str">
        <f>Source!F27</f>
        <v>01.7.07.07</v>
      </c>
      <c r="C32" s="54" t="str">
        <f>Source!G27</f>
        <v>Строительный мусор</v>
      </c>
      <c r="D32" s="41" t="str">
        <f>Source!H27</f>
        <v>т</v>
      </c>
      <c r="E32" s="42">
        <f>Source!I27</f>
        <v>3.81358</v>
      </c>
      <c r="F32" s="43">
        <f>Source!AL27+Source!AM27+Source!AO27</f>
        <v>0</v>
      </c>
      <c r="G32" s="44" t="s">
        <v>6</v>
      </c>
      <c r="H32" s="45">
        <f>ROUND(Source!AC27*Source!I27, 2)+ROUND(Source!AD27*Source!I27, 2)+ROUND(Source!AF27*Source!I27, 2)</f>
        <v>0</v>
      </c>
      <c r="I32" s="46"/>
      <c r="J32" s="46">
        <f>IF(Source!BC27&lt;&gt; 0, Source!BC27, 1)</f>
        <v>7.7</v>
      </c>
      <c r="K32" s="45">
        <f>Source!O27</f>
        <v>0</v>
      </c>
      <c r="L32" s="47"/>
      <c r="S32">
        <f>ROUND((Source!FX27/100)*((ROUND(Source!AF27*Source!I27, 2)+ROUND(Source!AE27*Source!I27, 2))), 2)</f>
        <v>0</v>
      </c>
      <c r="T32">
        <f>Source!X27</f>
        <v>0</v>
      </c>
      <c r="U32">
        <f>ROUND((Source!FY27/100)*((ROUND(Source!AF27*Source!I27, 2)+ROUND(Source!AE27*Source!I27, 2))), 2)</f>
        <v>0</v>
      </c>
      <c r="V32">
        <f>Source!Y27</f>
        <v>0</v>
      </c>
      <c r="W32">
        <f>IF(Source!BI27&lt;=1,H32, 0)</f>
        <v>0</v>
      </c>
      <c r="X32">
        <f>IF(Source!BI27=2,H32, 0)</f>
        <v>0</v>
      </c>
      <c r="Y32">
        <f>IF(Source!BI27=3,H32, 0)</f>
        <v>0</v>
      </c>
      <c r="Z32">
        <f>IF(Source!BI27=4,H32, 0)</f>
        <v>0</v>
      </c>
    </row>
    <row r="33" spans="1:26" ht="15" x14ac:dyDescent="0.25">
      <c r="G33" s="74">
        <f>H26+H27+H29+H30+SUM(H32:H32)</f>
        <v>1841.7799999999997</v>
      </c>
      <c r="H33" s="74"/>
      <c r="J33" s="74">
        <f>K26+K27+K29+K30+SUM(K32:K32)</f>
        <v>14181.71</v>
      </c>
      <c r="K33" s="74"/>
      <c r="L33" s="48">
        <f>Source!U25</f>
        <v>92.41846000000001</v>
      </c>
      <c r="O33" s="27">
        <f>G33</f>
        <v>1841.7799999999997</v>
      </c>
      <c r="P33" s="27">
        <f>J33</f>
        <v>14181.71</v>
      </c>
      <c r="Q33" s="27">
        <f>L33</f>
        <v>92.41846000000001</v>
      </c>
      <c r="W33">
        <f>IF(Source!BI25&lt;=1,H26+H27+H29+H30, 0)</f>
        <v>1841.7799999999997</v>
      </c>
      <c r="X33">
        <f>IF(Source!BI25=2,H26+H27+H29+H30, 0)</f>
        <v>0</v>
      </c>
      <c r="Y33">
        <f>IF(Source!BI25=3,H26+H27+H29+H30, 0)</f>
        <v>0</v>
      </c>
      <c r="Z33">
        <f>IF(Source!BI25=4,H26+H27+H29+H30, 0)</f>
        <v>0</v>
      </c>
    </row>
    <row r="34" spans="1:26" ht="28.5" x14ac:dyDescent="0.2">
      <c r="A34" s="51" t="str">
        <f>Source!E29</f>
        <v>2</v>
      </c>
      <c r="B34" s="52" t="str">
        <f>Source!F29</f>
        <v>57-3-1</v>
      </c>
      <c r="C34" s="52" t="str">
        <f>Source!G29</f>
        <v>Разборка плинтусов деревянных и из пластмассовых материалов</v>
      </c>
      <c r="D34" s="33" t="str">
        <f>Source!H29</f>
        <v>100 м</v>
      </c>
      <c r="E34" s="12">
        <f>Source!I29</f>
        <v>5.8559999999999999</v>
      </c>
      <c r="F34" s="34">
        <f>Source!AL29+Source!AM29+Source!AO29</f>
        <v>29.41</v>
      </c>
      <c r="G34" s="35"/>
      <c r="H34" s="36"/>
      <c r="I34" s="35" t="str">
        <f>Source!BO29</f>
        <v/>
      </c>
      <c r="J34" s="35"/>
      <c r="K34" s="36"/>
      <c r="L34" s="37"/>
      <c r="S34">
        <f>ROUND((Source!FX29/100)*((ROUND(Source!AF29*Source!I29, 2)+ROUND(Source!AE29*Source!I29, 2))), 2)</f>
        <v>137.78</v>
      </c>
      <c r="T34">
        <f>Source!X29</f>
        <v>1060.9000000000001</v>
      </c>
      <c r="U34">
        <f>ROUND((Source!FY29/100)*((ROUND(Source!AF29*Source!I29, 2)+ROUND(Source!AE29*Source!I29, 2))), 2)</f>
        <v>117.11</v>
      </c>
      <c r="V34">
        <f>Source!Y29</f>
        <v>901.77</v>
      </c>
    </row>
    <row r="35" spans="1:26" x14ac:dyDescent="0.2">
      <c r="C35" s="26" t="str">
        <f>"Объем: "&amp;Source!I29&amp;"=585,6/"&amp;"100"</f>
        <v>Объем: 5,856=585,6/100</v>
      </c>
    </row>
    <row r="36" spans="1:26" ht="14.25" x14ac:dyDescent="0.2">
      <c r="A36" s="51"/>
      <c r="B36" s="52"/>
      <c r="C36" s="52" t="s">
        <v>533</v>
      </c>
      <c r="D36" s="33"/>
      <c r="E36" s="12"/>
      <c r="F36" s="34">
        <f>Source!AO29</f>
        <v>29.41</v>
      </c>
      <c r="G36" s="35" t="str">
        <f>Source!DG29</f>
        <v/>
      </c>
      <c r="H36" s="36">
        <f>ROUND(Source!AF29*Source!I29, 2)</f>
        <v>172.22</v>
      </c>
      <c r="I36" s="35"/>
      <c r="J36" s="35">
        <f>IF(Source!BA29&lt;&gt; 0, Source!BA29, 1)</f>
        <v>7.7</v>
      </c>
      <c r="K36" s="36">
        <f>Source!S29</f>
        <v>1326.13</v>
      </c>
      <c r="L36" s="37"/>
      <c r="R36">
        <f>H36</f>
        <v>172.22</v>
      </c>
    </row>
    <row r="37" spans="1:26" ht="14.25" x14ac:dyDescent="0.2">
      <c r="A37" s="51"/>
      <c r="B37" s="52"/>
      <c r="C37" s="52" t="s">
        <v>535</v>
      </c>
      <c r="D37" s="33" t="s">
        <v>536</v>
      </c>
      <c r="E37" s="12">
        <f>Source!BZ29</f>
        <v>80</v>
      </c>
      <c r="F37" s="55"/>
      <c r="G37" s="35"/>
      <c r="H37" s="36">
        <f>SUM(S34:S40)</f>
        <v>137.78</v>
      </c>
      <c r="I37" s="39"/>
      <c r="J37" s="32">
        <f>Source!AT29</f>
        <v>80</v>
      </c>
      <c r="K37" s="36">
        <f>SUM(T34:T40)</f>
        <v>1060.9000000000001</v>
      </c>
      <c r="L37" s="37"/>
    </row>
    <row r="38" spans="1:26" ht="14.25" x14ac:dyDescent="0.2">
      <c r="A38" s="51"/>
      <c r="B38" s="52"/>
      <c r="C38" s="52" t="s">
        <v>537</v>
      </c>
      <c r="D38" s="33" t="s">
        <v>536</v>
      </c>
      <c r="E38" s="12">
        <f>Source!CA29</f>
        <v>68</v>
      </c>
      <c r="F38" s="55"/>
      <c r="G38" s="35"/>
      <c r="H38" s="36">
        <f>SUM(U34:U40)</f>
        <v>117.11</v>
      </c>
      <c r="I38" s="39"/>
      <c r="J38" s="32">
        <f>Source!AU29</f>
        <v>68</v>
      </c>
      <c r="K38" s="36">
        <f>SUM(V34:V40)</f>
        <v>901.77</v>
      </c>
      <c r="L38" s="37"/>
    </row>
    <row r="39" spans="1:26" ht="14.25" x14ac:dyDescent="0.2">
      <c r="A39" s="51"/>
      <c r="B39" s="52"/>
      <c r="C39" s="52" t="s">
        <v>538</v>
      </c>
      <c r="D39" s="33" t="s">
        <v>539</v>
      </c>
      <c r="E39" s="12">
        <f>Source!AQ29</f>
        <v>3.77</v>
      </c>
      <c r="F39" s="34"/>
      <c r="G39" s="35" t="str">
        <f>Source!DI29</f>
        <v/>
      </c>
      <c r="H39" s="36"/>
      <c r="I39" s="35"/>
      <c r="J39" s="35"/>
      <c r="K39" s="36"/>
      <c r="L39" s="40">
        <f>Source!U29</f>
        <v>22.077120000000001</v>
      </c>
    </row>
    <row r="40" spans="1:26" ht="14.25" x14ac:dyDescent="0.2">
      <c r="A40" s="53" t="str">
        <f>Source!E31</f>
        <v>2,1</v>
      </c>
      <c r="B40" s="54" t="str">
        <f>Source!F31</f>
        <v>01.7.07.07</v>
      </c>
      <c r="C40" s="54" t="str">
        <f>Source!G31</f>
        <v>Строительный мусор</v>
      </c>
      <c r="D40" s="41" t="str">
        <f>Source!H31</f>
        <v>т</v>
      </c>
      <c r="E40" s="42">
        <f>Source!I31</f>
        <v>0.64415999999999995</v>
      </c>
      <c r="F40" s="43">
        <f>Source!AL31+Source!AM31+Source!AO31</f>
        <v>0</v>
      </c>
      <c r="G40" s="44" t="s">
        <v>6</v>
      </c>
      <c r="H40" s="45">
        <f>ROUND(Source!AC31*Source!I31, 2)+ROUND(Source!AD31*Source!I31, 2)+ROUND(Source!AF31*Source!I31, 2)</f>
        <v>0</v>
      </c>
      <c r="I40" s="46"/>
      <c r="J40" s="46">
        <f>IF(Source!BC31&lt;&gt; 0, Source!BC31, 1)</f>
        <v>7.7</v>
      </c>
      <c r="K40" s="45">
        <f>Source!O31</f>
        <v>0</v>
      </c>
      <c r="L40" s="47"/>
      <c r="S40">
        <f>ROUND((Source!FX31/100)*((ROUND(Source!AF31*Source!I31, 2)+ROUND(Source!AE31*Source!I31, 2))), 2)</f>
        <v>0</v>
      </c>
      <c r="T40">
        <f>Source!X31</f>
        <v>0</v>
      </c>
      <c r="U40">
        <f>ROUND((Source!FY31/100)*((ROUND(Source!AF31*Source!I31, 2)+ROUND(Source!AE31*Source!I31, 2))), 2)</f>
        <v>0</v>
      </c>
      <c r="V40">
        <f>Source!Y31</f>
        <v>0</v>
      </c>
      <c r="W40">
        <f>IF(Source!BI31&lt;=1,H40, 0)</f>
        <v>0</v>
      </c>
      <c r="X40">
        <f>IF(Source!BI31=2,H40, 0)</f>
        <v>0</v>
      </c>
      <c r="Y40">
        <f>IF(Source!BI31=3,H40, 0)</f>
        <v>0</v>
      </c>
      <c r="Z40">
        <f>IF(Source!BI31=4,H40, 0)</f>
        <v>0</v>
      </c>
    </row>
    <row r="41" spans="1:26" ht="15" x14ac:dyDescent="0.25">
      <c r="G41" s="74">
        <f>H36+H37+H38+SUM(H40:H40)</f>
        <v>427.11</v>
      </c>
      <c r="H41" s="74"/>
      <c r="J41" s="74">
        <f>K36+K37+K38+SUM(K40:K40)</f>
        <v>3288.8</v>
      </c>
      <c r="K41" s="74"/>
      <c r="L41" s="48">
        <f>Source!U29</f>
        <v>22.077120000000001</v>
      </c>
      <c r="O41" s="27">
        <f>G41</f>
        <v>427.11</v>
      </c>
      <c r="P41" s="27">
        <f>J41</f>
        <v>3288.8</v>
      </c>
      <c r="Q41" s="27">
        <f>L41</f>
        <v>22.077120000000001</v>
      </c>
      <c r="W41">
        <f>IF(Source!BI29&lt;=1,H36+H37+H38, 0)</f>
        <v>427.11</v>
      </c>
      <c r="X41">
        <f>IF(Source!BI29=2,H36+H37+H38, 0)</f>
        <v>0</v>
      </c>
      <c r="Y41">
        <f>IF(Source!BI29=3,H36+H37+H38, 0)</f>
        <v>0</v>
      </c>
      <c r="Z41">
        <f>IF(Source!BI29=4,H36+H37+H38, 0)</f>
        <v>0</v>
      </c>
    </row>
    <row r="42" spans="1:26" ht="28.5" x14ac:dyDescent="0.2">
      <c r="A42" s="51" t="str">
        <f>Source!E33</f>
        <v>3</v>
      </c>
      <c r="B42" s="52" t="str">
        <f>Source!F33</f>
        <v>57-2-4</v>
      </c>
      <c r="C42" s="52" t="str">
        <f>Source!G33</f>
        <v>Разборка покрытий полов цементных толщиной 30 мм</v>
      </c>
      <c r="D42" s="33" t="str">
        <f>Source!H33</f>
        <v>100 м2</v>
      </c>
      <c r="E42" s="12">
        <f>Source!I33</f>
        <v>8.1140000000000008</v>
      </c>
      <c r="F42" s="34">
        <f>Source!AL33+Source!AM33+Source!AO33</f>
        <v>1687.56</v>
      </c>
      <c r="G42" s="35"/>
      <c r="H42" s="36"/>
      <c r="I42" s="35" t="str">
        <f>Source!BO33</f>
        <v/>
      </c>
      <c r="J42" s="35"/>
      <c r="K42" s="36"/>
      <c r="L42" s="37"/>
      <c r="S42">
        <f>ROUND((Source!FX33/100)*((ROUND(Source!AF33*Source!I33, 2)+ROUND(Source!AE33*Source!I33, 2))), 2)</f>
        <v>6314.9</v>
      </c>
      <c r="T42">
        <f>Source!X33</f>
        <v>48624.72</v>
      </c>
      <c r="U42">
        <f>ROUND((Source!FY33/100)*((ROUND(Source!AF33*Source!I33, 2)+ROUND(Source!AE33*Source!I33, 2))), 2)</f>
        <v>5367.66</v>
      </c>
      <c r="V42">
        <f>Source!Y33</f>
        <v>41331.01</v>
      </c>
    </row>
    <row r="43" spans="1:26" x14ac:dyDescent="0.2">
      <c r="C43" s="26" t="str">
        <f>"Объем: "&amp;Source!I33&amp;"=811,4/"&amp;"100"</f>
        <v>Объем: 8,114=811,4/100</v>
      </c>
    </row>
    <row r="44" spans="1:26" ht="14.25" x14ac:dyDescent="0.2">
      <c r="A44" s="51"/>
      <c r="B44" s="52"/>
      <c r="C44" s="52" t="s">
        <v>533</v>
      </c>
      <c r="D44" s="33"/>
      <c r="E44" s="12"/>
      <c r="F44" s="34">
        <f>Source!AO33</f>
        <v>948.54</v>
      </c>
      <c r="G44" s="35" t="str">
        <f>Source!DG33</f>
        <v/>
      </c>
      <c r="H44" s="36">
        <f>ROUND(Source!AF33*Source!I33, 2)</f>
        <v>7696.45</v>
      </c>
      <c r="I44" s="35"/>
      <c r="J44" s="35">
        <f>IF(Source!BA33&lt;&gt; 0, Source!BA33, 1)</f>
        <v>7.7</v>
      </c>
      <c r="K44" s="36">
        <f>Source!S33</f>
        <v>59262.69</v>
      </c>
      <c r="L44" s="37"/>
      <c r="R44">
        <f>H44</f>
        <v>7696.45</v>
      </c>
    </row>
    <row r="45" spans="1:26" ht="14.25" x14ac:dyDescent="0.2">
      <c r="A45" s="51"/>
      <c r="B45" s="52"/>
      <c r="C45" s="52" t="s">
        <v>229</v>
      </c>
      <c r="D45" s="33"/>
      <c r="E45" s="12"/>
      <c r="F45" s="34">
        <f>Source!AM33</f>
        <v>739.02</v>
      </c>
      <c r="G45" s="35" t="str">
        <f>Source!DE33</f>
        <v/>
      </c>
      <c r="H45" s="36">
        <f>ROUND(Source!AD33*Source!I33, 2)</f>
        <v>5996.41</v>
      </c>
      <c r="I45" s="35"/>
      <c r="J45" s="35">
        <f>IF(Source!BB33&lt;&gt; 0, Source!BB33, 1)</f>
        <v>7.7</v>
      </c>
      <c r="K45" s="36">
        <f>Source!Q33</f>
        <v>46172.34</v>
      </c>
      <c r="L45" s="37"/>
    </row>
    <row r="46" spans="1:26" ht="14.25" x14ac:dyDescent="0.2">
      <c r="A46" s="51"/>
      <c r="B46" s="52"/>
      <c r="C46" s="52" t="s">
        <v>534</v>
      </c>
      <c r="D46" s="33"/>
      <c r="E46" s="12"/>
      <c r="F46" s="34">
        <f>Source!AN33</f>
        <v>24.3</v>
      </c>
      <c r="G46" s="35" t="str">
        <f>Source!DF33</f>
        <v/>
      </c>
      <c r="H46" s="38">
        <f>ROUND(Source!AE33*Source!I33, 2)</f>
        <v>197.17</v>
      </c>
      <c r="I46" s="35"/>
      <c r="J46" s="35">
        <f>IF(Source!BS33&lt;&gt; 0, Source!BS33, 1)</f>
        <v>7.7</v>
      </c>
      <c r="K46" s="38">
        <f>Source!R33</f>
        <v>1518.21</v>
      </c>
      <c r="L46" s="37"/>
      <c r="R46">
        <f>H46</f>
        <v>197.17</v>
      </c>
    </row>
    <row r="47" spans="1:26" ht="14.25" x14ac:dyDescent="0.2">
      <c r="A47" s="51"/>
      <c r="B47" s="52"/>
      <c r="C47" s="52" t="s">
        <v>535</v>
      </c>
      <c r="D47" s="33" t="s">
        <v>536</v>
      </c>
      <c r="E47" s="12">
        <f>Source!BZ33</f>
        <v>80</v>
      </c>
      <c r="F47" s="55"/>
      <c r="G47" s="35"/>
      <c r="H47" s="36">
        <f>SUM(S42:S50)</f>
        <v>6314.9</v>
      </c>
      <c r="I47" s="39"/>
      <c r="J47" s="32">
        <f>Source!AT33</f>
        <v>80</v>
      </c>
      <c r="K47" s="36">
        <f>SUM(T42:T50)</f>
        <v>48624.72</v>
      </c>
      <c r="L47" s="37"/>
    </row>
    <row r="48" spans="1:26" ht="14.25" x14ac:dyDescent="0.2">
      <c r="A48" s="51"/>
      <c r="B48" s="52"/>
      <c r="C48" s="52" t="s">
        <v>537</v>
      </c>
      <c r="D48" s="33" t="s">
        <v>536</v>
      </c>
      <c r="E48" s="12">
        <f>Source!CA33</f>
        <v>68</v>
      </c>
      <c r="F48" s="55"/>
      <c r="G48" s="35"/>
      <c r="H48" s="36">
        <f>SUM(U42:U50)</f>
        <v>5367.66</v>
      </c>
      <c r="I48" s="39"/>
      <c r="J48" s="32">
        <f>Source!AU33</f>
        <v>68</v>
      </c>
      <c r="K48" s="36">
        <f>SUM(V42:V50)</f>
        <v>41331.01</v>
      </c>
      <c r="L48" s="37"/>
    </row>
    <row r="49" spans="1:26" ht="14.25" x14ac:dyDescent="0.2">
      <c r="A49" s="51"/>
      <c r="B49" s="52"/>
      <c r="C49" s="52" t="s">
        <v>538</v>
      </c>
      <c r="D49" s="33" t="s">
        <v>539</v>
      </c>
      <c r="E49" s="12">
        <f>Source!AQ33</f>
        <v>111.2</v>
      </c>
      <c r="F49" s="34"/>
      <c r="G49" s="35" t="str">
        <f>Source!DI33</f>
        <v/>
      </c>
      <c r="H49" s="36"/>
      <c r="I49" s="35"/>
      <c r="J49" s="35"/>
      <c r="K49" s="36"/>
      <c r="L49" s="40">
        <f>Source!U33</f>
        <v>902.27680000000009</v>
      </c>
    </row>
    <row r="50" spans="1:26" ht="14.25" x14ac:dyDescent="0.2">
      <c r="A50" s="53" t="str">
        <f>Source!E35</f>
        <v>3,1</v>
      </c>
      <c r="B50" s="54" t="str">
        <f>Source!F35</f>
        <v>01.7.07.07</v>
      </c>
      <c r="C50" s="54" t="str">
        <f>Source!G35</f>
        <v>Строительный мусор</v>
      </c>
      <c r="D50" s="41" t="str">
        <f>Source!H35</f>
        <v>т</v>
      </c>
      <c r="E50" s="42">
        <f>Source!I35</f>
        <v>53.552399999999999</v>
      </c>
      <c r="F50" s="43">
        <f>Source!AL35+Source!AM35+Source!AO35</f>
        <v>0</v>
      </c>
      <c r="G50" s="44" t="s">
        <v>6</v>
      </c>
      <c r="H50" s="45">
        <f>ROUND(Source!AC35*Source!I35, 2)+ROUND(Source!AD35*Source!I35, 2)+ROUND(Source!AF35*Source!I35, 2)</f>
        <v>0</v>
      </c>
      <c r="I50" s="46"/>
      <c r="J50" s="46">
        <f>IF(Source!BC35&lt;&gt; 0, Source!BC35, 1)</f>
        <v>7.7</v>
      </c>
      <c r="K50" s="45">
        <f>Source!O35</f>
        <v>0</v>
      </c>
      <c r="L50" s="47"/>
      <c r="S50">
        <f>ROUND((Source!FX35/100)*((ROUND(Source!AF35*Source!I35, 2)+ROUND(Source!AE35*Source!I35, 2))), 2)</f>
        <v>0</v>
      </c>
      <c r="T50">
        <f>Source!X35</f>
        <v>0</v>
      </c>
      <c r="U50">
        <f>ROUND((Source!FY35/100)*((ROUND(Source!AF35*Source!I35, 2)+ROUND(Source!AE35*Source!I35, 2))), 2)</f>
        <v>0</v>
      </c>
      <c r="V50">
        <f>Source!Y35</f>
        <v>0</v>
      </c>
      <c r="W50">
        <f>IF(Source!BI35&lt;=1,H50, 0)</f>
        <v>0</v>
      </c>
      <c r="X50">
        <f>IF(Source!BI35=2,H50, 0)</f>
        <v>0</v>
      </c>
      <c r="Y50">
        <f>IF(Source!BI35=3,H50, 0)</f>
        <v>0</v>
      </c>
      <c r="Z50">
        <f>IF(Source!BI35=4,H50, 0)</f>
        <v>0</v>
      </c>
    </row>
    <row r="51" spans="1:26" ht="15" x14ac:dyDescent="0.25">
      <c r="G51" s="74">
        <f>H44+H45+H47+H48+SUM(H50:H50)</f>
        <v>25375.420000000002</v>
      </c>
      <c r="H51" s="74"/>
      <c r="J51" s="74">
        <f>K44+K45+K47+K48+SUM(K50:K50)</f>
        <v>195390.76</v>
      </c>
      <c r="K51" s="74"/>
      <c r="L51" s="48">
        <f>Source!U33</f>
        <v>902.27680000000009</v>
      </c>
      <c r="O51" s="27">
        <f>G51</f>
        <v>25375.420000000002</v>
      </c>
      <c r="P51" s="27">
        <f>J51</f>
        <v>195390.76</v>
      </c>
      <c r="Q51" s="27">
        <f>L51</f>
        <v>902.27680000000009</v>
      </c>
      <c r="W51">
        <f>IF(Source!BI33&lt;=1,H44+H45+H47+H48, 0)</f>
        <v>25375.420000000002</v>
      </c>
      <c r="X51">
        <f>IF(Source!BI33=2,H44+H45+H47+H48, 0)</f>
        <v>0</v>
      </c>
      <c r="Y51">
        <f>IF(Source!BI33=3,H44+H45+H47+H48, 0)</f>
        <v>0</v>
      </c>
      <c r="Z51">
        <f>IF(Source!BI33=4,H44+H45+H47+H48, 0)</f>
        <v>0</v>
      </c>
    </row>
    <row r="52" spans="1:26" ht="28.5" x14ac:dyDescent="0.2">
      <c r="A52" s="51" t="str">
        <f>Source!E37</f>
        <v>4</v>
      </c>
      <c r="B52" s="52" t="str">
        <f>Source!F37</f>
        <v>11-01-004-09</v>
      </c>
      <c r="C52" s="52" t="str">
        <f>Source!G37</f>
        <v>Устройство гидроизоляции обмазочной в один слой праймером</v>
      </c>
      <c r="D52" s="33" t="str">
        <f>Source!H37</f>
        <v>100 м2</v>
      </c>
      <c r="E52" s="12">
        <f>Source!I37</f>
        <v>8.1140000000000008</v>
      </c>
      <c r="F52" s="34">
        <f>Source!AL37+Source!AM37+Source!AO37</f>
        <v>453.75</v>
      </c>
      <c r="G52" s="35"/>
      <c r="H52" s="36"/>
      <c r="I52" s="35" t="str">
        <f>Source!BO37</f>
        <v/>
      </c>
      <c r="J52" s="35"/>
      <c r="K52" s="36"/>
      <c r="L52" s="37"/>
      <c r="S52">
        <f>ROUND((Source!FX37/100)*((ROUND(Source!AF37*Source!I37, 2)+ROUND(Source!AE37*Source!I37, 2))), 2)</f>
        <v>3057.49</v>
      </c>
      <c r="T52">
        <f>Source!X37</f>
        <v>23606.51</v>
      </c>
      <c r="U52">
        <f>ROUND((Source!FY37/100)*((ROUND(Source!AF37*Source!I37, 2)+ROUND(Source!AE37*Source!I37, 2))), 2)</f>
        <v>1760.75</v>
      </c>
      <c r="V52">
        <f>Source!Y37</f>
        <v>13610.96</v>
      </c>
    </row>
    <row r="53" spans="1:26" x14ac:dyDescent="0.2">
      <c r="C53" s="26" t="str">
        <f>"Объем: "&amp;Source!I37&amp;"=811,4/"&amp;"100"</f>
        <v>Объем: 8,114=811,4/100</v>
      </c>
    </row>
    <row r="54" spans="1:26" ht="14.25" x14ac:dyDescent="0.2">
      <c r="A54" s="51"/>
      <c r="B54" s="52"/>
      <c r="C54" s="52" t="s">
        <v>533</v>
      </c>
      <c r="D54" s="33"/>
      <c r="E54" s="12"/>
      <c r="F54" s="34">
        <f>Source!AO37</f>
        <v>295.05</v>
      </c>
      <c r="G54" s="35" t="str">
        <f>Source!DG37</f>
        <v>)*1,15</v>
      </c>
      <c r="H54" s="36">
        <f>ROUND(Source!AF37*Source!I37, 2)</f>
        <v>2753.14</v>
      </c>
      <c r="I54" s="35"/>
      <c r="J54" s="35">
        <f>IF(Source!BA37&lt;&gt; 0, Source!BA37, 1)</f>
        <v>7.7</v>
      </c>
      <c r="K54" s="36">
        <f>Source!S37</f>
        <v>21199.19</v>
      </c>
      <c r="L54" s="37"/>
      <c r="R54">
        <f>H54</f>
        <v>2753.14</v>
      </c>
    </row>
    <row r="55" spans="1:26" ht="14.25" x14ac:dyDescent="0.2">
      <c r="A55" s="51"/>
      <c r="B55" s="52"/>
      <c r="C55" s="52" t="s">
        <v>229</v>
      </c>
      <c r="D55" s="33"/>
      <c r="E55" s="12"/>
      <c r="F55" s="34">
        <f>Source!AM37</f>
        <v>25.85</v>
      </c>
      <c r="G55" s="35" t="str">
        <f>Source!DE37</f>
        <v>)*1,25</v>
      </c>
      <c r="H55" s="36">
        <f>ROUND(Source!AD37*Source!I37, 2)</f>
        <v>262.18</v>
      </c>
      <c r="I55" s="35"/>
      <c r="J55" s="35">
        <f>IF(Source!BB37&lt;&gt; 0, Source!BB37, 1)</f>
        <v>7.7</v>
      </c>
      <c r="K55" s="36">
        <f>Source!Q37</f>
        <v>2018.81</v>
      </c>
      <c r="L55" s="37"/>
    </row>
    <row r="56" spans="1:26" ht="14.25" x14ac:dyDescent="0.2">
      <c r="A56" s="51"/>
      <c r="B56" s="52"/>
      <c r="C56" s="52" t="s">
        <v>534</v>
      </c>
      <c r="D56" s="33"/>
      <c r="E56" s="12"/>
      <c r="F56" s="34">
        <f>Source!AN37</f>
        <v>0.87</v>
      </c>
      <c r="G56" s="35" t="str">
        <f>Source!DF37</f>
        <v>)*1,25</v>
      </c>
      <c r="H56" s="38">
        <f>ROUND(Source!AE37*Source!I37, 2)</f>
        <v>8.82</v>
      </c>
      <c r="I56" s="35"/>
      <c r="J56" s="35">
        <f>IF(Source!BS37&lt;&gt; 0, Source!BS37, 1)</f>
        <v>7.7</v>
      </c>
      <c r="K56" s="38">
        <f>Source!R37</f>
        <v>67.94</v>
      </c>
      <c r="L56" s="37"/>
      <c r="R56">
        <f>H56</f>
        <v>8.82</v>
      </c>
    </row>
    <row r="57" spans="1:26" ht="14.25" x14ac:dyDescent="0.2">
      <c r="A57" s="51"/>
      <c r="B57" s="52"/>
      <c r="C57" s="52" t="s">
        <v>540</v>
      </c>
      <c r="D57" s="33"/>
      <c r="E57" s="12"/>
      <c r="F57" s="34">
        <f>Source!AL37</f>
        <v>132.85</v>
      </c>
      <c r="G57" s="35" t="str">
        <f>Source!DD37</f>
        <v/>
      </c>
      <c r="H57" s="36">
        <f>ROUND(Source!AC37*Source!I37, 2)</f>
        <v>1077.94</v>
      </c>
      <c r="I57" s="35"/>
      <c r="J57" s="35">
        <f>IF(Source!BC37&lt;&gt; 0, Source!BC37, 1)</f>
        <v>7.7</v>
      </c>
      <c r="K57" s="36">
        <f>Source!P37</f>
        <v>8300.18</v>
      </c>
      <c r="L57" s="37"/>
    </row>
    <row r="58" spans="1:26" ht="14.25" x14ac:dyDescent="0.2">
      <c r="A58" s="51"/>
      <c r="B58" s="52"/>
      <c r="C58" s="52" t="s">
        <v>535</v>
      </c>
      <c r="D58" s="33" t="s">
        <v>536</v>
      </c>
      <c r="E58" s="12">
        <f>Source!BZ37</f>
        <v>123</v>
      </c>
      <c r="F58" s="62" t="str">
        <f>CONCATENATE(" )", Source!DL37, Source!FT37, "=", Source!FX37)</f>
        <v xml:space="preserve"> )*0,9=110,7</v>
      </c>
      <c r="G58" s="75"/>
      <c r="H58" s="36">
        <f>SUM(S52:S63)</f>
        <v>3057.49</v>
      </c>
      <c r="I58" s="39"/>
      <c r="J58" s="32">
        <f>Source!AT37</f>
        <v>111</v>
      </c>
      <c r="K58" s="36">
        <f>SUM(T52:T63)</f>
        <v>23606.51</v>
      </c>
      <c r="L58" s="37"/>
    </row>
    <row r="59" spans="1:26" ht="14.25" x14ac:dyDescent="0.2">
      <c r="A59" s="51"/>
      <c r="B59" s="52"/>
      <c r="C59" s="52" t="s">
        <v>537</v>
      </c>
      <c r="D59" s="33" t="s">
        <v>536</v>
      </c>
      <c r="E59" s="12">
        <f>Source!CA37</f>
        <v>75</v>
      </c>
      <c r="F59" s="62" t="str">
        <f>CONCATENATE(" )", Source!DM37, Source!FU37, "=", Source!FY37)</f>
        <v xml:space="preserve"> )*0,85=63,75</v>
      </c>
      <c r="G59" s="75"/>
      <c r="H59" s="36">
        <f>SUM(U52:U63)</f>
        <v>1760.75</v>
      </c>
      <c r="I59" s="39"/>
      <c r="J59" s="32">
        <f>Source!AU37</f>
        <v>64</v>
      </c>
      <c r="K59" s="36">
        <f>SUM(V52:V63)</f>
        <v>13610.96</v>
      </c>
      <c r="L59" s="37"/>
    </row>
    <row r="60" spans="1:26" ht="14.25" x14ac:dyDescent="0.2">
      <c r="A60" s="51"/>
      <c r="B60" s="52"/>
      <c r="C60" s="52" t="s">
        <v>538</v>
      </c>
      <c r="D60" s="33" t="s">
        <v>539</v>
      </c>
      <c r="E60" s="12">
        <f>Source!AQ37</f>
        <v>26.97</v>
      </c>
      <c r="F60" s="34"/>
      <c r="G60" s="35" t="str">
        <f>Source!DI37</f>
        <v>)*1,15</v>
      </c>
      <c r="H60" s="36"/>
      <c r="I60" s="35"/>
      <c r="J60" s="35"/>
      <c r="K60" s="36"/>
      <c r="L60" s="40">
        <f>Source!U37</f>
        <v>251.65976699999999</v>
      </c>
    </row>
    <row r="61" spans="1:26" ht="28.5" x14ac:dyDescent="0.2">
      <c r="A61" s="51" t="str">
        <f>Source!E39</f>
        <v>4,1</v>
      </c>
      <c r="B61" s="52" t="str">
        <f>Source!F39</f>
        <v>14.3.01.01-0001</v>
      </c>
      <c r="C61" s="52" t="str">
        <f>Source!G39</f>
        <v>Грунтовка: «Бетоконтакт», КНАУФ</v>
      </c>
      <c r="D61" s="33" t="str">
        <f>Source!H39</f>
        <v>кг</v>
      </c>
      <c r="E61" s="12">
        <f>Source!I39</f>
        <v>243.42</v>
      </c>
      <c r="F61" s="34">
        <f>Source!AL39+Source!AM39+Source!AO39</f>
        <v>15.09</v>
      </c>
      <c r="G61" s="49" t="s">
        <v>6</v>
      </c>
      <c r="H61" s="36">
        <f>ROUND(Source!AC39*Source!I39, 2)+ROUND(Source!AD39*Source!I39, 2)+ROUND(Source!AF39*Source!I39, 2)</f>
        <v>3673.21</v>
      </c>
      <c r="I61" s="35"/>
      <c r="J61" s="35">
        <f>IF(Source!BC39&lt;&gt; 0, Source!BC39, 1)</f>
        <v>7.7</v>
      </c>
      <c r="K61" s="36">
        <f>Source!O39</f>
        <v>28283.7</v>
      </c>
      <c r="L61" s="37"/>
      <c r="S61">
        <f>ROUND((Source!FX39/100)*((ROUND(Source!AF39*Source!I39, 2)+ROUND(Source!AE39*Source!I39, 2))), 2)</f>
        <v>0</v>
      </c>
      <c r="T61">
        <f>Source!X39</f>
        <v>0</v>
      </c>
      <c r="U61">
        <f>ROUND((Source!FY39/100)*((ROUND(Source!AF39*Source!I39, 2)+ROUND(Source!AE39*Source!I39, 2))), 2)</f>
        <v>0</v>
      </c>
      <c r="V61">
        <f>Source!Y39</f>
        <v>0</v>
      </c>
      <c r="W61">
        <f>IF(Source!BI39&lt;=1,H61, 0)</f>
        <v>3673.21</v>
      </c>
      <c r="X61">
        <f>IF(Source!BI39=2,H61, 0)</f>
        <v>0</v>
      </c>
      <c r="Y61">
        <f>IF(Source!BI39=3,H61, 0)</f>
        <v>0</v>
      </c>
      <c r="Z61">
        <f>IF(Source!BI39=4,H61, 0)</f>
        <v>0</v>
      </c>
    </row>
    <row r="62" spans="1:26" ht="28.5" x14ac:dyDescent="0.2">
      <c r="A62" s="51" t="str">
        <f>Source!E41</f>
        <v>4,2</v>
      </c>
      <c r="B62" s="52" t="str">
        <f>Source!F41</f>
        <v>01.2.01.02-0054</v>
      </c>
      <c r="C62" s="52" t="str">
        <f>Source!G41</f>
        <v>Битумы нефтяные строительные марки БН-90/10</v>
      </c>
      <c r="D62" s="33" t="str">
        <f>Source!H41</f>
        <v>т</v>
      </c>
      <c r="E62" s="12">
        <f>Source!I41</f>
        <v>-0.16228000000000001</v>
      </c>
      <c r="F62" s="34">
        <f>Source!AL41+Source!AM41+Source!AO41</f>
        <v>1383.1</v>
      </c>
      <c r="G62" s="49" t="s">
        <v>6</v>
      </c>
      <c r="H62" s="36">
        <f>ROUND(Source!AC41*Source!I41, 2)+ROUND(Source!AD41*Source!I41, 2)+ROUND(Source!AF41*Source!I41, 2)</f>
        <v>-224.45</v>
      </c>
      <c r="I62" s="35"/>
      <c r="J62" s="35">
        <f>IF(Source!BC41&lt;&gt; 0, Source!BC41, 1)</f>
        <v>7.7</v>
      </c>
      <c r="K62" s="36">
        <f>Source!O41</f>
        <v>-1728.26</v>
      </c>
      <c r="L62" s="37"/>
      <c r="S62">
        <f>ROUND((Source!FX41/100)*((ROUND(Source!AF41*Source!I41, 2)+ROUND(Source!AE41*Source!I41, 2))), 2)</f>
        <v>0</v>
      </c>
      <c r="T62">
        <f>Source!X41</f>
        <v>0</v>
      </c>
      <c r="U62">
        <f>ROUND((Source!FY41/100)*((ROUND(Source!AF41*Source!I41, 2)+ROUND(Source!AE41*Source!I41, 2))), 2)</f>
        <v>0</v>
      </c>
      <c r="V62">
        <f>Source!Y41</f>
        <v>0</v>
      </c>
      <c r="W62">
        <f>IF(Source!BI41&lt;=1,H62, 0)</f>
        <v>-224.45</v>
      </c>
      <c r="X62">
        <f>IF(Source!BI41=2,H62, 0)</f>
        <v>0</v>
      </c>
      <c r="Y62">
        <f>IF(Source!BI41=3,H62, 0)</f>
        <v>0</v>
      </c>
      <c r="Z62">
        <f>IF(Source!BI41=4,H62, 0)</f>
        <v>0</v>
      </c>
    </row>
    <row r="63" spans="1:26" ht="28.5" x14ac:dyDescent="0.2">
      <c r="A63" s="53" t="str">
        <f>Source!E43</f>
        <v>4,3</v>
      </c>
      <c r="B63" s="54" t="str">
        <f>Source!F43</f>
        <v>01.3.01.03-0002</v>
      </c>
      <c r="C63" s="54" t="str">
        <f>Source!G43</f>
        <v>Керосин для технических целей марок КТ-1, КТ-2</v>
      </c>
      <c r="D63" s="41" t="str">
        <f>Source!H43</f>
        <v>т</v>
      </c>
      <c r="E63" s="42">
        <f>Source!I43</f>
        <v>-0.32456000000000002</v>
      </c>
      <c r="F63" s="43">
        <f>Source!AL43+Source!AM43+Source!AO43</f>
        <v>2606.9</v>
      </c>
      <c r="G63" s="44" t="s">
        <v>6</v>
      </c>
      <c r="H63" s="45">
        <f>ROUND(Source!AC43*Source!I43, 2)+ROUND(Source!AD43*Source!I43, 2)+ROUND(Source!AF43*Source!I43, 2)</f>
        <v>-846.1</v>
      </c>
      <c r="I63" s="46"/>
      <c r="J63" s="46">
        <f>IF(Source!BC43&lt;&gt; 0, Source!BC43, 1)</f>
        <v>7.7</v>
      </c>
      <c r="K63" s="45">
        <f>Source!O43</f>
        <v>-6514.94</v>
      </c>
      <c r="L63" s="47"/>
      <c r="S63">
        <f>ROUND((Source!FX43/100)*((ROUND(Source!AF43*Source!I43, 2)+ROUND(Source!AE43*Source!I43, 2))), 2)</f>
        <v>0</v>
      </c>
      <c r="T63">
        <f>Source!X43</f>
        <v>0</v>
      </c>
      <c r="U63">
        <f>ROUND((Source!FY43/100)*((ROUND(Source!AF43*Source!I43, 2)+ROUND(Source!AE43*Source!I43, 2))), 2)</f>
        <v>0</v>
      </c>
      <c r="V63">
        <f>Source!Y43</f>
        <v>0</v>
      </c>
      <c r="W63">
        <f>IF(Source!BI43&lt;=1,H63, 0)</f>
        <v>-846.1</v>
      </c>
      <c r="X63">
        <f>IF(Source!BI43=2,H63, 0)</f>
        <v>0</v>
      </c>
      <c r="Y63">
        <f>IF(Source!BI43=3,H63, 0)</f>
        <v>0</v>
      </c>
      <c r="Z63">
        <f>IF(Source!BI43=4,H63, 0)</f>
        <v>0</v>
      </c>
    </row>
    <row r="64" spans="1:26" ht="15" x14ac:dyDescent="0.25">
      <c r="G64" s="74">
        <f>H54+H55+H57+H58+H59+SUM(H61:H63)</f>
        <v>11514.16</v>
      </c>
      <c r="H64" s="74"/>
      <c r="J64" s="74">
        <f>K54+K55+K57+K58+K59+SUM(K61:K63)</f>
        <v>88776.15</v>
      </c>
      <c r="K64" s="74"/>
      <c r="L64" s="48">
        <f>Source!U37</f>
        <v>251.65976699999999</v>
      </c>
      <c r="O64" s="27">
        <f>G64</f>
        <v>11514.16</v>
      </c>
      <c r="P64" s="27">
        <f>J64</f>
        <v>88776.15</v>
      </c>
      <c r="Q64" s="27">
        <f>L64</f>
        <v>251.65976699999999</v>
      </c>
      <c r="W64">
        <f>IF(Source!BI37&lt;=1,H54+H55+H57+H58+H59, 0)</f>
        <v>8911.5</v>
      </c>
      <c r="X64">
        <f>IF(Source!BI37=2,H54+H55+H57+H58+H59, 0)</f>
        <v>0</v>
      </c>
      <c r="Y64">
        <f>IF(Source!BI37=3,H54+H55+H57+H58+H59, 0)</f>
        <v>0</v>
      </c>
      <c r="Z64">
        <f>IF(Source!BI37=4,H54+H55+H57+H58+H59, 0)</f>
        <v>0</v>
      </c>
    </row>
    <row r="65" spans="1:26" ht="42.75" x14ac:dyDescent="0.2">
      <c r="A65" s="51" t="str">
        <f>Source!E45</f>
        <v>5</v>
      </c>
      <c r="B65" s="52" t="str">
        <f>Source!F45</f>
        <v>11-01-011-08</v>
      </c>
      <c r="C65" s="52" t="str">
        <f>Source!G45</f>
        <v>Устройство стяжек из выравнивающей смеси типа "Ветонит" 5000, толщиной 5 мм</v>
      </c>
      <c r="D65" s="33" t="str">
        <f>Source!H45</f>
        <v>100 м2</v>
      </c>
      <c r="E65" s="12">
        <f>Source!I45</f>
        <v>8.1140000000000008</v>
      </c>
      <c r="F65" s="34">
        <f>Source!AL45+Source!AM45+Source!AO45</f>
        <v>11028.89</v>
      </c>
      <c r="G65" s="35"/>
      <c r="H65" s="36"/>
      <c r="I65" s="35" t="str">
        <f>Source!BO45</f>
        <v/>
      </c>
      <c r="J65" s="35"/>
      <c r="K65" s="36"/>
      <c r="L65" s="37"/>
      <c r="S65">
        <f>ROUND((Source!FX45/100)*((ROUND(Source!AF45*Source!I45, 2)+ROUND(Source!AE45*Source!I45, 2))), 2)</f>
        <v>3341.3</v>
      </c>
      <c r="T65">
        <f>Source!X45</f>
        <v>25797.78</v>
      </c>
      <c r="U65">
        <f>ROUND((Source!FY45/100)*((ROUND(Source!AF45*Source!I45, 2)+ROUND(Source!AE45*Source!I45, 2))), 2)</f>
        <v>1924.19</v>
      </c>
      <c r="V65">
        <f>Source!Y45</f>
        <v>14874.39</v>
      </c>
    </row>
    <row r="66" spans="1:26" ht="25.5" x14ac:dyDescent="0.2">
      <c r="C66" s="26" t="str">
        <f>"Объем: "&amp;Source!I45&amp;"=(202,8+"&amp;"204,2+"&amp;"200,2+"&amp;"204,2)/"&amp;"100"</f>
        <v>Объем: 8,114=(202,8+204,2+200,2+204,2)/100</v>
      </c>
    </row>
    <row r="67" spans="1:26" ht="14.25" x14ac:dyDescent="0.2">
      <c r="A67" s="51"/>
      <c r="B67" s="52"/>
      <c r="C67" s="52" t="s">
        <v>533</v>
      </c>
      <c r="D67" s="33"/>
      <c r="E67" s="12"/>
      <c r="F67" s="34">
        <f>Source!AO45</f>
        <v>321.33</v>
      </c>
      <c r="G67" s="35" t="str">
        <f>Source!DG45</f>
        <v>)*1,15</v>
      </c>
      <c r="H67" s="36">
        <f>ROUND(Source!AF45*Source!I45, 2)</f>
        <v>2998.36</v>
      </c>
      <c r="I67" s="35"/>
      <c r="J67" s="35">
        <f>IF(Source!BA45&lt;&gt; 0, Source!BA45, 1)</f>
        <v>7.7</v>
      </c>
      <c r="K67" s="36">
        <f>Source!S45</f>
        <v>23087.39</v>
      </c>
      <c r="L67" s="37"/>
      <c r="R67">
        <f>H67</f>
        <v>2998.36</v>
      </c>
    </row>
    <row r="68" spans="1:26" ht="14.25" x14ac:dyDescent="0.2">
      <c r="A68" s="51"/>
      <c r="B68" s="52"/>
      <c r="C68" s="52" t="s">
        <v>229</v>
      </c>
      <c r="D68" s="33"/>
      <c r="E68" s="12"/>
      <c r="F68" s="34">
        <f>Source!AM45</f>
        <v>6.23</v>
      </c>
      <c r="G68" s="35" t="str">
        <f>Source!DE45</f>
        <v>)*1,25</v>
      </c>
      <c r="H68" s="36">
        <f>ROUND(Source!AD45*Source!I45, 2)</f>
        <v>63.19</v>
      </c>
      <c r="I68" s="35"/>
      <c r="J68" s="35">
        <f>IF(Source!BB45&lt;&gt; 0, Source!BB45, 1)</f>
        <v>7.7</v>
      </c>
      <c r="K68" s="36">
        <f>Source!Q45</f>
        <v>486.55</v>
      </c>
      <c r="L68" s="37"/>
    </row>
    <row r="69" spans="1:26" ht="14.25" x14ac:dyDescent="0.2">
      <c r="A69" s="51"/>
      <c r="B69" s="52"/>
      <c r="C69" s="52" t="s">
        <v>534</v>
      </c>
      <c r="D69" s="33"/>
      <c r="E69" s="12"/>
      <c r="F69" s="34">
        <f>Source!AN45</f>
        <v>1.97</v>
      </c>
      <c r="G69" s="35" t="str">
        <f>Source!DF45</f>
        <v>)*1,25</v>
      </c>
      <c r="H69" s="38">
        <f>ROUND(Source!AE45*Source!I45, 2)</f>
        <v>19.98</v>
      </c>
      <c r="I69" s="35"/>
      <c r="J69" s="35">
        <f>IF(Source!BS45&lt;&gt; 0, Source!BS45, 1)</f>
        <v>7.7</v>
      </c>
      <c r="K69" s="38">
        <f>Source!R45</f>
        <v>153.85</v>
      </c>
      <c r="L69" s="37"/>
      <c r="R69">
        <f>H69</f>
        <v>19.98</v>
      </c>
    </row>
    <row r="70" spans="1:26" ht="14.25" x14ac:dyDescent="0.2">
      <c r="A70" s="51"/>
      <c r="B70" s="52"/>
      <c r="C70" s="52" t="s">
        <v>540</v>
      </c>
      <c r="D70" s="33"/>
      <c r="E70" s="12"/>
      <c r="F70" s="34">
        <f>Source!AL45</f>
        <v>10701.33</v>
      </c>
      <c r="G70" s="35" t="str">
        <f>Source!DD45</f>
        <v/>
      </c>
      <c r="H70" s="36">
        <f>ROUND(Source!AC45*Source!I45, 2)</f>
        <v>86830.59</v>
      </c>
      <c r="I70" s="35"/>
      <c r="J70" s="35">
        <f>IF(Source!BC45&lt;&gt; 0, Source!BC45, 1)</f>
        <v>7.7</v>
      </c>
      <c r="K70" s="36">
        <f>Source!P45</f>
        <v>668595.56000000006</v>
      </c>
      <c r="L70" s="37"/>
    </row>
    <row r="71" spans="1:26" ht="14.25" x14ac:dyDescent="0.2">
      <c r="A71" s="51"/>
      <c r="B71" s="52"/>
      <c r="C71" s="52" t="s">
        <v>535</v>
      </c>
      <c r="D71" s="33" t="s">
        <v>536</v>
      </c>
      <c r="E71" s="12">
        <f>Source!BZ45</f>
        <v>123</v>
      </c>
      <c r="F71" s="62" t="str">
        <f>CONCATENATE(" )", Source!DL45, Source!FT45, "=", Source!FX45)</f>
        <v xml:space="preserve"> )*0,9=110,7</v>
      </c>
      <c r="G71" s="75"/>
      <c r="H71" s="36">
        <f>SUM(S65:S73)</f>
        <v>3341.3</v>
      </c>
      <c r="I71" s="39"/>
      <c r="J71" s="32">
        <f>Source!AT45</f>
        <v>111</v>
      </c>
      <c r="K71" s="36">
        <f>SUM(T65:T73)</f>
        <v>25797.78</v>
      </c>
      <c r="L71" s="37"/>
    </row>
    <row r="72" spans="1:26" ht="14.25" x14ac:dyDescent="0.2">
      <c r="A72" s="51"/>
      <c r="B72" s="52"/>
      <c r="C72" s="52" t="s">
        <v>537</v>
      </c>
      <c r="D72" s="33" t="s">
        <v>536</v>
      </c>
      <c r="E72" s="12">
        <f>Source!CA45</f>
        <v>75</v>
      </c>
      <c r="F72" s="62" t="str">
        <f>CONCATENATE(" )", Source!DM45, Source!FU45, "=", Source!FY45)</f>
        <v xml:space="preserve"> )*0,85=63,75</v>
      </c>
      <c r="G72" s="75"/>
      <c r="H72" s="36">
        <f>SUM(U65:U73)</f>
        <v>1924.19</v>
      </c>
      <c r="I72" s="39"/>
      <c r="J72" s="32">
        <f>Source!AU45</f>
        <v>64</v>
      </c>
      <c r="K72" s="36">
        <f>SUM(V65:V73)</f>
        <v>14874.39</v>
      </c>
      <c r="L72" s="37"/>
    </row>
    <row r="73" spans="1:26" ht="14.25" x14ac:dyDescent="0.2">
      <c r="A73" s="53"/>
      <c r="B73" s="54"/>
      <c r="C73" s="54" t="s">
        <v>538</v>
      </c>
      <c r="D73" s="41" t="s">
        <v>539</v>
      </c>
      <c r="E73" s="42">
        <f>Source!AQ45</f>
        <v>37.67</v>
      </c>
      <c r="F73" s="43"/>
      <c r="G73" s="46" t="str">
        <f>Source!DI45</f>
        <v>)*1,15</v>
      </c>
      <c r="H73" s="45"/>
      <c r="I73" s="46"/>
      <c r="J73" s="46"/>
      <c r="K73" s="45"/>
      <c r="L73" s="50">
        <f>Source!U45</f>
        <v>351.50253700000002</v>
      </c>
    </row>
    <row r="74" spans="1:26" ht="15" x14ac:dyDescent="0.25">
      <c r="G74" s="74">
        <f>H67+H68+H70+H71+H72</f>
        <v>95157.63</v>
      </c>
      <c r="H74" s="74"/>
      <c r="J74" s="74">
        <f>K67+K68+K70+K71+K72</f>
        <v>732841.67</v>
      </c>
      <c r="K74" s="74"/>
      <c r="L74" s="48">
        <f>Source!U45</f>
        <v>351.50253700000002</v>
      </c>
      <c r="O74" s="27">
        <f>G74</f>
        <v>95157.63</v>
      </c>
      <c r="P74" s="27">
        <f>J74</f>
        <v>732841.67</v>
      </c>
      <c r="Q74" s="27">
        <f>L74</f>
        <v>351.50253700000002</v>
      </c>
      <c r="W74">
        <f>IF(Source!BI45&lt;=1,H67+H68+H70+H71+H72, 0)</f>
        <v>95157.63</v>
      </c>
      <c r="X74">
        <f>IF(Source!BI45=2,H67+H68+H70+H71+H72, 0)</f>
        <v>0</v>
      </c>
      <c r="Y74">
        <f>IF(Source!BI45=3,H67+H68+H70+H71+H72, 0)</f>
        <v>0</v>
      </c>
      <c r="Z74">
        <f>IF(Source!BI45=4,H67+H68+H70+H71+H72, 0)</f>
        <v>0</v>
      </c>
    </row>
    <row r="75" spans="1:26" ht="42.75" x14ac:dyDescent="0.2">
      <c r="A75" s="51" t="str">
        <f>Source!E47</f>
        <v>6</v>
      </c>
      <c r="B75" s="52" t="str">
        <f>Source!F47</f>
        <v>11-01-011-10</v>
      </c>
      <c r="C75" s="52" t="str">
        <f>Source!G47</f>
        <v>Устройство стяжек на каждый последующий слой толщиной 1 мм добавлять к расценке 11-01-011-08</v>
      </c>
      <c r="D75" s="33" t="str">
        <f>Source!H47</f>
        <v>100 м2</v>
      </c>
      <c r="E75" s="12">
        <f>Source!I47</f>
        <v>8.1140000000000008</v>
      </c>
      <c r="F75" s="34">
        <f>Source!AL47+Source!AM47+Source!AO47</f>
        <v>2070.6</v>
      </c>
      <c r="G75" s="35"/>
      <c r="H75" s="36"/>
      <c r="I75" s="35" t="str">
        <f>Source!BO47</f>
        <v/>
      </c>
      <c r="J75" s="35"/>
      <c r="K75" s="36"/>
      <c r="L75" s="37"/>
      <c r="S75">
        <f>ROUND((Source!FX47/100)*((ROUND(Source!AF47*Source!I47, 2)+ROUND(Source!AE47*Source!I47, 2))), 2)</f>
        <v>2171.31</v>
      </c>
      <c r="T75">
        <f>Source!X47</f>
        <v>16764.41</v>
      </c>
      <c r="U75">
        <f>ROUND((Source!FY47/100)*((ROUND(Source!AF47*Source!I47, 2)+ROUND(Source!AE47*Source!I47, 2))), 2)</f>
        <v>1250.42</v>
      </c>
      <c r="V75">
        <f>Source!Y47</f>
        <v>9665.9599999999991</v>
      </c>
    </row>
    <row r="76" spans="1:26" ht="14.25" x14ac:dyDescent="0.2">
      <c r="A76" s="51"/>
      <c r="B76" s="52"/>
      <c r="C76" s="52" t="s">
        <v>533</v>
      </c>
      <c r="D76" s="33"/>
      <c r="E76" s="12"/>
      <c r="F76" s="34">
        <f>Source!AO47</f>
        <v>20.64</v>
      </c>
      <c r="G76" s="35" t="str">
        <f>Source!DG47</f>
        <v>)*1,15*10</v>
      </c>
      <c r="H76" s="36">
        <f>ROUND(Source!AF47*Source!I47, 2)</f>
        <v>1925.94</v>
      </c>
      <c r="I76" s="35"/>
      <c r="J76" s="35">
        <f>IF(Source!BA47&lt;&gt; 0, Source!BA47, 1)</f>
        <v>7.7</v>
      </c>
      <c r="K76" s="36">
        <f>Source!S47</f>
        <v>14829.73</v>
      </c>
      <c r="L76" s="37"/>
      <c r="R76">
        <f>H76</f>
        <v>1925.94</v>
      </c>
    </row>
    <row r="77" spans="1:26" ht="14.25" x14ac:dyDescent="0.2">
      <c r="A77" s="51"/>
      <c r="B77" s="52"/>
      <c r="C77" s="52" t="s">
        <v>229</v>
      </c>
      <c r="D77" s="33"/>
      <c r="E77" s="12"/>
      <c r="F77" s="34">
        <f>Source!AM47</f>
        <v>1.21</v>
      </c>
      <c r="G77" s="35" t="str">
        <f>Source!DE47</f>
        <v>)*1,25*10</v>
      </c>
      <c r="H77" s="36">
        <f>ROUND(Source!AD47*Source!I47, 2)</f>
        <v>122.72</v>
      </c>
      <c r="I77" s="35"/>
      <c r="J77" s="35">
        <f>IF(Source!BB47&lt;&gt; 0, Source!BB47, 1)</f>
        <v>7.7</v>
      </c>
      <c r="K77" s="36">
        <f>Source!Q47</f>
        <v>944.98</v>
      </c>
      <c r="L77" s="37"/>
    </row>
    <row r="78" spans="1:26" ht="14.25" x14ac:dyDescent="0.2">
      <c r="A78" s="51"/>
      <c r="B78" s="52"/>
      <c r="C78" s="52" t="s">
        <v>534</v>
      </c>
      <c r="D78" s="33"/>
      <c r="E78" s="12"/>
      <c r="F78" s="34">
        <f>Source!AN47</f>
        <v>0.35</v>
      </c>
      <c r="G78" s="35" t="str">
        <f>Source!DF47</f>
        <v>)*1,25*10</v>
      </c>
      <c r="H78" s="38">
        <f>ROUND(Source!AE47*Source!I47, 2)</f>
        <v>35.5</v>
      </c>
      <c r="I78" s="35"/>
      <c r="J78" s="35">
        <f>IF(Source!BS47&lt;&gt; 0, Source!BS47, 1)</f>
        <v>7.7</v>
      </c>
      <c r="K78" s="38">
        <f>Source!R47</f>
        <v>273.33999999999997</v>
      </c>
      <c r="L78" s="37"/>
      <c r="R78">
        <f>H78</f>
        <v>35.5</v>
      </c>
    </row>
    <row r="79" spans="1:26" ht="14.25" x14ac:dyDescent="0.2">
      <c r="A79" s="51"/>
      <c r="B79" s="52"/>
      <c r="C79" s="52" t="s">
        <v>540</v>
      </c>
      <c r="D79" s="33"/>
      <c r="E79" s="12"/>
      <c r="F79" s="34">
        <f>Source!AL47</f>
        <v>2048.75</v>
      </c>
      <c r="G79" s="35" t="str">
        <f>Source!DD47</f>
        <v>*10</v>
      </c>
      <c r="H79" s="36">
        <f>ROUND(Source!AC47*Source!I47, 2)</f>
        <v>166235.57999999999</v>
      </c>
      <c r="I79" s="35"/>
      <c r="J79" s="35">
        <f>IF(Source!BC47&lt;&gt; 0, Source!BC47, 1)</f>
        <v>7.7</v>
      </c>
      <c r="K79" s="36">
        <f>Source!P47</f>
        <v>1280013.93</v>
      </c>
      <c r="L79" s="37"/>
    </row>
    <row r="80" spans="1:26" ht="14.25" x14ac:dyDescent="0.2">
      <c r="A80" s="51"/>
      <c r="B80" s="52"/>
      <c r="C80" s="52" t="s">
        <v>535</v>
      </c>
      <c r="D80" s="33" t="s">
        <v>536</v>
      </c>
      <c r="E80" s="12">
        <f>Source!BZ47</f>
        <v>123</v>
      </c>
      <c r="F80" s="62" t="str">
        <f>CONCATENATE(" )", Source!DL47, Source!FT47, "=", Source!FX47)</f>
        <v xml:space="preserve"> )*0,9=110,7</v>
      </c>
      <c r="G80" s="75"/>
      <c r="H80" s="36">
        <f>SUM(S75:S82)</f>
        <v>2171.31</v>
      </c>
      <c r="I80" s="39"/>
      <c r="J80" s="32">
        <f>Source!AT47</f>
        <v>111</v>
      </c>
      <c r="K80" s="36">
        <f>SUM(T75:T82)</f>
        <v>16764.41</v>
      </c>
      <c r="L80" s="37"/>
    </row>
    <row r="81" spans="1:26" ht="14.25" x14ac:dyDescent="0.2">
      <c r="A81" s="51"/>
      <c r="B81" s="52"/>
      <c r="C81" s="52" t="s">
        <v>537</v>
      </c>
      <c r="D81" s="33" t="s">
        <v>536</v>
      </c>
      <c r="E81" s="12">
        <f>Source!CA47</f>
        <v>75</v>
      </c>
      <c r="F81" s="62" t="str">
        <f>CONCATENATE(" )", Source!DM47, Source!FU47, "=", Source!FY47)</f>
        <v xml:space="preserve"> )*0,85=63,75</v>
      </c>
      <c r="G81" s="75"/>
      <c r="H81" s="36">
        <f>SUM(U75:U82)</f>
        <v>1250.42</v>
      </c>
      <c r="I81" s="39"/>
      <c r="J81" s="32">
        <f>Source!AU47</f>
        <v>64</v>
      </c>
      <c r="K81" s="36">
        <f>SUM(V75:V82)</f>
        <v>9665.9599999999991</v>
      </c>
      <c r="L81" s="37"/>
    </row>
    <row r="82" spans="1:26" ht="14.25" x14ac:dyDescent="0.2">
      <c r="A82" s="53"/>
      <c r="B82" s="54"/>
      <c r="C82" s="54" t="s">
        <v>538</v>
      </c>
      <c r="D82" s="41" t="s">
        <v>539</v>
      </c>
      <c r="E82" s="42">
        <f>Source!AQ47</f>
        <v>2.42</v>
      </c>
      <c r="F82" s="43"/>
      <c r="G82" s="46" t="str">
        <f>Source!DI47</f>
        <v>)*1,15*10</v>
      </c>
      <c r="H82" s="45"/>
      <c r="I82" s="46"/>
      <c r="J82" s="46"/>
      <c r="K82" s="45"/>
      <c r="L82" s="50">
        <f>Source!U47</f>
        <v>225.81262000000001</v>
      </c>
    </row>
    <row r="83" spans="1:26" ht="15" x14ac:dyDescent="0.25">
      <c r="G83" s="74">
        <f>H76+H77+H79+H80+H81</f>
        <v>171705.97</v>
      </c>
      <c r="H83" s="74"/>
      <c r="J83" s="74">
        <f>K76+K77+K79+K80+K81</f>
        <v>1322219.0099999998</v>
      </c>
      <c r="K83" s="74"/>
      <c r="L83" s="48">
        <f>Source!U47</f>
        <v>225.81262000000001</v>
      </c>
      <c r="O83" s="27">
        <f>G83</f>
        <v>171705.97</v>
      </c>
      <c r="P83" s="27">
        <f>J83</f>
        <v>1322219.0099999998</v>
      </c>
      <c r="Q83" s="27">
        <f>L83</f>
        <v>225.81262000000001</v>
      </c>
      <c r="W83">
        <f>IF(Source!BI47&lt;=1,H76+H77+H79+H80+H81, 0)</f>
        <v>171705.97</v>
      </c>
      <c r="X83">
        <f>IF(Source!BI47=2,H76+H77+H79+H80+H81, 0)</f>
        <v>0</v>
      </c>
      <c r="Y83">
        <f>IF(Source!BI47=3,H76+H77+H79+H80+H81, 0)</f>
        <v>0</v>
      </c>
      <c r="Z83">
        <f>IF(Source!BI47=4,H76+H77+H79+H80+H81, 0)</f>
        <v>0</v>
      </c>
    </row>
    <row r="84" spans="1:26" ht="28.5" x14ac:dyDescent="0.2">
      <c r="A84" s="51" t="str">
        <f>Source!E57</f>
        <v>7</v>
      </c>
      <c r="B84" s="52" t="str">
        <f>Source!F57</f>
        <v>11-01-047-01</v>
      </c>
      <c r="C84" s="52" t="str">
        <f>Source!G57</f>
        <v>Устройство покрытий из плит керамогранитных размером 30х30 см</v>
      </c>
      <c r="D84" s="33" t="str">
        <f>Source!H57</f>
        <v>100 м2</v>
      </c>
      <c r="E84" s="12">
        <f>Source!I57</f>
        <v>8.1140000000000008</v>
      </c>
      <c r="F84" s="34">
        <f>Source!AL57+Source!AM57+Source!AO57</f>
        <v>21576.86</v>
      </c>
      <c r="G84" s="35"/>
      <c r="H84" s="36"/>
      <c r="I84" s="35" t="str">
        <f>Source!BO57</f>
        <v/>
      </c>
      <c r="J84" s="35"/>
      <c r="K84" s="36"/>
      <c r="L84" s="37"/>
      <c r="S84">
        <f>ROUND((Source!FX57/100)*((ROUND(Source!AF57*Source!I57, 2)+ROUND(Source!AE57*Source!I57, 2))), 2)</f>
        <v>28221.34</v>
      </c>
      <c r="T84">
        <f>Source!X57</f>
        <v>217893.13</v>
      </c>
      <c r="U84">
        <f>ROUND((Source!FY57/100)*((ROUND(Source!AF57*Source!I57, 2)+ROUND(Source!AE57*Source!I57, 2))), 2)</f>
        <v>16252.13</v>
      </c>
      <c r="V84">
        <f>Source!Y57</f>
        <v>125632.08</v>
      </c>
    </row>
    <row r="85" spans="1:26" x14ac:dyDescent="0.2">
      <c r="C85" s="26" t="str">
        <f>"Объем: "&amp;Source!I57&amp;"=811,4/"&amp;"100"</f>
        <v>Объем: 8,114=811,4/100</v>
      </c>
    </row>
    <row r="86" spans="1:26" ht="14.25" x14ac:dyDescent="0.2">
      <c r="A86" s="51"/>
      <c r="B86" s="52"/>
      <c r="C86" s="52" t="s">
        <v>533</v>
      </c>
      <c r="D86" s="33"/>
      <c r="E86" s="12"/>
      <c r="F86" s="34">
        <f>Source!AO57</f>
        <v>2713.07</v>
      </c>
      <c r="G86" s="35" t="str">
        <f>Source!DG57</f>
        <v>)*1,15</v>
      </c>
      <c r="H86" s="36">
        <f>ROUND(Source!AF57*Source!I57, 2)</f>
        <v>25315.93</v>
      </c>
      <c r="I86" s="35"/>
      <c r="J86" s="35">
        <f>IF(Source!BA57&lt;&gt; 0, Source!BA57, 1)</f>
        <v>7.7</v>
      </c>
      <c r="K86" s="36">
        <f>Source!S57</f>
        <v>194932.64</v>
      </c>
      <c r="L86" s="37"/>
      <c r="R86">
        <f>H86</f>
        <v>25315.93</v>
      </c>
    </row>
    <row r="87" spans="1:26" ht="14.25" x14ac:dyDescent="0.2">
      <c r="A87" s="51"/>
      <c r="B87" s="52"/>
      <c r="C87" s="52" t="s">
        <v>229</v>
      </c>
      <c r="D87" s="33"/>
      <c r="E87" s="12"/>
      <c r="F87" s="34">
        <f>Source!AM57</f>
        <v>24.15</v>
      </c>
      <c r="G87" s="35" t="str">
        <f>Source!DE57</f>
        <v>)*1,25</v>
      </c>
      <c r="H87" s="36">
        <f>ROUND(Source!AD57*Source!I57, 2)</f>
        <v>244.94</v>
      </c>
      <c r="I87" s="35"/>
      <c r="J87" s="35">
        <f>IF(Source!BB57&lt;&gt; 0, Source!BB57, 1)</f>
        <v>7.7</v>
      </c>
      <c r="K87" s="36">
        <f>Source!Q57</f>
        <v>1886.05</v>
      </c>
      <c r="L87" s="37"/>
    </row>
    <row r="88" spans="1:26" ht="14.25" x14ac:dyDescent="0.2">
      <c r="A88" s="51"/>
      <c r="B88" s="52"/>
      <c r="C88" s="52" t="s">
        <v>534</v>
      </c>
      <c r="D88" s="33"/>
      <c r="E88" s="12"/>
      <c r="F88" s="34">
        <f>Source!AN57</f>
        <v>17.510000000000002</v>
      </c>
      <c r="G88" s="35" t="str">
        <f>Source!DF57</f>
        <v>)*1,25</v>
      </c>
      <c r="H88" s="38">
        <f>ROUND(Source!AE57*Source!I57, 2)</f>
        <v>177.6</v>
      </c>
      <c r="I88" s="35"/>
      <c r="J88" s="35">
        <f>IF(Source!BS57&lt;&gt; 0, Source!BS57, 1)</f>
        <v>7.7</v>
      </c>
      <c r="K88" s="38">
        <f>Source!R57</f>
        <v>1367.48</v>
      </c>
      <c r="L88" s="37"/>
      <c r="R88">
        <f>H88</f>
        <v>177.6</v>
      </c>
    </row>
    <row r="89" spans="1:26" ht="14.25" x14ac:dyDescent="0.2">
      <c r="A89" s="51"/>
      <c r="B89" s="52"/>
      <c r="C89" s="52" t="s">
        <v>540</v>
      </c>
      <c r="D89" s="33"/>
      <c r="E89" s="12"/>
      <c r="F89" s="34">
        <f>Source!AL57</f>
        <v>18839.64</v>
      </c>
      <c r="G89" s="35" t="str">
        <f>Source!DD57</f>
        <v/>
      </c>
      <c r="H89" s="36">
        <f>ROUND(Source!AC57*Source!I57, 2)</f>
        <v>152864.84</v>
      </c>
      <c r="I89" s="35"/>
      <c r="J89" s="35">
        <f>IF(Source!BC57&lt;&gt; 0, Source!BC57, 1)</f>
        <v>7.7</v>
      </c>
      <c r="K89" s="36">
        <f>Source!P57</f>
        <v>1177059.26</v>
      </c>
      <c r="L89" s="37"/>
    </row>
    <row r="90" spans="1:26" ht="14.25" x14ac:dyDescent="0.2">
      <c r="A90" s="51"/>
      <c r="B90" s="52"/>
      <c r="C90" s="52" t="s">
        <v>535</v>
      </c>
      <c r="D90" s="33" t="s">
        <v>536</v>
      </c>
      <c r="E90" s="12">
        <f>Source!BZ57</f>
        <v>123</v>
      </c>
      <c r="F90" s="62" t="str">
        <f>CONCATENATE(" )", Source!DL57, Source!FT57, "=", Source!FX57)</f>
        <v xml:space="preserve"> )*0,9=110,7</v>
      </c>
      <c r="G90" s="75"/>
      <c r="H90" s="36">
        <f>SUM(S84:S95)</f>
        <v>28221.34</v>
      </c>
      <c r="I90" s="39"/>
      <c r="J90" s="32">
        <f>Source!AT57</f>
        <v>111</v>
      </c>
      <c r="K90" s="36">
        <f>SUM(T84:T95)</f>
        <v>217893.13</v>
      </c>
      <c r="L90" s="37"/>
    </row>
    <row r="91" spans="1:26" ht="14.25" x14ac:dyDescent="0.2">
      <c r="A91" s="51"/>
      <c r="B91" s="52"/>
      <c r="C91" s="52" t="s">
        <v>537</v>
      </c>
      <c r="D91" s="33" t="s">
        <v>536</v>
      </c>
      <c r="E91" s="12">
        <f>Source!CA57</f>
        <v>75</v>
      </c>
      <c r="F91" s="62" t="str">
        <f>CONCATENATE(" )", Source!DM57, Source!FU57, "=", Source!FY57)</f>
        <v xml:space="preserve"> )*0,85=63,75</v>
      </c>
      <c r="G91" s="75"/>
      <c r="H91" s="36">
        <f>SUM(U84:U95)</f>
        <v>16252.13</v>
      </c>
      <c r="I91" s="39"/>
      <c r="J91" s="32">
        <f>Source!AU57</f>
        <v>64</v>
      </c>
      <c r="K91" s="36">
        <f>SUM(V84:V95)</f>
        <v>125632.08</v>
      </c>
      <c r="L91" s="37"/>
    </row>
    <row r="92" spans="1:26" ht="14.25" x14ac:dyDescent="0.2">
      <c r="A92" s="51"/>
      <c r="B92" s="52"/>
      <c r="C92" s="52" t="s">
        <v>538</v>
      </c>
      <c r="D92" s="33" t="s">
        <v>539</v>
      </c>
      <c r="E92" s="12">
        <f>Source!AQ57</f>
        <v>310.42</v>
      </c>
      <c r="F92" s="34"/>
      <c r="G92" s="35" t="str">
        <f>Source!DI57</f>
        <v>)*1,15</v>
      </c>
      <c r="H92" s="36"/>
      <c r="I92" s="35"/>
      <c r="J92" s="35"/>
      <c r="K92" s="36"/>
      <c r="L92" s="40">
        <f>Source!U57</f>
        <v>2896.5600620000005</v>
      </c>
    </row>
    <row r="93" spans="1:26" ht="28.5" x14ac:dyDescent="0.2">
      <c r="A93" s="51" t="str">
        <f>Source!E59</f>
        <v>7,1</v>
      </c>
      <c r="B93" s="52" t="str">
        <f>Source!F59</f>
        <v>14.3.01.02-0103</v>
      </c>
      <c r="C93" s="52" t="str">
        <f>Source!G59</f>
        <v>Грунтовка воднодисперсионная CERESIT CT 17</v>
      </c>
      <c r="D93" s="33" t="str">
        <f>Source!H59</f>
        <v>л</v>
      </c>
      <c r="E93" s="12">
        <f>Source!I59</f>
        <v>162.28000000000003</v>
      </c>
      <c r="F93" s="34">
        <f>Source!AL59+Source!AM59+Source!AO59</f>
        <v>9.14</v>
      </c>
      <c r="G93" s="49" t="s">
        <v>6</v>
      </c>
      <c r="H93" s="36">
        <f>ROUND(Source!AC59*Source!I59, 2)+ROUND(Source!AD59*Source!I59, 2)+ROUND(Source!AF59*Source!I59, 2)</f>
        <v>1483.24</v>
      </c>
      <c r="I93" s="35"/>
      <c r="J93" s="35">
        <f>IF(Source!BC59&lt;&gt; 0, Source!BC59, 1)</f>
        <v>7.7</v>
      </c>
      <c r="K93" s="36">
        <f>Source!O59</f>
        <v>11420.94</v>
      </c>
      <c r="L93" s="37"/>
      <c r="S93">
        <f>ROUND((Source!FX59/100)*((ROUND(Source!AF59*Source!I59, 2)+ROUND(Source!AE59*Source!I59, 2))), 2)</f>
        <v>0</v>
      </c>
      <c r="T93">
        <f>Source!X59</f>
        <v>0</v>
      </c>
      <c r="U93">
        <f>ROUND((Source!FY59/100)*((ROUND(Source!AF59*Source!I59, 2)+ROUND(Source!AE59*Source!I59, 2))), 2)</f>
        <v>0</v>
      </c>
      <c r="V93">
        <f>Source!Y59</f>
        <v>0</v>
      </c>
      <c r="W93">
        <f>IF(Source!BI59&lt;=1,H93, 0)</f>
        <v>1483.24</v>
      </c>
      <c r="X93">
        <f>IF(Source!BI59=2,H93, 0)</f>
        <v>0</v>
      </c>
      <c r="Y93">
        <f>IF(Source!BI59=3,H93, 0)</f>
        <v>0</v>
      </c>
      <c r="Z93">
        <f>IF(Source!BI59=4,H93, 0)</f>
        <v>0</v>
      </c>
    </row>
    <row r="94" spans="1:26" ht="42.75" x14ac:dyDescent="0.2">
      <c r="A94" s="51" t="str">
        <f>Source!E61</f>
        <v>7,2</v>
      </c>
      <c r="B94" s="52" t="str">
        <f>Source!F61</f>
        <v>06.2.05.03-0003</v>
      </c>
      <c r="C94" s="52" t="str">
        <f>Source!G61</f>
        <v>Гранит керамический многоцветный неполированный, размером 400х400х9 мм</v>
      </c>
      <c r="D94" s="33" t="str">
        <f>Source!H61</f>
        <v>м2</v>
      </c>
      <c r="E94" s="12">
        <f>Source!I61</f>
        <v>-827.62800000000004</v>
      </c>
      <c r="F94" s="34">
        <f>Source!AL61+Source!AM61+Source!AO61</f>
        <v>140.44999999999999</v>
      </c>
      <c r="G94" s="49" t="s">
        <v>6</v>
      </c>
      <c r="H94" s="36">
        <f>ROUND(Source!AC61*Source!I61, 2)+ROUND(Source!AD61*Source!I61, 2)+ROUND(Source!AF61*Source!I61, 2)</f>
        <v>-116240.35</v>
      </c>
      <c r="I94" s="35"/>
      <c r="J94" s="35">
        <f>IF(Source!BC61&lt;&gt; 0, Source!BC61, 1)</f>
        <v>7.7</v>
      </c>
      <c r="K94" s="36">
        <f>Source!O61</f>
        <v>-895050.72</v>
      </c>
      <c r="L94" s="37"/>
      <c r="S94">
        <f>ROUND((Source!FX61/100)*((ROUND(Source!AF61*Source!I61, 2)+ROUND(Source!AE61*Source!I61, 2))), 2)</f>
        <v>0</v>
      </c>
      <c r="T94">
        <f>Source!X61</f>
        <v>0</v>
      </c>
      <c r="U94">
        <f>ROUND((Source!FY61/100)*((ROUND(Source!AF61*Source!I61, 2)+ROUND(Source!AE61*Source!I61, 2))), 2)</f>
        <v>0</v>
      </c>
      <c r="V94">
        <f>Source!Y61</f>
        <v>0</v>
      </c>
      <c r="W94">
        <f>IF(Source!BI61&lt;=1,H94, 0)</f>
        <v>-116240.35</v>
      </c>
      <c r="X94">
        <f>IF(Source!BI61=2,H94, 0)</f>
        <v>0</v>
      </c>
      <c r="Y94">
        <f>IF(Source!BI61=3,H94, 0)</f>
        <v>0</v>
      </c>
      <c r="Z94">
        <f>IF(Source!BI61=4,H94, 0)</f>
        <v>0</v>
      </c>
    </row>
    <row r="95" spans="1:26" ht="28.5" x14ac:dyDescent="0.2">
      <c r="A95" s="53" t="str">
        <f>Source!E63</f>
        <v>7,3</v>
      </c>
      <c r="B95" s="54" t="str">
        <f>Source!F63</f>
        <v>06.2.05.03-0054</v>
      </c>
      <c r="C95" s="54" t="str">
        <f>Source!G63</f>
        <v>Плитки керамогранитные размером 300х300х8 мм</v>
      </c>
      <c r="D95" s="41" t="str">
        <f>Source!H63</f>
        <v>м2</v>
      </c>
      <c r="E95" s="42">
        <f>Source!I63</f>
        <v>827.62800000000004</v>
      </c>
      <c r="F95" s="43">
        <f>Source!AL63+Source!AM63+Source!AO63</f>
        <v>56.32</v>
      </c>
      <c r="G95" s="44" t="s">
        <v>6</v>
      </c>
      <c r="H95" s="45">
        <f>ROUND(Source!AC63*Source!I63, 2)+ROUND(Source!AD63*Source!I63, 2)+ROUND(Source!AF63*Source!I63, 2)</f>
        <v>46612.01</v>
      </c>
      <c r="I95" s="46"/>
      <c r="J95" s="46">
        <f>IF(Source!BC63&lt;&gt; 0, Source!BC63, 1)</f>
        <v>7.7</v>
      </c>
      <c r="K95" s="45">
        <f>Source!O63</f>
        <v>358912.47</v>
      </c>
      <c r="L95" s="47"/>
      <c r="S95">
        <f>ROUND((Source!FX63/100)*((ROUND(Source!AF63*Source!I63, 2)+ROUND(Source!AE63*Source!I63, 2))), 2)</f>
        <v>0</v>
      </c>
      <c r="T95">
        <f>Source!X63</f>
        <v>0</v>
      </c>
      <c r="U95">
        <f>ROUND((Source!FY63/100)*((ROUND(Source!AF63*Source!I63, 2)+ROUND(Source!AE63*Source!I63, 2))), 2)</f>
        <v>0</v>
      </c>
      <c r="V95">
        <f>Source!Y63</f>
        <v>0</v>
      </c>
      <c r="W95">
        <f>IF(Source!BI63&lt;=1,H95, 0)</f>
        <v>46612.01</v>
      </c>
      <c r="X95">
        <f>IF(Source!BI63=2,H95, 0)</f>
        <v>0</v>
      </c>
      <c r="Y95">
        <f>IF(Source!BI63=3,H95, 0)</f>
        <v>0</v>
      </c>
      <c r="Z95">
        <f>IF(Source!BI63=4,H95, 0)</f>
        <v>0</v>
      </c>
    </row>
    <row r="96" spans="1:26" ht="15" x14ac:dyDescent="0.25">
      <c r="G96" s="74">
        <f>H86+H87+H89+H90+H91+SUM(H93:H95)</f>
        <v>154754.07999999999</v>
      </c>
      <c r="H96" s="74"/>
      <c r="J96" s="74">
        <f>K86+K87+K89+K90+K91+SUM(K93:K95)</f>
        <v>1192685.8500000001</v>
      </c>
      <c r="K96" s="74"/>
      <c r="L96" s="48">
        <f>Source!U57</f>
        <v>2896.5600620000005</v>
      </c>
      <c r="O96" s="27">
        <f>G96</f>
        <v>154754.07999999999</v>
      </c>
      <c r="P96" s="27">
        <f>J96</f>
        <v>1192685.8500000001</v>
      </c>
      <c r="Q96" s="27">
        <f>L96</f>
        <v>2896.5600620000005</v>
      </c>
      <c r="W96">
        <f>IF(Source!BI57&lt;=1,H86+H87+H89+H90+H91, 0)</f>
        <v>222899.18</v>
      </c>
      <c r="X96">
        <f>IF(Source!BI57=2,H86+H87+H89+H90+H91, 0)</f>
        <v>0</v>
      </c>
      <c r="Y96">
        <f>IF(Source!BI57=3,H86+H87+H89+H90+H91, 0)</f>
        <v>0</v>
      </c>
      <c r="Z96">
        <f>IF(Source!BI57=4,H86+H87+H89+H90+H91, 0)</f>
        <v>0</v>
      </c>
    </row>
    <row r="97" spans="1:26" ht="28.5" x14ac:dyDescent="0.2">
      <c r="A97" s="51" t="str">
        <f>Source!E65</f>
        <v>8</v>
      </c>
      <c r="B97" s="52" t="str">
        <f>Source!F65</f>
        <v>11-01-039-04</v>
      </c>
      <c r="C97" s="52" t="str">
        <f>Source!G65</f>
        <v>Устройство плинтусов из плиток керамогранитных</v>
      </c>
      <c r="D97" s="33" t="str">
        <f>Source!H65</f>
        <v>100 м</v>
      </c>
      <c r="E97" s="12">
        <f>Source!I65</f>
        <v>5.8559999999999999</v>
      </c>
      <c r="F97" s="34">
        <f>Source!AL65+Source!AM65+Source!AO65</f>
        <v>232.03</v>
      </c>
      <c r="G97" s="35"/>
      <c r="H97" s="36"/>
      <c r="I97" s="35" t="str">
        <f>Source!BO65</f>
        <v/>
      </c>
      <c r="J97" s="35"/>
      <c r="K97" s="36"/>
      <c r="L97" s="37"/>
      <c r="S97">
        <f>ROUND((Source!FX65/100)*((ROUND(Source!AF65*Source!I65, 2)+ROUND(Source!AE65*Source!I65, 2))), 2)</f>
        <v>1699.95</v>
      </c>
      <c r="T97">
        <f>Source!X65</f>
        <v>13125.16</v>
      </c>
      <c r="U97">
        <f>ROUND((Source!FY65/100)*((ROUND(Source!AF65*Source!I65, 2)+ROUND(Source!AE65*Source!I65, 2))), 2)</f>
        <v>978.97</v>
      </c>
      <c r="V97">
        <f>Source!Y65</f>
        <v>7567.66</v>
      </c>
    </row>
    <row r="98" spans="1:26" x14ac:dyDescent="0.2">
      <c r="C98" s="26" t="str">
        <f>"Объем: "&amp;Source!I65&amp;"=585,6/"&amp;"100"</f>
        <v>Объем: 5,856=585,6/100</v>
      </c>
    </row>
    <row r="99" spans="1:26" ht="14.25" x14ac:dyDescent="0.2">
      <c r="A99" s="51"/>
      <c r="B99" s="52"/>
      <c r="C99" s="52" t="s">
        <v>533</v>
      </c>
      <c r="D99" s="33"/>
      <c r="E99" s="12"/>
      <c r="F99" s="34">
        <f>Source!AO65</f>
        <v>226.53</v>
      </c>
      <c r="G99" s="35" t="str">
        <f>Source!DG65</f>
        <v>)*1,15</v>
      </c>
      <c r="H99" s="36">
        <f>ROUND(Source!AF65*Source!I65, 2)</f>
        <v>1525.54</v>
      </c>
      <c r="I99" s="35"/>
      <c r="J99" s="35">
        <f>IF(Source!BA65&lt;&gt; 0, Source!BA65, 1)</f>
        <v>7.7</v>
      </c>
      <c r="K99" s="36">
        <f>Source!S65</f>
        <v>11746.69</v>
      </c>
      <c r="L99" s="37"/>
      <c r="R99">
        <f>H99</f>
        <v>1525.54</v>
      </c>
    </row>
    <row r="100" spans="1:26" ht="14.25" x14ac:dyDescent="0.2">
      <c r="A100" s="51"/>
      <c r="B100" s="52"/>
      <c r="C100" s="52" t="s">
        <v>229</v>
      </c>
      <c r="D100" s="33"/>
      <c r="E100" s="12"/>
      <c r="F100" s="34">
        <f>Source!AM65</f>
        <v>5.5</v>
      </c>
      <c r="G100" s="35" t="str">
        <f>Source!DE65</f>
        <v>)*1,25</v>
      </c>
      <c r="H100" s="36">
        <f>ROUND(Source!AD65*Source!I65, 2)</f>
        <v>40.26</v>
      </c>
      <c r="I100" s="35"/>
      <c r="J100" s="35">
        <f>IF(Source!BB65&lt;&gt; 0, Source!BB65, 1)</f>
        <v>7.7</v>
      </c>
      <c r="K100" s="36">
        <f>Source!Q65</f>
        <v>310</v>
      </c>
      <c r="L100" s="37"/>
    </row>
    <row r="101" spans="1:26" ht="14.25" x14ac:dyDescent="0.2">
      <c r="A101" s="51"/>
      <c r="B101" s="52"/>
      <c r="C101" s="52" t="s">
        <v>534</v>
      </c>
      <c r="D101" s="33"/>
      <c r="E101" s="12"/>
      <c r="F101" s="34">
        <f>Source!AN65</f>
        <v>1.38</v>
      </c>
      <c r="G101" s="35" t="str">
        <f>Source!DF65</f>
        <v>)*1,25</v>
      </c>
      <c r="H101" s="38">
        <f>ROUND(Source!AE65*Source!I65, 2)</f>
        <v>10.1</v>
      </c>
      <c r="I101" s="35"/>
      <c r="J101" s="35">
        <f>IF(Source!BS65&lt;&gt; 0, Source!BS65, 1)</f>
        <v>7.7</v>
      </c>
      <c r="K101" s="38">
        <f>Source!R65</f>
        <v>77.78</v>
      </c>
      <c r="L101" s="37"/>
      <c r="R101">
        <f>H101</f>
        <v>10.1</v>
      </c>
    </row>
    <row r="102" spans="1:26" ht="14.25" x14ac:dyDescent="0.2">
      <c r="A102" s="51"/>
      <c r="B102" s="52"/>
      <c r="C102" s="52" t="s">
        <v>535</v>
      </c>
      <c r="D102" s="33" t="s">
        <v>536</v>
      </c>
      <c r="E102" s="12">
        <f>Source!BZ65</f>
        <v>123</v>
      </c>
      <c r="F102" s="62" t="str">
        <f>CONCATENATE(" )", Source!DL65, Source!FT65, "=", Source!FX65)</f>
        <v xml:space="preserve"> )*0,9=110,7</v>
      </c>
      <c r="G102" s="75"/>
      <c r="H102" s="36">
        <f>SUM(S97:S106)</f>
        <v>1699.95</v>
      </c>
      <c r="I102" s="39"/>
      <c r="J102" s="32">
        <f>Source!AT65</f>
        <v>111</v>
      </c>
      <c r="K102" s="36">
        <f>SUM(T97:T106)</f>
        <v>13125.16</v>
      </c>
      <c r="L102" s="37"/>
    </row>
    <row r="103" spans="1:26" ht="14.25" x14ac:dyDescent="0.2">
      <c r="A103" s="51"/>
      <c r="B103" s="52"/>
      <c r="C103" s="52" t="s">
        <v>537</v>
      </c>
      <c r="D103" s="33" t="s">
        <v>536</v>
      </c>
      <c r="E103" s="12">
        <f>Source!CA65</f>
        <v>75</v>
      </c>
      <c r="F103" s="62" t="str">
        <f>CONCATENATE(" )", Source!DM65, Source!FU65, "=", Source!FY65)</f>
        <v xml:space="preserve"> )*0,85=63,75</v>
      </c>
      <c r="G103" s="75"/>
      <c r="H103" s="36">
        <f>SUM(U97:U106)</f>
        <v>978.97</v>
      </c>
      <c r="I103" s="39"/>
      <c r="J103" s="32">
        <f>Source!AU65</f>
        <v>64</v>
      </c>
      <c r="K103" s="36">
        <f>SUM(V97:V106)</f>
        <v>7567.66</v>
      </c>
      <c r="L103" s="37"/>
    </row>
    <row r="104" spans="1:26" ht="14.25" x14ac:dyDescent="0.2">
      <c r="A104" s="51"/>
      <c r="B104" s="52"/>
      <c r="C104" s="52" t="s">
        <v>538</v>
      </c>
      <c r="D104" s="33" t="s">
        <v>539</v>
      </c>
      <c r="E104" s="12">
        <f>Source!AQ65</f>
        <v>23.82</v>
      </c>
      <c r="F104" s="34"/>
      <c r="G104" s="35" t="str">
        <f>Source!DI65</f>
        <v>)*1,15</v>
      </c>
      <c r="H104" s="36"/>
      <c r="I104" s="35"/>
      <c r="J104" s="35"/>
      <c r="K104" s="36"/>
      <c r="L104" s="40">
        <f>Source!U65</f>
        <v>160.41340799999998</v>
      </c>
    </row>
    <row r="105" spans="1:26" ht="28.5" x14ac:dyDescent="0.2">
      <c r="A105" s="51" t="str">
        <f>Source!E67</f>
        <v>8,1</v>
      </c>
      <c r="B105" s="52" t="str">
        <f>Source!F67</f>
        <v>06.2.05.03-0054</v>
      </c>
      <c r="C105" s="52" t="str">
        <f>Source!G67</f>
        <v>Плитки керамогранитные размером 300х300х8 мм</v>
      </c>
      <c r="D105" s="33" t="str">
        <f>Source!H67</f>
        <v>м2</v>
      </c>
      <c r="E105" s="12">
        <f>Source!I67</f>
        <v>59.145599999999995</v>
      </c>
      <c r="F105" s="34">
        <f>Source!AL67+Source!AM67+Source!AO67</f>
        <v>56.32</v>
      </c>
      <c r="G105" s="49" t="s">
        <v>6</v>
      </c>
      <c r="H105" s="36">
        <f>ROUND(Source!AC67*Source!I67, 2)+ROUND(Source!AD67*Source!I67, 2)+ROUND(Source!AF67*Source!I67, 2)</f>
        <v>3331.08</v>
      </c>
      <c r="I105" s="35"/>
      <c r="J105" s="35">
        <f>IF(Source!BC67&lt;&gt; 0, Source!BC67, 1)</f>
        <v>7.7</v>
      </c>
      <c r="K105" s="36">
        <f>Source!O67</f>
        <v>25649.32</v>
      </c>
      <c r="L105" s="37"/>
      <c r="S105">
        <f>ROUND((Source!FX67/100)*((ROUND(Source!AF67*Source!I67, 2)+ROUND(Source!AE67*Source!I67, 2))), 2)</f>
        <v>0</v>
      </c>
      <c r="T105">
        <f>Source!X67</f>
        <v>0</v>
      </c>
      <c r="U105">
        <f>ROUND((Source!FY67/100)*((ROUND(Source!AF67*Source!I67, 2)+ROUND(Source!AE67*Source!I67, 2))), 2)</f>
        <v>0</v>
      </c>
      <c r="V105">
        <f>Source!Y67</f>
        <v>0</v>
      </c>
      <c r="W105">
        <f>IF(Source!BI67&lt;=1,H105, 0)</f>
        <v>3331.08</v>
      </c>
      <c r="X105">
        <f>IF(Source!BI67=2,H105, 0)</f>
        <v>0</v>
      </c>
      <c r="Y105">
        <f>IF(Source!BI67=3,H105, 0)</f>
        <v>0</v>
      </c>
      <c r="Z105">
        <f>IF(Source!BI67=4,H105, 0)</f>
        <v>0</v>
      </c>
    </row>
    <row r="106" spans="1:26" ht="28.5" x14ac:dyDescent="0.2">
      <c r="A106" s="53" t="str">
        <f>Source!E69</f>
        <v>8,2</v>
      </c>
      <c r="B106" s="54" t="str">
        <f>Source!F69</f>
        <v>14.1.06.02-0044</v>
      </c>
      <c r="C106" s="54" t="str">
        <f>Source!G69</f>
        <v>Клей плиточный «Юнис Гранит»</v>
      </c>
      <c r="D106" s="41" t="str">
        <f>Source!H69</f>
        <v>кг</v>
      </c>
      <c r="E106" s="42">
        <f>Source!I69</f>
        <v>2635.2</v>
      </c>
      <c r="F106" s="43">
        <f>Source!AL69+Source!AM69+Source!AO69</f>
        <v>3.69</v>
      </c>
      <c r="G106" s="44" t="s">
        <v>6</v>
      </c>
      <c r="H106" s="45">
        <f>ROUND(Source!AC69*Source!I69, 2)+ROUND(Source!AD69*Source!I69, 2)+ROUND(Source!AF69*Source!I69, 2)</f>
        <v>9723.89</v>
      </c>
      <c r="I106" s="46"/>
      <c r="J106" s="46">
        <f>IF(Source!BC69&lt;&gt; 0, Source!BC69, 1)</f>
        <v>7.7</v>
      </c>
      <c r="K106" s="45">
        <f>Source!O69</f>
        <v>74873.94</v>
      </c>
      <c r="L106" s="47"/>
      <c r="S106">
        <f>ROUND((Source!FX69/100)*((ROUND(Source!AF69*Source!I69, 2)+ROUND(Source!AE69*Source!I69, 2))), 2)</f>
        <v>0</v>
      </c>
      <c r="T106">
        <f>Source!X69</f>
        <v>0</v>
      </c>
      <c r="U106">
        <f>ROUND((Source!FY69/100)*((ROUND(Source!AF69*Source!I69, 2)+ROUND(Source!AE69*Source!I69, 2))), 2)</f>
        <v>0</v>
      </c>
      <c r="V106">
        <f>Source!Y69</f>
        <v>0</v>
      </c>
      <c r="W106">
        <f>IF(Source!BI69&lt;=1,H106, 0)</f>
        <v>9723.89</v>
      </c>
      <c r="X106">
        <f>IF(Source!BI69=2,H106, 0)</f>
        <v>0</v>
      </c>
      <c r="Y106">
        <f>IF(Source!BI69=3,H106, 0)</f>
        <v>0</v>
      </c>
      <c r="Z106">
        <f>IF(Source!BI69=4,H106, 0)</f>
        <v>0</v>
      </c>
    </row>
    <row r="107" spans="1:26" ht="15" x14ac:dyDescent="0.25">
      <c r="G107" s="74">
        <f>H99+H100+H102+H103+SUM(H105:H106)</f>
        <v>17299.689999999999</v>
      </c>
      <c r="H107" s="74"/>
      <c r="J107" s="74">
        <f>K99+K100+K102+K103+SUM(K105:K106)</f>
        <v>133272.77000000002</v>
      </c>
      <c r="K107" s="74"/>
      <c r="L107" s="48">
        <f>Source!U65</f>
        <v>160.41340799999998</v>
      </c>
      <c r="O107" s="27">
        <f>G107</f>
        <v>17299.689999999999</v>
      </c>
      <c r="P107" s="27">
        <f>J107</f>
        <v>133272.77000000002</v>
      </c>
      <c r="Q107" s="27">
        <f>L107</f>
        <v>160.41340799999998</v>
      </c>
      <c r="W107">
        <f>IF(Source!BI65&lt;=1,H99+H100+H102+H103, 0)</f>
        <v>4244.72</v>
      </c>
      <c r="X107">
        <f>IF(Source!BI65=2,H99+H100+H102+H103, 0)</f>
        <v>0</v>
      </c>
      <c r="Y107">
        <f>IF(Source!BI65=3,H99+H100+H102+H103, 0)</f>
        <v>0</v>
      </c>
      <c r="Z107">
        <f>IF(Source!BI65=4,H99+H100+H102+H103, 0)</f>
        <v>0</v>
      </c>
    </row>
    <row r="108" spans="1:26" ht="85.5" x14ac:dyDescent="0.2">
      <c r="A108" s="51" t="str">
        <f>Source!E71</f>
        <v>9</v>
      </c>
      <c r="B108" s="52" t="str">
        <f>Source!F71</f>
        <v>10-06-032-02</v>
      </c>
      <c r="C108" s="52" t="str">
        <f>Source!G71</f>
        <v>Устройство перегородок из гипсоволокнистых листов (ГВЛ) по системе «КНАУФ» с одинарным металлическим каркасом и двухслойной обшивкой с обеих сторон (С 362) с одним дверным проемом</v>
      </c>
      <c r="D108" s="33" t="str">
        <f>Source!H71</f>
        <v>100 м2</v>
      </c>
      <c r="E108" s="12">
        <f>Source!I71</f>
        <v>0.15</v>
      </c>
      <c r="F108" s="34">
        <f>Source!AL71+Source!AM71+Source!AO71</f>
        <v>13462</v>
      </c>
      <c r="G108" s="35"/>
      <c r="H108" s="36"/>
      <c r="I108" s="35" t="str">
        <f>Source!BO71</f>
        <v/>
      </c>
      <c r="J108" s="35"/>
      <c r="K108" s="36"/>
      <c r="L108" s="37"/>
      <c r="S108">
        <f>ROUND((Source!FX71/100)*((ROUND(Source!AF71*Source!I71, 2)+ROUND(Source!AE71*Source!I71, 2))), 2)</f>
        <v>244.25</v>
      </c>
      <c r="T108">
        <f>Source!X71</f>
        <v>1877.2</v>
      </c>
      <c r="U108">
        <f>ROUND((Source!FY71/100)*((ROUND(Source!AF71*Source!I71, 2)+ROUND(Source!AE71*Source!I71, 2))), 2)</f>
        <v>123.16</v>
      </c>
      <c r="V108">
        <f>Source!Y71</f>
        <v>956.31</v>
      </c>
    </row>
    <row r="109" spans="1:26" x14ac:dyDescent="0.2">
      <c r="C109" s="26" t="str">
        <f>"Объем: "&amp;Source!I71&amp;"=15/"&amp;"100"</f>
        <v>Объем: 0,15=15/100</v>
      </c>
    </row>
    <row r="110" spans="1:26" ht="14.25" x14ac:dyDescent="0.2">
      <c r="A110" s="51"/>
      <c r="B110" s="52"/>
      <c r="C110" s="52" t="s">
        <v>533</v>
      </c>
      <c r="D110" s="33"/>
      <c r="E110" s="12"/>
      <c r="F110" s="34">
        <f>Source!AO71</f>
        <v>1333.29</v>
      </c>
      <c r="G110" s="35" t="str">
        <f>Source!DG71</f>
        <v>)*1,15</v>
      </c>
      <c r="H110" s="36">
        <f>ROUND(Source!AF71*Source!I71, 2)</f>
        <v>229.99</v>
      </c>
      <c r="I110" s="35"/>
      <c r="J110" s="35">
        <f>IF(Source!BA71&lt;&gt; 0, Source!BA71, 1)</f>
        <v>7.7</v>
      </c>
      <c r="K110" s="36">
        <f>Source!S71</f>
        <v>1770.94</v>
      </c>
      <c r="L110" s="37"/>
      <c r="R110">
        <f>H110</f>
        <v>229.99</v>
      </c>
    </row>
    <row r="111" spans="1:26" ht="14.25" x14ac:dyDescent="0.2">
      <c r="A111" s="51"/>
      <c r="B111" s="52"/>
      <c r="C111" s="52" t="s">
        <v>229</v>
      </c>
      <c r="D111" s="33"/>
      <c r="E111" s="12"/>
      <c r="F111" s="34">
        <f>Source!AM71</f>
        <v>5.71</v>
      </c>
      <c r="G111" s="35" t="str">
        <f>Source!DE71</f>
        <v>)*1,25</v>
      </c>
      <c r="H111" s="36">
        <f>ROUND(Source!AD71*Source!I71, 2)</f>
        <v>1.07</v>
      </c>
      <c r="I111" s="35"/>
      <c r="J111" s="35">
        <f>IF(Source!BB71&lt;&gt; 0, Source!BB71, 1)</f>
        <v>7.7</v>
      </c>
      <c r="K111" s="36">
        <f>Source!Q71</f>
        <v>8.24</v>
      </c>
      <c r="L111" s="37"/>
    </row>
    <row r="112" spans="1:26" ht="14.25" x14ac:dyDescent="0.2">
      <c r="A112" s="51"/>
      <c r="B112" s="52"/>
      <c r="C112" s="52" t="s">
        <v>540</v>
      </c>
      <c r="D112" s="33"/>
      <c r="E112" s="12"/>
      <c r="F112" s="34">
        <f>Source!AL71</f>
        <v>12123</v>
      </c>
      <c r="G112" s="35" t="str">
        <f>Source!DD71</f>
        <v/>
      </c>
      <c r="H112" s="36">
        <f>ROUND(Source!AC71*Source!I71, 2)</f>
        <v>1818.45</v>
      </c>
      <c r="I112" s="35"/>
      <c r="J112" s="35">
        <f>IF(Source!BC71&lt;&gt; 0, Source!BC71, 1)</f>
        <v>7.7</v>
      </c>
      <c r="K112" s="36">
        <f>Source!P71</f>
        <v>14002.07</v>
      </c>
      <c r="L112" s="37"/>
    </row>
    <row r="113" spans="1:26" ht="14.25" x14ac:dyDescent="0.2">
      <c r="A113" s="51"/>
      <c r="B113" s="52"/>
      <c r="C113" s="52" t="s">
        <v>535</v>
      </c>
      <c r="D113" s="33" t="s">
        <v>536</v>
      </c>
      <c r="E113" s="12">
        <f>Source!BZ71</f>
        <v>118</v>
      </c>
      <c r="F113" s="62" t="str">
        <f>CONCATENATE(" )", Source!DL71, Source!FT71, "=", Source!FX71)</f>
        <v xml:space="preserve"> )*0,9=106,2</v>
      </c>
      <c r="G113" s="75"/>
      <c r="H113" s="36">
        <f>SUM(S108:S120)</f>
        <v>244.25</v>
      </c>
      <c r="I113" s="39"/>
      <c r="J113" s="32">
        <f>Source!AT71</f>
        <v>106</v>
      </c>
      <c r="K113" s="36">
        <f>SUM(T108:T120)</f>
        <v>1877.2</v>
      </c>
      <c r="L113" s="37"/>
    </row>
    <row r="114" spans="1:26" ht="14.25" x14ac:dyDescent="0.2">
      <c r="A114" s="51"/>
      <c r="B114" s="52"/>
      <c r="C114" s="52" t="s">
        <v>537</v>
      </c>
      <c r="D114" s="33" t="s">
        <v>536</v>
      </c>
      <c r="E114" s="12">
        <f>Source!CA71</f>
        <v>63</v>
      </c>
      <c r="F114" s="62" t="str">
        <f>CONCATENATE(" )", Source!DM71, Source!FU71, "=", Source!FY71)</f>
        <v xml:space="preserve"> )*0,85=53,55</v>
      </c>
      <c r="G114" s="75"/>
      <c r="H114" s="36">
        <f>SUM(U108:U120)</f>
        <v>123.16</v>
      </c>
      <c r="I114" s="39"/>
      <c r="J114" s="32">
        <f>Source!AU71</f>
        <v>54</v>
      </c>
      <c r="K114" s="36">
        <f>SUM(V108:V120)</f>
        <v>956.31</v>
      </c>
      <c r="L114" s="37"/>
    </row>
    <row r="115" spans="1:26" ht="14.25" x14ac:dyDescent="0.2">
      <c r="A115" s="51"/>
      <c r="B115" s="52"/>
      <c r="C115" s="52" t="s">
        <v>538</v>
      </c>
      <c r="D115" s="33" t="s">
        <v>539</v>
      </c>
      <c r="E115" s="12">
        <f>Source!AQ71</f>
        <v>147</v>
      </c>
      <c r="F115" s="34"/>
      <c r="G115" s="35" t="str">
        <f>Source!DI71</f>
        <v>)*1,15</v>
      </c>
      <c r="H115" s="36"/>
      <c r="I115" s="35"/>
      <c r="J115" s="35"/>
      <c r="K115" s="36"/>
      <c r="L115" s="40">
        <f>Source!U71</f>
        <v>25.357499999999998</v>
      </c>
    </row>
    <row r="116" spans="1:26" ht="57" x14ac:dyDescent="0.2">
      <c r="A116" s="51" t="str">
        <f>Source!E73</f>
        <v>9,1</v>
      </c>
      <c r="B116" s="52" t="str">
        <f>Source!F73</f>
        <v>12.2.05.02-0002</v>
      </c>
      <c r="C116" s="52" t="str">
        <f>Source!G73</f>
        <v>Плиты из минеральной ваты гидрофобизированные негорючие на основе каменных пород "Изолайт" (плотность 50)</v>
      </c>
      <c r="D116" s="33" t="str">
        <f>Source!H73</f>
        <v>м3</v>
      </c>
      <c r="E116" s="12">
        <f>Source!I73</f>
        <v>0.77250000000000008</v>
      </c>
      <c r="F116" s="34">
        <f>Source!AL73+Source!AM73+Source!AO73</f>
        <v>170.19</v>
      </c>
      <c r="G116" s="49" t="s">
        <v>6</v>
      </c>
      <c r="H116" s="36">
        <f>ROUND(Source!AC73*Source!I73, 2)+ROUND(Source!AD73*Source!I73, 2)+ROUND(Source!AF73*Source!I73, 2)</f>
        <v>131.47</v>
      </c>
      <c r="I116" s="35"/>
      <c r="J116" s="35">
        <f>IF(Source!BC73&lt;&gt; 0, Source!BC73, 1)</f>
        <v>7.7</v>
      </c>
      <c r="K116" s="36">
        <f>Source!O73</f>
        <v>1012.33</v>
      </c>
      <c r="L116" s="37"/>
      <c r="S116">
        <f>ROUND((Source!FX73/100)*((ROUND(Source!AF73*Source!I73, 2)+ROUND(Source!AE73*Source!I73, 2))), 2)</f>
        <v>0</v>
      </c>
      <c r="T116">
        <f>Source!X73</f>
        <v>0</v>
      </c>
      <c r="U116">
        <f>ROUND((Source!FY73/100)*((ROUND(Source!AF73*Source!I73, 2)+ROUND(Source!AE73*Source!I73, 2))), 2)</f>
        <v>0</v>
      </c>
      <c r="V116">
        <f>Source!Y73</f>
        <v>0</v>
      </c>
      <c r="W116">
        <f>IF(Source!BI73&lt;=1,H116, 0)</f>
        <v>131.47</v>
      </c>
      <c r="X116">
        <f>IF(Source!BI73=2,H116, 0)</f>
        <v>0</v>
      </c>
      <c r="Y116">
        <f>IF(Source!BI73=3,H116, 0)</f>
        <v>0</v>
      </c>
      <c r="Z116">
        <f>IF(Source!BI73=4,H116, 0)</f>
        <v>0</v>
      </c>
    </row>
    <row r="117" spans="1:26" ht="28.5" x14ac:dyDescent="0.2">
      <c r="A117" s="51" t="str">
        <f>Source!E75</f>
        <v>9,2</v>
      </c>
      <c r="B117" s="52" t="str">
        <f>Source!F75</f>
        <v>07.2.06.03-0112</v>
      </c>
      <c r="C117" s="52" t="str">
        <f>Source!G75</f>
        <v>Профиль направляющий ПН-2 50/40/0,6</v>
      </c>
      <c r="D117" s="33" t="str">
        <f>Source!H75</f>
        <v>м</v>
      </c>
      <c r="E117" s="12">
        <f>Source!I75</f>
        <v>12.9</v>
      </c>
      <c r="F117" s="34">
        <f>Source!AL75+Source!AM75+Source!AO75</f>
        <v>6.16</v>
      </c>
      <c r="G117" s="49" t="s">
        <v>6</v>
      </c>
      <c r="H117" s="36">
        <f>ROUND(Source!AC75*Source!I75, 2)+ROUND(Source!AD75*Source!I75, 2)+ROUND(Source!AF75*Source!I75, 2)</f>
        <v>79.459999999999994</v>
      </c>
      <c r="I117" s="35"/>
      <c r="J117" s="35">
        <f>IF(Source!BC75&lt;&gt; 0, Source!BC75, 1)</f>
        <v>7.7</v>
      </c>
      <c r="K117" s="36">
        <f>Source!O75</f>
        <v>611.87</v>
      </c>
      <c r="L117" s="37"/>
      <c r="S117">
        <f>ROUND((Source!FX75/100)*((ROUND(Source!AF75*Source!I75, 2)+ROUND(Source!AE75*Source!I75, 2))), 2)</f>
        <v>0</v>
      </c>
      <c r="T117">
        <f>Source!X75</f>
        <v>0</v>
      </c>
      <c r="U117">
        <f>ROUND((Source!FY75/100)*((ROUND(Source!AF75*Source!I75, 2)+ROUND(Source!AE75*Source!I75, 2))), 2)</f>
        <v>0</v>
      </c>
      <c r="V117">
        <f>Source!Y75</f>
        <v>0</v>
      </c>
      <c r="W117">
        <f>IF(Source!BI75&lt;=1,H117, 0)</f>
        <v>79.459999999999994</v>
      </c>
      <c r="X117">
        <f>IF(Source!BI75=2,H117, 0)</f>
        <v>0</v>
      </c>
      <c r="Y117">
        <f>IF(Source!BI75=3,H117, 0)</f>
        <v>0</v>
      </c>
      <c r="Z117">
        <f>IF(Source!BI75=4,H117, 0)</f>
        <v>0</v>
      </c>
    </row>
    <row r="118" spans="1:26" ht="28.5" x14ac:dyDescent="0.2">
      <c r="A118" s="51" t="str">
        <f>Source!E77</f>
        <v>9,3</v>
      </c>
      <c r="B118" s="52" t="str">
        <f>Source!F77</f>
        <v>01.6.01.02-0010</v>
      </c>
      <c r="C118" s="52" t="str">
        <f>Source!G77</f>
        <v>Листы гипсокартонные огнестойкие, ГИПРОК, толщиной 15 мм</v>
      </c>
      <c r="D118" s="33" t="str">
        <f>Source!H77</f>
        <v>м2</v>
      </c>
      <c r="E118" s="12">
        <f>Source!I77</f>
        <v>67.349999999999994</v>
      </c>
      <c r="F118" s="34">
        <f>Source!AL77+Source!AM77+Source!AO77</f>
        <v>11.05</v>
      </c>
      <c r="G118" s="49" t="s">
        <v>6</v>
      </c>
      <c r="H118" s="36">
        <f>ROUND(Source!AC77*Source!I77, 2)+ROUND(Source!AD77*Source!I77, 2)+ROUND(Source!AF77*Source!I77, 2)</f>
        <v>744.22</v>
      </c>
      <c r="I118" s="35"/>
      <c r="J118" s="35">
        <f>IF(Source!BC77&lt;&gt; 0, Source!BC77, 1)</f>
        <v>7.7</v>
      </c>
      <c r="K118" s="36">
        <f>Source!O77</f>
        <v>5730.47</v>
      </c>
      <c r="L118" s="37"/>
      <c r="S118">
        <f>ROUND((Source!FX77/100)*((ROUND(Source!AF77*Source!I77, 2)+ROUND(Source!AE77*Source!I77, 2))), 2)</f>
        <v>0</v>
      </c>
      <c r="T118">
        <f>Source!X77</f>
        <v>0</v>
      </c>
      <c r="U118">
        <f>ROUND((Source!FY77/100)*((ROUND(Source!AF77*Source!I77, 2)+ROUND(Source!AE77*Source!I77, 2))), 2)</f>
        <v>0</v>
      </c>
      <c r="V118">
        <f>Source!Y77</f>
        <v>0</v>
      </c>
      <c r="W118">
        <f>IF(Source!BI77&lt;=1,H118, 0)</f>
        <v>744.22</v>
      </c>
      <c r="X118">
        <f>IF(Source!BI77=2,H118, 0)</f>
        <v>0</v>
      </c>
      <c r="Y118">
        <f>IF(Source!BI77=3,H118, 0)</f>
        <v>0</v>
      </c>
      <c r="Z118">
        <f>IF(Source!BI77=4,H118, 0)</f>
        <v>0</v>
      </c>
    </row>
    <row r="119" spans="1:26" ht="28.5" x14ac:dyDescent="0.2">
      <c r="A119" s="51" t="str">
        <f>Source!E79</f>
        <v>9,4</v>
      </c>
      <c r="B119" s="52" t="str">
        <f>Source!F79</f>
        <v>07.2.06.03-0195</v>
      </c>
      <c r="C119" s="52" t="str">
        <f>Source!G79</f>
        <v>Профиль стоечный ПС-2 50/50/0,6</v>
      </c>
      <c r="D119" s="33" t="str">
        <f>Source!H79</f>
        <v>м</v>
      </c>
      <c r="E119" s="12">
        <f>Source!I79</f>
        <v>38.1</v>
      </c>
      <c r="F119" s="34">
        <f>Source!AL79+Source!AM79+Source!AO79</f>
        <v>6.86</v>
      </c>
      <c r="G119" s="49" t="s">
        <v>6</v>
      </c>
      <c r="H119" s="36">
        <f>ROUND(Source!AC79*Source!I79, 2)+ROUND(Source!AD79*Source!I79, 2)+ROUND(Source!AF79*Source!I79, 2)</f>
        <v>261.37</v>
      </c>
      <c r="I119" s="35"/>
      <c r="J119" s="35">
        <f>IF(Source!BC79&lt;&gt; 0, Source!BC79, 1)</f>
        <v>7.7</v>
      </c>
      <c r="K119" s="36">
        <f>Source!O79</f>
        <v>2012.52</v>
      </c>
      <c r="L119" s="37"/>
      <c r="S119">
        <f>ROUND((Source!FX79/100)*((ROUND(Source!AF79*Source!I79, 2)+ROUND(Source!AE79*Source!I79, 2))), 2)</f>
        <v>0</v>
      </c>
      <c r="T119">
        <f>Source!X79</f>
        <v>0</v>
      </c>
      <c r="U119">
        <f>ROUND((Source!FY79/100)*((ROUND(Source!AF79*Source!I79, 2)+ROUND(Source!AE79*Source!I79, 2))), 2)</f>
        <v>0</v>
      </c>
      <c r="V119">
        <f>Source!Y79</f>
        <v>0</v>
      </c>
      <c r="W119">
        <f>IF(Source!BI79&lt;=1,H119, 0)</f>
        <v>261.37</v>
      </c>
      <c r="X119">
        <f>IF(Source!BI79=2,H119, 0)</f>
        <v>0</v>
      </c>
      <c r="Y119">
        <f>IF(Source!BI79=3,H119, 0)</f>
        <v>0</v>
      </c>
      <c r="Z119">
        <f>IF(Source!BI79=4,H119, 0)</f>
        <v>0</v>
      </c>
    </row>
    <row r="120" spans="1:26" ht="42.75" x14ac:dyDescent="0.2">
      <c r="A120" s="53" t="str">
        <f>Source!E81</f>
        <v>9,5</v>
      </c>
      <c r="B120" s="54" t="str">
        <f>Source!F81</f>
        <v>01.7.06.01-0042</v>
      </c>
      <c r="C120" s="54" t="str">
        <f>Source!G81</f>
        <v>Лента эластичная самоклеящаяся для профилей направляющих «Дихтунгсбанд» 50/30000 мм</v>
      </c>
      <c r="D120" s="41" t="str">
        <f>Source!H81</f>
        <v>м</v>
      </c>
      <c r="E120" s="42">
        <f>Source!I81</f>
        <v>17.55</v>
      </c>
      <c r="F120" s="43">
        <f>Source!AL81+Source!AM81+Source!AO81</f>
        <v>0.6</v>
      </c>
      <c r="G120" s="44" t="s">
        <v>6</v>
      </c>
      <c r="H120" s="45">
        <f>ROUND(Source!AC81*Source!I81, 2)+ROUND(Source!AD81*Source!I81, 2)+ROUND(Source!AF81*Source!I81, 2)</f>
        <v>10.53</v>
      </c>
      <c r="I120" s="46"/>
      <c r="J120" s="46">
        <f>IF(Source!BC81&lt;&gt; 0, Source!BC81, 1)</f>
        <v>7.7</v>
      </c>
      <c r="K120" s="45">
        <f>Source!O81</f>
        <v>81.08</v>
      </c>
      <c r="L120" s="47"/>
      <c r="S120">
        <f>ROUND((Source!FX81/100)*((ROUND(Source!AF81*Source!I81, 2)+ROUND(Source!AE81*Source!I81, 2))), 2)</f>
        <v>0</v>
      </c>
      <c r="T120">
        <f>Source!X81</f>
        <v>0</v>
      </c>
      <c r="U120">
        <f>ROUND((Source!FY81/100)*((ROUND(Source!AF81*Source!I81, 2)+ROUND(Source!AE81*Source!I81, 2))), 2)</f>
        <v>0</v>
      </c>
      <c r="V120">
        <f>Source!Y81</f>
        <v>0</v>
      </c>
      <c r="W120">
        <f>IF(Source!BI81&lt;=1,H120, 0)</f>
        <v>10.53</v>
      </c>
      <c r="X120">
        <f>IF(Source!BI81=2,H120, 0)</f>
        <v>0</v>
      </c>
      <c r="Y120">
        <f>IF(Source!BI81=3,H120, 0)</f>
        <v>0</v>
      </c>
      <c r="Z120">
        <f>IF(Source!BI81=4,H120, 0)</f>
        <v>0</v>
      </c>
    </row>
    <row r="121" spans="1:26" ht="15" x14ac:dyDescent="0.25">
      <c r="G121" s="74">
        <f>H110+H111+H112+H113+H114+SUM(H116:H120)</f>
        <v>3643.9700000000003</v>
      </c>
      <c r="H121" s="74"/>
      <c r="J121" s="74">
        <f>K110+K111+K112+K113+K114+SUM(K116:K120)</f>
        <v>28063.030000000002</v>
      </c>
      <c r="K121" s="74"/>
      <c r="L121" s="48">
        <f>Source!U71</f>
        <v>25.357499999999998</v>
      </c>
      <c r="O121" s="27">
        <f>G121</f>
        <v>3643.9700000000003</v>
      </c>
      <c r="P121" s="27">
        <f>J121</f>
        <v>28063.030000000002</v>
      </c>
      <c r="Q121" s="27">
        <f>L121</f>
        <v>25.357499999999998</v>
      </c>
      <c r="W121">
        <f>IF(Source!BI71&lt;=1,H110+H111+H112+H113+H114, 0)</f>
        <v>2416.92</v>
      </c>
      <c r="X121">
        <f>IF(Source!BI71=2,H110+H111+H112+H113+H114, 0)</f>
        <v>0</v>
      </c>
      <c r="Y121">
        <f>IF(Source!BI71=3,H110+H111+H112+H113+H114, 0)</f>
        <v>0</v>
      </c>
      <c r="Z121">
        <f>IF(Source!BI71=4,H110+H111+H112+H113+H114, 0)</f>
        <v>0</v>
      </c>
    </row>
    <row r="122" spans="1:26" ht="14.25" x14ac:dyDescent="0.2">
      <c r="A122" s="51" t="str">
        <f>Source!E83</f>
        <v>10</v>
      </c>
      <c r="B122" s="52" t="str">
        <f>Source!F83</f>
        <v>56-23-1</v>
      </c>
      <c r="C122" s="52" t="str">
        <f>Source!G83</f>
        <v>Обрамление проемов сталью</v>
      </c>
      <c r="D122" s="33" t="str">
        <f>Source!H83</f>
        <v>т</v>
      </c>
      <c r="E122" s="12">
        <f>Source!I83</f>
        <v>0.32600000000000001</v>
      </c>
      <c r="F122" s="34">
        <f>Source!AL83+Source!AM83+Source!AO83</f>
        <v>6727.130000000001</v>
      </c>
      <c r="G122" s="35"/>
      <c r="H122" s="36"/>
      <c r="I122" s="35" t="str">
        <f>Source!BO83</f>
        <v/>
      </c>
      <c r="J122" s="35"/>
      <c r="K122" s="36"/>
      <c r="L122" s="37"/>
      <c r="S122">
        <f>ROUND((Source!FX83/100)*((ROUND(Source!AF83*Source!I83, 2)+ROUND(Source!AE83*Source!I83, 2))), 2)</f>
        <v>107.19</v>
      </c>
      <c r="T122">
        <f>Source!X83</f>
        <v>825.35</v>
      </c>
      <c r="U122">
        <f>ROUND((Source!FY83/100)*((ROUND(Source!AF83*Source!I83, 2)+ROUND(Source!AE83*Source!I83, 2))), 2)</f>
        <v>81.05</v>
      </c>
      <c r="V122">
        <f>Source!Y83</f>
        <v>624.04</v>
      </c>
    </row>
    <row r="123" spans="1:26" ht="14.25" x14ac:dyDescent="0.2">
      <c r="A123" s="51"/>
      <c r="B123" s="52"/>
      <c r="C123" s="52" t="s">
        <v>533</v>
      </c>
      <c r="D123" s="33"/>
      <c r="E123" s="12"/>
      <c r="F123" s="34">
        <f>Source!AO83</f>
        <v>394.68</v>
      </c>
      <c r="G123" s="35" t="str">
        <f>Source!DG83</f>
        <v/>
      </c>
      <c r="H123" s="36">
        <f>ROUND(Source!AF83*Source!I83, 2)</f>
        <v>128.66999999999999</v>
      </c>
      <c r="I123" s="35"/>
      <c r="J123" s="35">
        <f>IF(Source!BA83&lt;&gt; 0, Source!BA83, 1)</f>
        <v>7.7</v>
      </c>
      <c r="K123" s="36">
        <f>Source!S83</f>
        <v>990.73</v>
      </c>
      <c r="L123" s="37"/>
      <c r="R123">
        <f>H123</f>
        <v>128.66999999999999</v>
      </c>
    </row>
    <row r="124" spans="1:26" ht="14.25" x14ac:dyDescent="0.2">
      <c r="A124" s="51"/>
      <c r="B124" s="52"/>
      <c r="C124" s="52" t="s">
        <v>229</v>
      </c>
      <c r="D124" s="33"/>
      <c r="E124" s="12"/>
      <c r="F124" s="34">
        <f>Source!AM83</f>
        <v>21.93</v>
      </c>
      <c r="G124" s="35" t="str">
        <f>Source!DE83</f>
        <v/>
      </c>
      <c r="H124" s="36">
        <f>ROUND(Source!AD83*Source!I83, 2)</f>
        <v>7.15</v>
      </c>
      <c r="I124" s="35"/>
      <c r="J124" s="35">
        <f>IF(Source!BB83&lt;&gt; 0, Source!BB83, 1)</f>
        <v>7.7</v>
      </c>
      <c r="K124" s="36">
        <f>Source!Q83</f>
        <v>55.05</v>
      </c>
      <c r="L124" s="37"/>
    </row>
    <row r="125" spans="1:26" ht="14.25" x14ac:dyDescent="0.2">
      <c r="A125" s="51"/>
      <c r="B125" s="52"/>
      <c r="C125" s="52" t="s">
        <v>534</v>
      </c>
      <c r="D125" s="33"/>
      <c r="E125" s="12"/>
      <c r="F125" s="34">
        <f>Source!AN83</f>
        <v>6.29</v>
      </c>
      <c r="G125" s="35" t="str">
        <f>Source!DF83</f>
        <v/>
      </c>
      <c r="H125" s="38">
        <f>ROUND(Source!AE83*Source!I83, 2)</f>
        <v>2.0499999999999998</v>
      </c>
      <c r="I125" s="35"/>
      <c r="J125" s="35">
        <f>IF(Source!BS83&lt;&gt; 0, Source!BS83, 1)</f>
        <v>7.7</v>
      </c>
      <c r="K125" s="38">
        <f>Source!R83</f>
        <v>15.79</v>
      </c>
      <c r="L125" s="37"/>
      <c r="R125">
        <f>H125</f>
        <v>2.0499999999999998</v>
      </c>
    </row>
    <row r="126" spans="1:26" ht="14.25" x14ac:dyDescent="0.2">
      <c r="A126" s="51"/>
      <c r="B126" s="52"/>
      <c r="C126" s="52" t="s">
        <v>540</v>
      </c>
      <c r="D126" s="33"/>
      <c r="E126" s="12"/>
      <c r="F126" s="34">
        <f>Source!AL83</f>
        <v>6310.52</v>
      </c>
      <c r="G126" s="35" t="str">
        <f>Source!DD83</f>
        <v/>
      </c>
      <c r="H126" s="36">
        <f>ROUND(Source!AC83*Source!I83, 2)</f>
        <v>2057.23</v>
      </c>
      <c r="I126" s="35"/>
      <c r="J126" s="35">
        <f>IF(Source!BC83&lt;&gt; 0, Source!BC83, 1)</f>
        <v>7.7</v>
      </c>
      <c r="K126" s="36">
        <f>Source!P83</f>
        <v>15840.67</v>
      </c>
      <c r="L126" s="37"/>
    </row>
    <row r="127" spans="1:26" ht="14.25" x14ac:dyDescent="0.2">
      <c r="A127" s="51"/>
      <c r="B127" s="52"/>
      <c r="C127" s="52" t="s">
        <v>535</v>
      </c>
      <c r="D127" s="33" t="s">
        <v>536</v>
      </c>
      <c r="E127" s="12">
        <f>Source!BZ83</f>
        <v>82</v>
      </c>
      <c r="F127" s="55"/>
      <c r="G127" s="35"/>
      <c r="H127" s="36">
        <f>SUM(S122:S131)</f>
        <v>107.19</v>
      </c>
      <c r="I127" s="39"/>
      <c r="J127" s="32">
        <f>Source!AT83</f>
        <v>82</v>
      </c>
      <c r="K127" s="36">
        <f>SUM(T122:T131)</f>
        <v>825.35</v>
      </c>
      <c r="L127" s="37"/>
    </row>
    <row r="128" spans="1:26" ht="14.25" x14ac:dyDescent="0.2">
      <c r="A128" s="51"/>
      <c r="B128" s="52"/>
      <c r="C128" s="52" t="s">
        <v>537</v>
      </c>
      <c r="D128" s="33" t="s">
        <v>536</v>
      </c>
      <c r="E128" s="12">
        <f>Source!CA83</f>
        <v>62</v>
      </c>
      <c r="F128" s="55"/>
      <c r="G128" s="35"/>
      <c r="H128" s="36">
        <f>SUM(U122:U131)</f>
        <v>81.05</v>
      </c>
      <c r="I128" s="39"/>
      <c r="J128" s="32">
        <f>Source!AU83</f>
        <v>62</v>
      </c>
      <c r="K128" s="36">
        <f>SUM(V122:V131)</f>
        <v>624.04</v>
      </c>
      <c r="L128" s="37"/>
    </row>
    <row r="129" spans="1:26" ht="14.25" x14ac:dyDescent="0.2">
      <c r="A129" s="51"/>
      <c r="B129" s="52"/>
      <c r="C129" s="52" t="s">
        <v>538</v>
      </c>
      <c r="D129" s="33" t="s">
        <v>539</v>
      </c>
      <c r="E129" s="12">
        <f>Source!AQ83</f>
        <v>44</v>
      </c>
      <c r="F129" s="34"/>
      <c r="G129" s="35" t="str">
        <f>Source!DI83</f>
        <v/>
      </c>
      <c r="H129" s="36"/>
      <c r="I129" s="35"/>
      <c r="J129" s="35"/>
      <c r="K129" s="36"/>
      <c r="L129" s="40">
        <f>Source!U83</f>
        <v>14.344000000000001</v>
      </c>
    </row>
    <row r="130" spans="1:26" ht="71.25" x14ac:dyDescent="0.2">
      <c r="A130" s="51" t="str">
        <f>Source!E85</f>
        <v>10,1</v>
      </c>
      <c r="B130" s="52" t="str">
        <f>Source!F85</f>
        <v>08.3.08.02-0011</v>
      </c>
      <c r="C130" s="52" t="str">
        <f>Source!G85</f>
        <v>Угловой равнополочный горячекатаный прокат толщиной 11-30 мм, при ширине полки 180-200 мм, из углеродистой обыкновенного качества стали марки Ст6сп</v>
      </c>
      <c r="D130" s="33" t="str">
        <f>Source!H85</f>
        <v>т</v>
      </c>
      <c r="E130" s="12">
        <f>Source!I85</f>
        <v>-0.31947999999999999</v>
      </c>
      <c r="F130" s="34">
        <f>Source!AL85+Source!AM85+Source!AO85</f>
        <v>6102</v>
      </c>
      <c r="G130" s="49" t="s">
        <v>6</v>
      </c>
      <c r="H130" s="36">
        <f>ROUND(Source!AC85*Source!I85, 2)+ROUND(Source!AD85*Source!I85, 2)+ROUND(Source!AF85*Source!I85, 2)</f>
        <v>-1949.47</v>
      </c>
      <c r="I130" s="35"/>
      <c r="J130" s="35">
        <f>IF(Source!BC85&lt;&gt; 0, Source!BC85, 1)</f>
        <v>7.7</v>
      </c>
      <c r="K130" s="36">
        <f>Source!O85</f>
        <v>-15010.9</v>
      </c>
      <c r="L130" s="37"/>
      <c r="S130">
        <f>ROUND((Source!FX85/100)*((ROUND(Source!AF85*Source!I85, 2)+ROUND(Source!AE85*Source!I85, 2))), 2)</f>
        <v>0</v>
      </c>
      <c r="T130">
        <f>Source!X85</f>
        <v>0</v>
      </c>
      <c r="U130">
        <f>ROUND((Source!FY85/100)*((ROUND(Source!AF85*Source!I85, 2)+ROUND(Source!AE85*Source!I85, 2))), 2)</f>
        <v>0</v>
      </c>
      <c r="V130">
        <f>Source!Y85</f>
        <v>0</v>
      </c>
      <c r="W130">
        <f>IF(Source!BI85&lt;=1,H130, 0)</f>
        <v>-1949.47</v>
      </c>
      <c r="X130">
        <f>IF(Source!BI85=2,H130, 0)</f>
        <v>0</v>
      </c>
      <c r="Y130">
        <f>IF(Source!BI85=3,H130, 0)</f>
        <v>0</v>
      </c>
      <c r="Z130">
        <f>IF(Source!BI85=4,H130, 0)</f>
        <v>0</v>
      </c>
    </row>
    <row r="131" spans="1:26" ht="42.75" x14ac:dyDescent="0.2">
      <c r="A131" s="53" t="str">
        <f>Source!E87</f>
        <v>10,2</v>
      </c>
      <c r="B131" s="54" t="str">
        <f>Source!F87</f>
        <v>23.3.08.01-0056</v>
      </c>
      <c r="C131" s="54" t="str">
        <f>Source!G87</f>
        <v>Трубы стальные квадратные (ГОСТ 8639-82) размером 70х70 мм, толщина стенки 5 мм</v>
      </c>
      <c r="D131" s="41" t="str">
        <f>Source!H87</f>
        <v>м</v>
      </c>
      <c r="E131" s="42">
        <f>Source!I87</f>
        <v>30</v>
      </c>
      <c r="F131" s="43">
        <f>Source!AL87+Source!AM87+Source!AO87</f>
        <v>78.510000000000005</v>
      </c>
      <c r="G131" s="44" t="s">
        <v>6</v>
      </c>
      <c r="H131" s="45">
        <f>ROUND(Source!AC87*Source!I87, 2)+ROUND(Source!AD87*Source!I87, 2)+ROUND(Source!AF87*Source!I87, 2)</f>
        <v>2355.3000000000002</v>
      </c>
      <c r="I131" s="46"/>
      <c r="J131" s="46">
        <f>IF(Source!BC87&lt;&gt; 0, Source!BC87, 1)</f>
        <v>7.7</v>
      </c>
      <c r="K131" s="45">
        <f>Source!O87</f>
        <v>18135.810000000001</v>
      </c>
      <c r="L131" s="47"/>
      <c r="S131">
        <f>ROUND((Source!FX87/100)*((ROUND(Source!AF87*Source!I87, 2)+ROUND(Source!AE87*Source!I87, 2))), 2)</f>
        <v>0</v>
      </c>
      <c r="T131">
        <f>Source!X87</f>
        <v>0</v>
      </c>
      <c r="U131">
        <f>ROUND((Source!FY87/100)*((ROUND(Source!AF87*Source!I87, 2)+ROUND(Source!AE87*Source!I87, 2))), 2)</f>
        <v>0</v>
      </c>
      <c r="V131">
        <f>Source!Y87</f>
        <v>0</v>
      </c>
      <c r="W131">
        <f>IF(Source!BI87&lt;=1,H131, 0)</f>
        <v>2355.3000000000002</v>
      </c>
      <c r="X131">
        <f>IF(Source!BI87=2,H131, 0)</f>
        <v>0</v>
      </c>
      <c r="Y131">
        <f>IF(Source!BI87=3,H131, 0)</f>
        <v>0</v>
      </c>
      <c r="Z131">
        <f>IF(Source!BI87=4,H131, 0)</f>
        <v>0</v>
      </c>
    </row>
    <row r="132" spans="1:26" ht="15" x14ac:dyDescent="0.25">
      <c r="G132" s="74">
        <f>H123+H124+H126+H127+H128+SUM(H130:H131)</f>
        <v>2787.1200000000008</v>
      </c>
      <c r="H132" s="74"/>
      <c r="J132" s="74">
        <f>K123+K124+K126+K127+K128+SUM(K130:K131)</f>
        <v>21460.75</v>
      </c>
      <c r="K132" s="74"/>
      <c r="L132" s="48">
        <f>Source!U83</f>
        <v>14.344000000000001</v>
      </c>
      <c r="O132" s="27">
        <f>G132</f>
        <v>2787.1200000000008</v>
      </c>
      <c r="P132" s="27">
        <f>J132</f>
        <v>21460.75</v>
      </c>
      <c r="Q132" s="27">
        <f>L132</f>
        <v>14.344000000000001</v>
      </c>
      <c r="W132">
        <f>IF(Source!BI83&lt;=1,H123+H124+H126+H127+H128, 0)</f>
        <v>2381.2900000000004</v>
      </c>
      <c r="X132">
        <f>IF(Source!BI83=2,H123+H124+H126+H127+H128, 0)</f>
        <v>0</v>
      </c>
      <c r="Y132">
        <f>IF(Source!BI83=3,H123+H124+H126+H127+H128, 0)</f>
        <v>0</v>
      </c>
      <c r="Z132">
        <f>IF(Source!BI83=4,H123+H124+H126+H127+H128, 0)</f>
        <v>0</v>
      </c>
    </row>
    <row r="133" spans="1:26" ht="42.75" x14ac:dyDescent="0.2">
      <c r="A133" s="51" t="str">
        <f>Source!E89</f>
        <v>11</v>
      </c>
      <c r="B133" s="52" t="str">
        <f>Source!F89</f>
        <v>13-03-002-04</v>
      </c>
      <c r="C133" s="52" t="str">
        <f>Source!G89</f>
        <v>Огрунтовка металлических поверхностей за один раз грунтовкой ГФ-021</v>
      </c>
      <c r="D133" s="33" t="str">
        <f>Source!H89</f>
        <v>100 м2</v>
      </c>
      <c r="E133" s="12">
        <f>Source!I89</f>
        <v>8.4000000000000005E-2</v>
      </c>
      <c r="F133" s="34">
        <f>Source!AL89+Source!AM89+Source!AO89</f>
        <v>268.49</v>
      </c>
      <c r="G133" s="35"/>
      <c r="H133" s="36"/>
      <c r="I133" s="35" t="str">
        <f>Source!BO89</f>
        <v/>
      </c>
      <c r="J133" s="35"/>
      <c r="K133" s="36"/>
      <c r="L133" s="37"/>
      <c r="S133">
        <f>ROUND((Source!FX89/100)*((ROUND(Source!AF89*Source!I89, 2)+ROUND(Source!AE89*Source!I89, 2))), 2)</f>
        <v>4.4400000000000004</v>
      </c>
      <c r="T133">
        <f>Source!X89</f>
        <v>34.21</v>
      </c>
      <c r="U133">
        <f>ROUND((Source!FY89/100)*((ROUND(Source!AF89*Source!I89, 2)+ROUND(Source!AE89*Source!I89, 2))), 2)</f>
        <v>3.26</v>
      </c>
      <c r="V133">
        <f>Source!Y89</f>
        <v>25.34</v>
      </c>
    </row>
    <row r="134" spans="1:26" x14ac:dyDescent="0.2">
      <c r="C134" s="26" t="str">
        <f>"Объем: "&amp;Source!I89&amp;"=8,4/"&amp;"100"</f>
        <v>Объем: 0,084=8,4/100</v>
      </c>
    </row>
    <row r="135" spans="1:26" ht="14.25" x14ac:dyDescent="0.2">
      <c r="A135" s="51"/>
      <c r="B135" s="52"/>
      <c r="C135" s="52" t="s">
        <v>533</v>
      </c>
      <c r="D135" s="33"/>
      <c r="E135" s="12"/>
      <c r="F135" s="34">
        <f>Source!AO89</f>
        <v>56.55</v>
      </c>
      <c r="G135" s="35" t="str">
        <f>Source!DG89</f>
        <v>)*1,15</v>
      </c>
      <c r="H135" s="36">
        <f>ROUND(Source!AF89*Source!I89, 2)</f>
        <v>5.46</v>
      </c>
      <c r="I135" s="35"/>
      <c r="J135" s="35">
        <f>IF(Source!BA89&lt;&gt; 0, Source!BA89, 1)</f>
        <v>7.7</v>
      </c>
      <c r="K135" s="36">
        <f>Source!S89</f>
        <v>42.06</v>
      </c>
      <c r="L135" s="37"/>
      <c r="R135">
        <f>H135</f>
        <v>5.46</v>
      </c>
    </row>
    <row r="136" spans="1:26" ht="14.25" x14ac:dyDescent="0.2">
      <c r="A136" s="51"/>
      <c r="B136" s="52"/>
      <c r="C136" s="52" t="s">
        <v>229</v>
      </c>
      <c r="D136" s="33"/>
      <c r="E136" s="12"/>
      <c r="F136" s="34">
        <f>Source!AM89</f>
        <v>9.2200000000000006</v>
      </c>
      <c r="G136" s="35" t="str">
        <f>Source!DE89</f>
        <v>)*1,25</v>
      </c>
      <c r="H136" s="36">
        <f>ROUND(Source!AD89*Source!I89, 2)</f>
        <v>0.97</v>
      </c>
      <c r="I136" s="35"/>
      <c r="J136" s="35">
        <f>IF(Source!BB89&lt;&gt; 0, Source!BB89, 1)</f>
        <v>7.7</v>
      </c>
      <c r="K136" s="36">
        <f>Source!Q89</f>
        <v>7.45</v>
      </c>
      <c r="L136" s="37"/>
    </row>
    <row r="137" spans="1:26" ht="14.25" x14ac:dyDescent="0.2">
      <c r="A137" s="51"/>
      <c r="B137" s="52"/>
      <c r="C137" s="52" t="s">
        <v>534</v>
      </c>
      <c r="D137" s="33"/>
      <c r="E137" s="12"/>
      <c r="F137" s="34">
        <f>Source!AN89</f>
        <v>0.22</v>
      </c>
      <c r="G137" s="35" t="str">
        <f>Source!DF89</f>
        <v>)*1,25</v>
      </c>
      <c r="H137" s="38">
        <f>ROUND(Source!AE89*Source!I89, 2)</f>
        <v>0.02</v>
      </c>
      <c r="I137" s="35"/>
      <c r="J137" s="35">
        <f>IF(Source!BS89&lt;&gt; 0, Source!BS89, 1)</f>
        <v>7.7</v>
      </c>
      <c r="K137" s="38">
        <f>Source!R89</f>
        <v>0.18</v>
      </c>
      <c r="L137" s="37"/>
      <c r="R137">
        <f>H137</f>
        <v>0.02</v>
      </c>
    </row>
    <row r="138" spans="1:26" ht="14.25" x14ac:dyDescent="0.2">
      <c r="A138" s="51"/>
      <c r="B138" s="52"/>
      <c r="C138" s="52" t="s">
        <v>540</v>
      </c>
      <c r="D138" s="33"/>
      <c r="E138" s="12"/>
      <c r="F138" s="34">
        <f>Source!AL89</f>
        <v>202.72</v>
      </c>
      <c r="G138" s="35" t="str">
        <f>Source!DD89</f>
        <v/>
      </c>
      <c r="H138" s="36">
        <f>ROUND(Source!AC89*Source!I89, 2)</f>
        <v>17.03</v>
      </c>
      <c r="I138" s="35"/>
      <c r="J138" s="35">
        <f>IF(Source!BC89&lt;&gt; 0, Source!BC89, 1)</f>
        <v>7.7</v>
      </c>
      <c r="K138" s="36">
        <f>Source!P89</f>
        <v>131.12</v>
      </c>
      <c r="L138" s="37"/>
    </row>
    <row r="139" spans="1:26" ht="14.25" x14ac:dyDescent="0.2">
      <c r="A139" s="51"/>
      <c r="B139" s="52"/>
      <c r="C139" s="52" t="s">
        <v>535</v>
      </c>
      <c r="D139" s="33" t="s">
        <v>536</v>
      </c>
      <c r="E139" s="12">
        <f>Source!BZ89</f>
        <v>90</v>
      </c>
      <c r="F139" s="62" t="str">
        <f>CONCATENATE(" )", Source!DL89, Source!FT89, "=", Source!FX89)</f>
        <v xml:space="preserve"> )*0,9=81</v>
      </c>
      <c r="G139" s="75"/>
      <c r="H139" s="36">
        <f>SUM(S133:S141)</f>
        <v>4.4400000000000004</v>
      </c>
      <c r="I139" s="39"/>
      <c r="J139" s="32">
        <f>Source!AT89</f>
        <v>81</v>
      </c>
      <c r="K139" s="36">
        <f>SUM(T133:T141)</f>
        <v>34.21</v>
      </c>
      <c r="L139" s="37"/>
    </row>
    <row r="140" spans="1:26" ht="14.25" x14ac:dyDescent="0.2">
      <c r="A140" s="51"/>
      <c r="B140" s="52"/>
      <c r="C140" s="52" t="s">
        <v>537</v>
      </c>
      <c r="D140" s="33" t="s">
        <v>536</v>
      </c>
      <c r="E140" s="12">
        <f>Source!CA89</f>
        <v>70</v>
      </c>
      <c r="F140" s="62" t="str">
        <f>CONCATENATE(" )", Source!DM89, Source!FU89, "=", Source!FY89)</f>
        <v xml:space="preserve"> )*0,85=59,5</v>
      </c>
      <c r="G140" s="75"/>
      <c r="H140" s="36">
        <f>SUM(U133:U141)</f>
        <v>3.26</v>
      </c>
      <c r="I140" s="39"/>
      <c r="J140" s="32">
        <f>Source!AU89</f>
        <v>60</v>
      </c>
      <c r="K140" s="36">
        <f>SUM(V133:V141)</f>
        <v>25.34</v>
      </c>
      <c r="L140" s="37"/>
    </row>
    <row r="141" spans="1:26" ht="14.25" x14ac:dyDescent="0.2">
      <c r="A141" s="53"/>
      <c r="B141" s="54"/>
      <c r="C141" s="54" t="s">
        <v>538</v>
      </c>
      <c r="D141" s="41" t="s">
        <v>539</v>
      </c>
      <c r="E141" s="42">
        <f>Source!AQ89</f>
        <v>5.31</v>
      </c>
      <c r="F141" s="43"/>
      <c r="G141" s="46" t="str">
        <f>Source!DI89</f>
        <v>)*1,15</v>
      </c>
      <c r="H141" s="45"/>
      <c r="I141" s="46"/>
      <c r="J141" s="46"/>
      <c r="K141" s="45"/>
      <c r="L141" s="50">
        <f>Source!U89</f>
        <v>0.5129459999999999</v>
      </c>
    </row>
    <row r="142" spans="1:26" ht="15" x14ac:dyDescent="0.25">
      <c r="G142" s="74">
        <f>H135+H136+H138+H139+H140</f>
        <v>31.160000000000004</v>
      </c>
      <c r="H142" s="74"/>
      <c r="J142" s="74">
        <f>K135+K136+K138+K139+K140</f>
        <v>240.18</v>
      </c>
      <c r="K142" s="74"/>
      <c r="L142" s="48">
        <f>Source!U89</f>
        <v>0.5129459999999999</v>
      </c>
      <c r="O142" s="27">
        <f>G142</f>
        <v>31.160000000000004</v>
      </c>
      <c r="P142" s="27">
        <f>J142</f>
        <v>240.18</v>
      </c>
      <c r="Q142" s="27">
        <f>L142</f>
        <v>0.5129459999999999</v>
      </c>
      <c r="W142">
        <f>IF(Source!BI89&lt;=1,H135+H136+H138+H139+H140, 0)</f>
        <v>31.160000000000004</v>
      </c>
      <c r="X142">
        <f>IF(Source!BI89=2,H135+H136+H138+H139+H140, 0)</f>
        <v>0</v>
      </c>
      <c r="Y142">
        <f>IF(Source!BI89=3,H135+H136+H138+H139+H140, 0)</f>
        <v>0</v>
      </c>
      <c r="Z142">
        <f>IF(Source!BI89=4,H135+H136+H138+H139+H140, 0)</f>
        <v>0</v>
      </c>
    </row>
    <row r="143" spans="1:26" ht="57" x14ac:dyDescent="0.2">
      <c r="A143" s="51" t="str">
        <f>Source!E91</f>
        <v>12</v>
      </c>
      <c r="B143" s="52" t="str">
        <f>Source!F91</f>
        <v>15-04-007-03</v>
      </c>
      <c r="C143" s="52" t="str">
        <f>Source!G91</f>
        <v>Окраска водно-дисперсионными акриловыми составами улучшенная по сборным конструкциям стен, подготовленным под окраску</v>
      </c>
      <c r="D143" s="33" t="str">
        <f>Source!H91</f>
        <v>100 м2</v>
      </c>
      <c r="E143" s="12">
        <f>Source!I91</f>
        <v>0.3</v>
      </c>
      <c r="F143" s="34">
        <f>Source!AL91+Source!AM91+Source!AO91</f>
        <v>415.14</v>
      </c>
      <c r="G143" s="35"/>
      <c r="H143" s="36"/>
      <c r="I143" s="35" t="str">
        <f>Source!BO91</f>
        <v/>
      </c>
      <c r="J143" s="35"/>
      <c r="K143" s="36"/>
      <c r="L143" s="37"/>
      <c r="S143">
        <f>ROUND((Source!FX91/100)*((ROUND(Source!AF91*Source!I91, 2)+ROUND(Source!AE91*Source!I91, 2))), 2)</f>
        <v>95</v>
      </c>
      <c r="T143">
        <f>Source!X91</f>
        <v>735.36</v>
      </c>
      <c r="U143">
        <f>ROUND((Source!FY91/100)*((ROUND(Source!AF91*Source!I91, 2)+ROUND(Source!AE91*Source!I91, 2))), 2)</f>
        <v>47</v>
      </c>
      <c r="V143">
        <f>Source!Y91</f>
        <v>363.81</v>
      </c>
    </row>
    <row r="144" spans="1:26" x14ac:dyDescent="0.2">
      <c r="C144" s="26" t="str">
        <f>"Объем: "&amp;Source!I91&amp;"=31/"&amp;"100"</f>
        <v>Объем: 0,3=31/100</v>
      </c>
    </row>
    <row r="145" spans="1:26" ht="14.25" x14ac:dyDescent="0.2">
      <c r="A145" s="51"/>
      <c r="B145" s="52"/>
      <c r="C145" s="52" t="s">
        <v>533</v>
      </c>
      <c r="D145" s="33"/>
      <c r="E145" s="12"/>
      <c r="F145" s="34">
        <f>Source!AO91</f>
        <v>289.99</v>
      </c>
      <c r="G145" s="35" t="str">
        <f>Source!DG91</f>
        <v>)*1,15</v>
      </c>
      <c r="H145" s="36">
        <f>ROUND(Source!AF91*Source!I91, 2)</f>
        <v>100.05</v>
      </c>
      <c r="I145" s="35"/>
      <c r="J145" s="35">
        <f>IF(Source!BA91&lt;&gt; 0, Source!BA91, 1)</f>
        <v>7.7</v>
      </c>
      <c r="K145" s="36">
        <f>Source!S91</f>
        <v>770.36</v>
      </c>
      <c r="L145" s="37"/>
      <c r="R145">
        <f>H145</f>
        <v>100.05</v>
      </c>
    </row>
    <row r="146" spans="1:26" ht="14.25" x14ac:dyDescent="0.2">
      <c r="A146" s="51"/>
      <c r="B146" s="52"/>
      <c r="C146" s="52" t="s">
        <v>229</v>
      </c>
      <c r="D146" s="33"/>
      <c r="E146" s="12"/>
      <c r="F146" s="34">
        <f>Source!AM91</f>
        <v>6.85</v>
      </c>
      <c r="G146" s="35" t="str">
        <f>Source!DE91</f>
        <v>)*1,25</v>
      </c>
      <c r="H146" s="36">
        <f>ROUND(Source!AD91*Source!I91, 2)</f>
        <v>2.57</v>
      </c>
      <c r="I146" s="35"/>
      <c r="J146" s="35">
        <f>IF(Source!BB91&lt;&gt; 0, Source!BB91, 1)</f>
        <v>7.7</v>
      </c>
      <c r="K146" s="36">
        <f>Source!Q91</f>
        <v>19.78</v>
      </c>
      <c r="L146" s="37"/>
    </row>
    <row r="147" spans="1:26" ht="14.25" x14ac:dyDescent="0.2">
      <c r="A147" s="51"/>
      <c r="B147" s="52"/>
      <c r="C147" s="52" t="s">
        <v>534</v>
      </c>
      <c r="D147" s="33"/>
      <c r="E147" s="12"/>
      <c r="F147" s="34">
        <f>Source!AN91</f>
        <v>1.28</v>
      </c>
      <c r="G147" s="35" t="str">
        <f>Source!DF91</f>
        <v>)*1,25</v>
      </c>
      <c r="H147" s="38">
        <f>ROUND(Source!AE91*Source!I91, 2)</f>
        <v>0.48</v>
      </c>
      <c r="I147" s="35"/>
      <c r="J147" s="35">
        <f>IF(Source!BS91&lt;&gt; 0, Source!BS91, 1)</f>
        <v>7.7</v>
      </c>
      <c r="K147" s="38">
        <f>Source!R91</f>
        <v>3.7</v>
      </c>
      <c r="L147" s="37"/>
      <c r="R147">
        <f>H147</f>
        <v>0.48</v>
      </c>
    </row>
    <row r="148" spans="1:26" ht="14.25" x14ac:dyDescent="0.2">
      <c r="A148" s="51"/>
      <c r="B148" s="52"/>
      <c r="C148" s="52" t="s">
        <v>540</v>
      </c>
      <c r="D148" s="33"/>
      <c r="E148" s="12"/>
      <c r="F148" s="34">
        <f>Source!AL91</f>
        <v>118.3</v>
      </c>
      <c r="G148" s="35" t="str">
        <f>Source!DD91</f>
        <v/>
      </c>
      <c r="H148" s="36">
        <f>ROUND(Source!AC91*Source!I91, 2)</f>
        <v>35.49</v>
      </c>
      <c r="I148" s="35"/>
      <c r="J148" s="35">
        <f>IF(Source!BC91&lt;&gt; 0, Source!BC91, 1)</f>
        <v>7.7</v>
      </c>
      <c r="K148" s="36">
        <f>Source!P91</f>
        <v>273.27</v>
      </c>
      <c r="L148" s="37"/>
    </row>
    <row r="149" spans="1:26" ht="14.25" x14ac:dyDescent="0.2">
      <c r="A149" s="51"/>
      <c r="B149" s="52"/>
      <c r="C149" s="52" t="s">
        <v>535</v>
      </c>
      <c r="D149" s="33" t="s">
        <v>536</v>
      </c>
      <c r="E149" s="12">
        <f>Source!BZ91</f>
        <v>105</v>
      </c>
      <c r="F149" s="62" t="str">
        <f>CONCATENATE(" )", Source!DL91, Source!FT91, "=", Source!FX91)</f>
        <v xml:space="preserve"> )*0,9=94,5</v>
      </c>
      <c r="G149" s="75"/>
      <c r="H149" s="36">
        <f>SUM(S143:S153)</f>
        <v>95</v>
      </c>
      <c r="I149" s="39"/>
      <c r="J149" s="32">
        <f>Source!AT91</f>
        <v>95</v>
      </c>
      <c r="K149" s="36">
        <f>SUM(T143:T153)</f>
        <v>735.36</v>
      </c>
      <c r="L149" s="37"/>
    </row>
    <row r="150" spans="1:26" ht="14.25" x14ac:dyDescent="0.2">
      <c r="A150" s="51"/>
      <c r="B150" s="52"/>
      <c r="C150" s="52" t="s">
        <v>537</v>
      </c>
      <c r="D150" s="33" t="s">
        <v>536</v>
      </c>
      <c r="E150" s="12">
        <f>Source!CA91</f>
        <v>55</v>
      </c>
      <c r="F150" s="62" t="str">
        <f>CONCATENATE(" )", Source!DM91, Source!FU91, "=", Source!FY91)</f>
        <v xml:space="preserve"> )*0,85=46,75</v>
      </c>
      <c r="G150" s="75"/>
      <c r="H150" s="36">
        <f>SUM(U143:U153)</f>
        <v>47</v>
      </c>
      <c r="I150" s="39"/>
      <c r="J150" s="32">
        <f>Source!AU91</f>
        <v>47</v>
      </c>
      <c r="K150" s="36">
        <f>SUM(V143:V153)</f>
        <v>363.81</v>
      </c>
      <c r="L150" s="37"/>
    </row>
    <row r="151" spans="1:26" ht="14.25" x14ac:dyDescent="0.2">
      <c r="A151" s="51"/>
      <c r="B151" s="52"/>
      <c r="C151" s="52" t="s">
        <v>538</v>
      </c>
      <c r="D151" s="33" t="s">
        <v>539</v>
      </c>
      <c r="E151" s="12">
        <f>Source!AQ91</f>
        <v>32.729999999999997</v>
      </c>
      <c r="F151" s="34"/>
      <c r="G151" s="35" t="str">
        <f>Source!DI91</f>
        <v>)*1,15</v>
      </c>
      <c r="H151" s="36"/>
      <c r="I151" s="35"/>
      <c r="J151" s="35"/>
      <c r="K151" s="36"/>
      <c r="L151" s="40">
        <f>Source!U91</f>
        <v>11.291849999999997</v>
      </c>
    </row>
    <row r="152" spans="1:26" ht="57" x14ac:dyDescent="0.2">
      <c r="A152" s="51" t="str">
        <f>Source!E93</f>
        <v>12,1</v>
      </c>
      <c r="B152" s="52" t="str">
        <f>Source!F93</f>
        <v>14.2.02.03-0025</v>
      </c>
      <c r="C152" s="52" t="str">
        <f>Source!G93</f>
        <v>Краска огнезащитная водно-дисперсионная акриловая однокомпонентная ВД-АК- 223 Defender C (ТУ 2316-002-76044141-06)</v>
      </c>
      <c r="D152" s="33" t="str">
        <f>Source!H93</f>
        <v>кг</v>
      </c>
      <c r="E152" s="12">
        <f>Source!I93</f>
        <v>9</v>
      </c>
      <c r="F152" s="34">
        <f>Source!AL93+Source!AM93+Source!AO93</f>
        <v>71.78</v>
      </c>
      <c r="G152" s="49" t="s">
        <v>6</v>
      </c>
      <c r="H152" s="36">
        <f>ROUND(Source!AC93*Source!I93, 2)+ROUND(Source!AD93*Source!I93, 2)+ROUND(Source!AF93*Source!I93, 2)</f>
        <v>646.02</v>
      </c>
      <c r="I152" s="35"/>
      <c r="J152" s="35">
        <f>IF(Source!BC93&lt;&gt; 0, Source!BC93, 1)</f>
        <v>7.7</v>
      </c>
      <c r="K152" s="36">
        <f>Source!O93</f>
        <v>4974.3500000000004</v>
      </c>
      <c r="L152" s="37"/>
      <c r="S152">
        <f>ROUND((Source!FX93/100)*((ROUND(Source!AF93*Source!I93, 2)+ROUND(Source!AE93*Source!I93, 2))), 2)</f>
        <v>0</v>
      </c>
      <c r="T152">
        <f>Source!X93</f>
        <v>0</v>
      </c>
      <c r="U152">
        <f>ROUND((Source!FY93/100)*((ROUND(Source!AF93*Source!I93, 2)+ROUND(Source!AE93*Source!I93, 2))), 2)</f>
        <v>0</v>
      </c>
      <c r="V152">
        <f>Source!Y93</f>
        <v>0</v>
      </c>
      <c r="W152">
        <f>IF(Source!BI93&lt;=1,H152, 0)</f>
        <v>646.02</v>
      </c>
      <c r="X152">
        <f>IF(Source!BI93=2,H152, 0)</f>
        <v>0</v>
      </c>
      <c r="Y152">
        <f>IF(Source!BI93=3,H152, 0)</f>
        <v>0</v>
      </c>
      <c r="Z152">
        <f>IF(Source!BI93=4,H152, 0)</f>
        <v>0</v>
      </c>
    </row>
    <row r="153" spans="1:26" ht="28.5" x14ac:dyDescent="0.2">
      <c r="A153" s="53" t="str">
        <f>Source!E95</f>
        <v>12,2</v>
      </c>
      <c r="B153" s="54" t="str">
        <f>Source!F95</f>
        <v>14.4.01.02-0101</v>
      </c>
      <c r="C153" s="54" t="str">
        <f>Source!G95</f>
        <v>Грунтовка: акриловая глубокого проникновения "БИРСС Грунт КШ"</v>
      </c>
      <c r="D153" s="41" t="str">
        <f>Source!H95</f>
        <v>т</v>
      </c>
      <c r="E153" s="42">
        <f>Source!I95</f>
        <v>6.0000000000000001E-3</v>
      </c>
      <c r="F153" s="43">
        <f>Source!AL95+Source!AM95+Source!AO95</f>
        <v>11225.81</v>
      </c>
      <c r="G153" s="44" t="s">
        <v>6</v>
      </c>
      <c r="H153" s="45">
        <f>ROUND(Source!AC95*Source!I95, 2)+ROUND(Source!AD95*Source!I95, 2)+ROUND(Source!AF95*Source!I95, 2)</f>
        <v>67.349999999999994</v>
      </c>
      <c r="I153" s="46"/>
      <c r="J153" s="46">
        <f>IF(Source!BC95&lt;&gt; 0, Source!BC95, 1)</f>
        <v>7.7</v>
      </c>
      <c r="K153" s="45">
        <f>Source!O95</f>
        <v>518.63</v>
      </c>
      <c r="L153" s="47"/>
      <c r="S153">
        <f>ROUND((Source!FX95/100)*((ROUND(Source!AF95*Source!I95, 2)+ROUND(Source!AE95*Source!I95, 2))), 2)</f>
        <v>0</v>
      </c>
      <c r="T153">
        <f>Source!X95</f>
        <v>0</v>
      </c>
      <c r="U153">
        <f>ROUND((Source!FY95/100)*((ROUND(Source!AF95*Source!I95, 2)+ROUND(Source!AE95*Source!I95, 2))), 2)</f>
        <v>0</v>
      </c>
      <c r="V153">
        <f>Source!Y95</f>
        <v>0</v>
      </c>
      <c r="W153">
        <f>IF(Source!BI95&lt;=1,H153, 0)</f>
        <v>67.349999999999994</v>
      </c>
      <c r="X153">
        <f>IF(Source!BI95=2,H153, 0)</f>
        <v>0</v>
      </c>
      <c r="Y153">
        <f>IF(Source!BI95=3,H153, 0)</f>
        <v>0</v>
      </c>
      <c r="Z153">
        <f>IF(Source!BI95=4,H153, 0)</f>
        <v>0</v>
      </c>
    </row>
    <row r="154" spans="1:26" ht="15" x14ac:dyDescent="0.25">
      <c r="G154" s="74">
        <f>H145+H146+H148+H149+H150+SUM(H152:H153)</f>
        <v>993.48</v>
      </c>
      <c r="H154" s="74"/>
      <c r="J154" s="74">
        <f>K145+K146+K148+K149+K150+SUM(K152:K153)</f>
        <v>7655.56</v>
      </c>
      <c r="K154" s="74"/>
      <c r="L154" s="48">
        <f>Source!U91</f>
        <v>11.291849999999997</v>
      </c>
      <c r="O154" s="27">
        <f>G154</f>
        <v>993.48</v>
      </c>
      <c r="P154" s="27">
        <f>J154</f>
        <v>7655.56</v>
      </c>
      <c r="Q154" s="27">
        <f>L154</f>
        <v>11.291849999999997</v>
      </c>
      <c r="W154">
        <f>IF(Source!BI91&lt;=1,H145+H146+H148+H149+H150, 0)</f>
        <v>280.11</v>
      </c>
      <c r="X154">
        <f>IF(Source!BI91=2,H145+H146+H148+H149+H150, 0)</f>
        <v>0</v>
      </c>
      <c r="Y154">
        <f>IF(Source!BI91=3,H145+H146+H148+H149+H150, 0)</f>
        <v>0</v>
      </c>
      <c r="Z154">
        <f>IF(Source!BI91=4,H145+H146+H148+H149+H150, 0)</f>
        <v>0</v>
      </c>
    </row>
    <row r="155" spans="1:26" ht="28.5" x14ac:dyDescent="0.2">
      <c r="A155" s="51" t="str">
        <f>Source!E97</f>
        <v>13</v>
      </c>
      <c r="B155" s="52" t="str">
        <f>Source!F97</f>
        <v>09-04-013-04</v>
      </c>
      <c r="C155" s="52" t="str">
        <f>Source!G97</f>
        <v>Установка противопожарных дверей двупольных остекленных</v>
      </c>
      <c r="D155" s="33" t="str">
        <f>Source!H97</f>
        <v>м2</v>
      </c>
      <c r="E155" s="12">
        <f>Source!I97</f>
        <v>16</v>
      </c>
      <c r="F155" s="34">
        <f>Source!AL97+Source!AM97+Source!AO97</f>
        <v>81.290000000000006</v>
      </c>
      <c r="G155" s="35"/>
      <c r="H155" s="36"/>
      <c r="I155" s="35" t="str">
        <f>Source!BO97</f>
        <v/>
      </c>
      <c r="J155" s="35"/>
      <c r="K155" s="36"/>
      <c r="L155" s="37"/>
      <c r="S155">
        <f>ROUND((Source!FX97/100)*((ROUND(Source!AF97*Source!I97, 2)+ROUND(Source!AE97*Source!I97, 2))), 2)</f>
        <v>357.55</v>
      </c>
      <c r="T155">
        <f>Source!X97</f>
        <v>2753.11</v>
      </c>
      <c r="U155">
        <f>ROUND((Source!FY97/100)*((ROUND(Source!AF97*Source!I97, 2)+ROUND(Source!AE97*Source!I97, 2))), 2)</f>
        <v>318.93</v>
      </c>
      <c r="V155">
        <f>Source!Y97</f>
        <v>2447.21</v>
      </c>
    </row>
    <row r="156" spans="1:26" ht="14.25" x14ac:dyDescent="0.2">
      <c r="A156" s="51"/>
      <c r="B156" s="52"/>
      <c r="C156" s="52" t="s">
        <v>533</v>
      </c>
      <c r="D156" s="33"/>
      <c r="E156" s="12"/>
      <c r="F156" s="34">
        <f>Source!AO97</f>
        <v>23.74</v>
      </c>
      <c r="G156" s="35" t="str">
        <f>Source!DG97</f>
        <v>)*1,15</v>
      </c>
      <c r="H156" s="36">
        <f>ROUND(Source!AF97*Source!I97, 2)</f>
        <v>436.82</v>
      </c>
      <c r="I156" s="35"/>
      <c r="J156" s="35">
        <f>IF(Source!BA97&lt;&gt; 0, Source!BA97, 1)</f>
        <v>7.7</v>
      </c>
      <c r="K156" s="36">
        <f>Source!S97</f>
        <v>3363.48</v>
      </c>
      <c r="L156" s="37"/>
      <c r="R156">
        <f>H156</f>
        <v>436.82</v>
      </c>
    </row>
    <row r="157" spans="1:26" ht="14.25" x14ac:dyDescent="0.2">
      <c r="A157" s="51"/>
      <c r="B157" s="52"/>
      <c r="C157" s="52" t="s">
        <v>229</v>
      </c>
      <c r="D157" s="33"/>
      <c r="E157" s="12"/>
      <c r="F157" s="34">
        <f>Source!AM97</f>
        <v>5.6</v>
      </c>
      <c r="G157" s="35" t="str">
        <f>Source!DE97</f>
        <v>)*1,25</v>
      </c>
      <c r="H157" s="36">
        <f>ROUND(Source!AD97*Source!I97, 2)</f>
        <v>112</v>
      </c>
      <c r="I157" s="35"/>
      <c r="J157" s="35">
        <f>IF(Source!BB97&lt;&gt; 0, Source!BB97, 1)</f>
        <v>7.7</v>
      </c>
      <c r="K157" s="36">
        <f>Source!Q97</f>
        <v>862.4</v>
      </c>
      <c r="L157" s="37"/>
    </row>
    <row r="158" spans="1:26" ht="14.25" x14ac:dyDescent="0.2">
      <c r="A158" s="51"/>
      <c r="B158" s="52"/>
      <c r="C158" s="52" t="s">
        <v>534</v>
      </c>
      <c r="D158" s="33"/>
      <c r="E158" s="12"/>
      <c r="F158" s="34">
        <f>Source!AN97</f>
        <v>0.23</v>
      </c>
      <c r="G158" s="35" t="str">
        <f>Source!DF97</f>
        <v>)*1,25</v>
      </c>
      <c r="H158" s="38">
        <f>ROUND(Source!AE97*Source!I97, 2)</f>
        <v>4.5999999999999996</v>
      </c>
      <c r="I158" s="35"/>
      <c r="J158" s="35">
        <f>IF(Source!BS97&lt;&gt; 0, Source!BS97, 1)</f>
        <v>7.7</v>
      </c>
      <c r="K158" s="38">
        <f>Source!R97</f>
        <v>35.42</v>
      </c>
      <c r="L158" s="37"/>
      <c r="R158">
        <f>H158</f>
        <v>4.5999999999999996</v>
      </c>
    </row>
    <row r="159" spans="1:26" ht="14.25" x14ac:dyDescent="0.2">
      <c r="A159" s="51"/>
      <c r="B159" s="52"/>
      <c r="C159" s="52" t="s">
        <v>540</v>
      </c>
      <c r="D159" s="33"/>
      <c r="E159" s="12"/>
      <c r="F159" s="34">
        <f>Source!AL97</f>
        <v>51.95</v>
      </c>
      <c r="G159" s="35" t="str">
        <f>Source!DD97</f>
        <v/>
      </c>
      <c r="H159" s="36">
        <f>ROUND(Source!AC97*Source!I97, 2)</f>
        <v>831.2</v>
      </c>
      <c r="I159" s="35"/>
      <c r="J159" s="35">
        <f>IF(Source!BC97&lt;&gt; 0, Source!BC97, 1)</f>
        <v>7.7</v>
      </c>
      <c r="K159" s="36">
        <f>Source!P97</f>
        <v>6400.24</v>
      </c>
      <c r="L159" s="37"/>
    </row>
    <row r="160" spans="1:26" ht="14.25" x14ac:dyDescent="0.2">
      <c r="A160" s="51"/>
      <c r="B160" s="52"/>
      <c r="C160" s="52" t="s">
        <v>535</v>
      </c>
      <c r="D160" s="33" t="s">
        <v>536</v>
      </c>
      <c r="E160" s="12">
        <f>Source!BZ97</f>
        <v>90</v>
      </c>
      <c r="F160" s="62" t="str">
        <f>CONCATENATE(" )", Source!DL97, Source!FT97, "=", Source!FX97)</f>
        <v xml:space="preserve"> )*0,9=81</v>
      </c>
      <c r="G160" s="75"/>
      <c r="H160" s="36">
        <f>SUM(S155:S165)</f>
        <v>357.55</v>
      </c>
      <c r="I160" s="39"/>
      <c r="J160" s="32">
        <f>Source!AT97</f>
        <v>81</v>
      </c>
      <c r="K160" s="36">
        <f>SUM(T155:T165)</f>
        <v>2753.11</v>
      </c>
      <c r="L160" s="37"/>
    </row>
    <row r="161" spans="1:26" ht="14.25" x14ac:dyDescent="0.2">
      <c r="A161" s="51"/>
      <c r="B161" s="52"/>
      <c r="C161" s="52" t="s">
        <v>537</v>
      </c>
      <c r="D161" s="33" t="s">
        <v>536</v>
      </c>
      <c r="E161" s="12">
        <f>Source!CA97</f>
        <v>85</v>
      </c>
      <c r="F161" s="62" t="str">
        <f>CONCATENATE(" )", Source!DM97, Source!FU97, "=", Source!FY97)</f>
        <v xml:space="preserve"> )*0,85=72,25</v>
      </c>
      <c r="G161" s="75"/>
      <c r="H161" s="36">
        <f>SUM(U155:U165)</f>
        <v>318.93</v>
      </c>
      <c r="I161" s="39"/>
      <c r="J161" s="32">
        <f>Source!AU97</f>
        <v>72</v>
      </c>
      <c r="K161" s="36">
        <f>SUM(V155:V165)</f>
        <v>2447.21</v>
      </c>
      <c r="L161" s="37"/>
    </row>
    <row r="162" spans="1:26" ht="14.25" x14ac:dyDescent="0.2">
      <c r="A162" s="51"/>
      <c r="B162" s="52"/>
      <c r="C162" s="52" t="s">
        <v>538</v>
      </c>
      <c r="D162" s="33" t="s">
        <v>539</v>
      </c>
      <c r="E162" s="12">
        <f>Source!AQ97</f>
        <v>2.36</v>
      </c>
      <c r="F162" s="34"/>
      <c r="G162" s="35" t="str">
        <f>Source!DI97</f>
        <v>)*1,15</v>
      </c>
      <c r="H162" s="36"/>
      <c r="I162" s="35"/>
      <c r="J162" s="35"/>
      <c r="K162" s="36"/>
      <c r="L162" s="40">
        <f>Source!U97</f>
        <v>43.423999999999992</v>
      </c>
    </row>
    <row r="163" spans="1:26" ht="45" customHeight="1" x14ac:dyDescent="0.2">
      <c r="A163" s="51" t="str">
        <f>Source!E99</f>
        <v>13,1</v>
      </c>
      <c r="B163" s="52" t="str">
        <f>Source!F99</f>
        <v>07.1.01.01-0025</v>
      </c>
      <c r="C163" s="52" t="str">
        <f>Source!G99</f>
        <v>Дверь противопожарная металлическая остекленная двупольная ДПМО-02/60, размером 2000х1600 мм</v>
      </c>
      <c r="D163" s="33" t="str">
        <f>Source!H99</f>
        <v>шт.</v>
      </c>
      <c r="E163" s="12">
        <f>Source!I99</f>
        <v>5</v>
      </c>
      <c r="F163" s="34">
        <f>Source!AL99+Source!AM99+Source!AO99</f>
        <v>6025.88</v>
      </c>
      <c r="G163" s="49" t="s">
        <v>6</v>
      </c>
      <c r="H163" s="36">
        <f>ROUND(Source!AC99*Source!I99, 2)+ROUND(Source!AD99*Source!I99, 2)+ROUND(Source!AF99*Source!I99, 2)</f>
        <v>30129.4</v>
      </c>
      <c r="I163" s="35"/>
      <c r="J163" s="35">
        <f>IF(Source!BC99&lt;&gt; 0, Source!BC99, 1)</f>
        <v>7.7</v>
      </c>
      <c r="K163" s="36">
        <f>Source!O99</f>
        <v>231996.38</v>
      </c>
      <c r="L163" s="37"/>
      <c r="S163">
        <f>ROUND((Source!FX99/100)*((ROUND(Source!AF99*Source!I99, 2)+ROUND(Source!AE99*Source!I99, 2))), 2)</f>
        <v>0</v>
      </c>
      <c r="T163">
        <f>Source!X99</f>
        <v>0</v>
      </c>
      <c r="U163">
        <f>ROUND((Source!FY99/100)*((ROUND(Source!AF99*Source!I99, 2)+ROUND(Source!AE99*Source!I99, 2))), 2)</f>
        <v>0</v>
      </c>
      <c r="V163">
        <f>Source!Y99</f>
        <v>0</v>
      </c>
      <c r="W163">
        <f>IF(Source!BI99&lt;=1,H163, 0)</f>
        <v>30129.4</v>
      </c>
      <c r="X163">
        <f>IF(Source!BI99=2,H163, 0)</f>
        <v>0</v>
      </c>
      <c r="Y163">
        <f>IF(Source!BI99=3,H163, 0)</f>
        <v>0</v>
      </c>
      <c r="Z163">
        <f>IF(Source!BI99=4,H163, 0)</f>
        <v>0</v>
      </c>
    </row>
    <row r="164" spans="1:26" ht="42.75" x14ac:dyDescent="0.2">
      <c r="A164" s="51" t="str">
        <f>Source!E101</f>
        <v>13,2</v>
      </c>
      <c r="B164" s="52" t="str">
        <f>Source!F101</f>
        <v>01.7.04.01-0002</v>
      </c>
      <c r="C164" s="52" t="str">
        <f>Source!G101</f>
        <v>Доводчик дверной гидравлический TS-68 с зубчатым приводом (нагрузка до 90 кг)</v>
      </c>
      <c r="D164" s="33" t="str">
        <f>Source!H101</f>
        <v>шт.</v>
      </c>
      <c r="E164" s="12">
        <f>Source!I101</f>
        <v>5</v>
      </c>
      <c r="F164" s="34">
        <f>Source!AL101+Source!AM101+Source!AO101</f>
        <v>272.22000000000003</v>
      </c>
      <c r="G164" s="49" t="s">
        <v>6</v>
      </c>
      <c r="H164" s="36">
        <f>ROUND(Source!AC101*Source!I101, 2)+ROUND(Source!AD101*Source!I101, 2)+ROUND(Source!AF101*Source!I101, 2)</f>
        <v>1361.1</v>
      </c>
      <c r="I164" s="35"/>
      <c r="J164" s="35">
        <f>IF(Source!BC101&lt;&gt; 0, Source!BC101, 1)</f>
        <v>7.7</v>
      </c>
      <c r="K164" s="36">
        <f>Source!O101</f>
        <v>10480.469999999999</v>
      </c>
      <c r="L164" s="37"/>
      <c r="S164">
        <f>ROUND((Source!FX101/100)*((ROUND(Source!AF101*Source!I101, 2)+ROUND(Source!AE101*Source!I101, 2))), 2)</f>
        <v>0</v>
      </c>
      <c r="T164">
        <f>Source!X101</f>
        <v>0</v>
      </c>
      <c r="U164">
        <f>ROUND((Source!FY101/100)*((ROUND(Source!AF101*Source!I101, 2)+ROUND(Source!AE101*Source!I101, 2))), 2)</f>
        <v>0</v>
      </c>
      <c r="V164">
        <f>Source!Y101</f>
        <v>0</v>
      </c>
      <c r="W164">
        <f>IF(Source!BI101&lt;=1,H164, 0)</f>
        <v>1361.1</v>
      </c>
      <c r="X164">
        <f>IF(Source!BI101=2,H164, 0)</f>
        <v>0</v>
      </c>
      <c r="Y164">
        <f>IF(Source!BI101=3,H164, 0)</f>
        <v>0</v>
      </c>
      <c r="Z164">
        <f>IF(Source!BI101=4,H164, 0)</f>
        <v>0</v>
      </c>
    </row>
    <row r="165" spans="1:26" ht="28.5" x14ac:dyDescent="0.2">
      <c r="A165" s="53" t="str">
        <f>Source!E103</f>
        <v>13,3</v>
      </c>
      <c r="B165" s="54" t="str">
        <f>Source!F103</f>
        <v>01.7.04.04-0012</v>
      </c>
      <c r="C165" s="54" t="str">
        <f>Source!G103</f>
        <v>Замок врезной оцинкованный антипаника</v>
      </c>
      <c r="D165" s="41" t="str">
        <f>Source!H103</f>
        <v>компл.</v>
      </c>
      <c r="E165" s="42">
        <f>Source!I103</f>
        <v>5</v>
      </c>
      <c r="F165" s="43">
        <f>Source!AL103+Source!AM103+Source!AO103</f>
        <v>92.52</v>
      </c>
      <c r="G165" s="44" t="s">
        <v>6</v>
      </c>
      <c r="H165" s="45">
        <f>ROUND(Source!AC103*Source!I103, 2)+ROUND(Source!AD103*Source!I103, 2)+ROUND(Source!AF103*Source!I103, 2)</f>
        <v>462.6</v>
      </c>
      <c r="I165" s="46"/>
      <c r="J165" s="46">
        <f>IF(Source!BC103&lt;&gt; 0, Source!BC103, 1)</f>
        <v>7.7</v>
      </c>
      <c r="K165" s="45">
        <f>Source!O103</f>
        <v>3562.02</v>
      </c>
      <c r="L165" s="47"/>
      <c r="S165">
        <f>ROUND((Source!FX103/100)*((ROUND(Source!AF103*Source!I103, 2)+ROUND(Source!AE103*Source!I103, 2))), 2)</f>
        <v>0</v>
      </c>
      <c r="T165">
        <f>Source!X103</f>
        <v>0</v>
      </c>
      <c r="U165">
        <f>ROUND((Source!FY103/100)*((ROUND(Source!AF103*Source!I103, 2)+ROUND(Source!AE103*Source!I103, 2))), 2)</f>
        <v>0</v>
      </c>
      <c r="V165">
        <f>Source!Y103</f>
        <v>0</v>
      </c>
      <c r="W165">
        <f>IF(Source!BI103&lt;=1,H165, 0)</f>
        <v>462.6</v>
      </c>
      <c r="X165">
        <f>IF(Source!BI103=2,H165, 0)</f>
        <v>0</v>
      </c>
      <c r="Y165">
        <f>IF(Source!BI103=3,H165, 0)</f>
        <v>0</v>
      </c>
      <c r="Z165">
        <f>IF(Source!BI103=4,H165, 0)</f>
        <v>0</v>
      </c>
    </row>
    <row r="166" spans="1:26" ht="15" x14ac:dyDescent="0.25">
      <c r="G166" s="74">
        <f>H156+H157+H159+H160+H161+SUM(H163:H165)</f>
        <v>34009.599999999999</v>
      </c>
      <c r="H166" s="74"/>
      <c r="J166" s="74">
        <f>K156+K157+K159+K160+K161+SUM(K163:K165)</f>
        <v>261865.31</v>
      </c>
      <c r="K166" s="74"/>
      <c r="L166" s="48">
        <f>Source!U97</f>
        <v>43.423999999999992</v>
      </c>
      <c r="O166" s="27">
        <f>G166</f>
        <v>34009.599999999999</v>
      </c>
      <c r="P166" s="27">
        <f>J166</f>
        <v>261865.31</v>
      </c>
      <c r="Q166" s="27">
        <f>L166</f>
        <v>43.423999999999992</v>
      </c>
      <c r="W166">
        <f>IF(Source!BI97&lt;=1,H156+H157+H159+H160+H161, 0)</f>
        <v>2056.5</v>
      </c>
      <c r="X166">
        <f>IF(Source!BI97=2,H156+H157+H159+H160+H161, 0)</f>
        <v>0</v>
      </c>
      <c r="Y166">
        <f>IF(Source!BI97=3,H156+H157+H159+H160+H161, 0)</f>
        <v>0</v>
      </c>
      <c r="Z166">
        <f>IF(Source!BI97=4,H156+H157+H159+H160+H161, 0)</f>
        <v>0</v>
      </c>
    </row>
    <row r="167" spans="1:26" ht="28.5" x14ac:dyDescent="0.2">
      <c r="A167" s="51" t="str">
        <f>Source!E105</f>
        <v>14</v>
      </c>
      <c r="B167" s="52" t="str">
        <f>Source!F105</f>
        <v>69-15-1</v>
      </c>
      <c r="C167" s="52" t="str">
        <f>Source!G105</f>
        <v>Затаривание строительного мусора в мешки</v>
      </c>
      <c r="D167" s="33" t="str">
        <f>Source!H105</f>
        <v>т</v>
      </c>
      <c r="E167" s="12">
        <f>Source!I105</f>
        <v>53.552399999999999</v>
      </c>
      <c r="F167" s="34">
        <f>Source!AL105+Source!AM105+Source!AO105</f>
        <v>23.81</v>
      </c>
      <c r="G167" s="35"/>
      <c r="H167" s="36"/>
      <c r="I167" s="35" t="str">
        <f>Source!BO105</f>
        <v/>
      </c>
      <c r="J167" s="35"/>
      <c r="K167" s="36"/>
      <c r="L167" s="37"/>
      <c r="S167">
        <f>ROUND((Source!FX105/100)*((ROUND(Source!AF105*Source!I105, 2)+ROUND(Source!AE105*Source!I105, 2))), 2)</f>
        <v>309.52</v>
      </c>
      <c r="T167">
        <f>Source!X105</f>
        <v>2383.3200000000002</v>
      </c>
      <c r="U167">
        <f>ROUND((Source!FY105/100)*((ROUND(Source!AF105*Source!I105, 2)+ROUND(Source!AE105*Source!I105, 2))), 2)</f>
        <v>198.41</v>
      </c>
      <c r="V167">
        <f>Source!Y105</f>
        <v>1527.77</v>
      </c>
    </row>
    <row r="168" spans="1:26" ht="14.25" x14ac:dyDescent="0.2">
      <c r="A168" s="51"/>
      <c r="B168" s="52"/>
      <c r="C168" s="52" t="s">
        <v>533</v>
      </c>
      <c r="D168" s="33"/>
      <c r="E168" s="12"/>
      <c r="F168" s="34">
        <f>Source!AO105</f>
        <v>7.41</v>
      </c>
      <c r="G168" s="35" t="str">
        <f>Source!DG105</f>
        <v/>
      </c>
      <c r="H168" s="36">
        <f>ROUND(Source!AF105*Source!I105, 2)</f>
        <v>396.82</v>
      </c>
      <c r="I168" s="35"/>
      <c r="J168" s="35">
        <f>IF(Source!BA105&lt;&gt; 0, Source!BA105, 1)</f>
        <v>7.7</v>
      </c>
      <c r="K168" s="36">
        <f>Source!S105</f>
        <v>3055.54</v>
      </c>
      <c r="L168" s="37"/>
      <c r="R168">
        <f>H168</f>
        <v>396.82</v>
      </c>
    </row>
    <row r="169" spans="1:26" ht="14.25" x14ac:dyDescent="0.2">
      <c r="A169" s="51"/>
      <c r="B169" s="52"/>
      <c r="C169" s="52" t="s">
        <v>540</v>
      </c>
      <c r="D169" s="33"/>
      <c r="E169" s="12"/>
      <c r="F169" s="34">
        <f>Source!AL105</f>
        <v>16.399999999999999</v>
      </c>
      <c r="G169" s="35" t="str">
        <f>Source!DD105</f>
        <v/>
      </c>
      <c r="H169" s="36">
        <f>ROUND(Source!AC105*Source!I105, 2)</f>
        <v>878.26</v>
      </c>
      <c r="I169" s="35"/>
      <c r="J169" s="35">
        <f>IF(Source!BC105&lt;&gt; 0, Source!BC105, 1)</f>
        <v>7.7</v>
      </c>
      <c r="K169" s="36">
        <f>Source!P105</f>
        <v>6762.6</v>
      </c>
      <c r="L169" s="37"/>
    </row>
    <row r="170" spans="1:26" ht="14.25" x14ac:dyDescent="0.2">
      <c r="A170" s="51"/>
      <c r="B170" s="52"/>
      <c r="C170" s="52" t="s">
        <v>535</v>
      </c>
      <c r="D170" s="33" t="s">
        <v>536</v>
      </c>
      <c r="E170" s="12">
        <f>Source!BZ105</f>
        <v>78</v>
      </c>
      <c r="F170" s="55"/>
      <c r="G170" s="35"/>
      <c r="H170" s="36">
        <f>SUM(S167:S172)</f>
        <v>309.52</v>
      </c>
      <c r="I170" s="39"/>
      <c r="J170" s="32">
        <f>Source!AT105</f>
        <v>78</v>
      </c>
      <c r="K170" s="36">
        <f>SUM(T167:T172)</f>
        <v>2383.3200000000002</v>
      </c>
      <c r="L170" s="37"/>
    </row>
    <row r="171" spans="1:26" ht="14.25" x14ac:dyDescent="0.2">
      <c r="A171" s="51"/>
      <c r="B171" s="52"/>
      <c r="C171" s="52" t="s">
        <v>537</v>
      </c>
      <c r="D171" s="33" t="s">
        <v>536</v>
      </c>
      <c r="E171" s="12">
        <f>Source!CA105</f>
        <v>50</v>
      </c>
      <c r="F171" s="55"/>
      <c r="G171" s="35"/>
      <c r="H171" s="36">
        <f>SUM(U167:U172)</f>
        <v>198.41</v>
      </c>
      <c r="I171" s="39"/>
      <c r="J171" s="32">
        <f>Source!AU105</f>
        <v>50</v>
      </c>
      <c r="K171" s="36">
        <f>SUM(V167:V172)</f>
        <v>1527.77</v>
      </c>
      <c r="L171" s="37"/>
    </row>
    <row r="172" spans="1:26" ht="14.25" x14ac:dyDescent="0.2">
      <c r="A172" s="53"/>
      <c r="B172" s="54"/>
      <c r="C172" s="54" t="s">
        <v>538</v>
      </c>
      <c r="D172" s="41" t="s">
        <v>539</v>
      </c>
      <c r="E172" s="42">
        <f>Source!AQ105</f>
        <v>1.03</v>
      </c>
      <c r="F172" s="43"/>
      <c r="G172" s="46" t="str">
        <f>Source!DI105</f>
        <v/>
      </c>
      <c r="H172" s="45"/>
      <c r="I172" s="46"/>
      <c r="J172" s="46"/>
      <c r="K172" s="45"/>
      <c r="L172" s="50">
        <f>Source!U105</f>
        <v>55.158971999999999</v>
      </c>
    </row>
    <row r="173" spans="1:26" ht="15" x14ac:dyDescent="0.25">
      <c r="G173" s="74">
        <f>H168+H169+H170+H171</f>
        <v>1783.01</v>
      </c>
      <c r="H173" s="74"/>
      <c r="J173" s="74">
        <f>K168+K169+K170+K171</f>
        <v>13729.23</v>
      </c>
      <c r="K173" s="74"/>
      <c r="L173" s="48">
        <f>Source!U105</f>
        <v>55.158971999999999</v>
      </c>
      <c r="O173" s="27">
        <f>G173</f>
        <v>1783.01</v>
      </c>
      <c r="P173" s="27">
        <f>J173</f>
        <v>13729.23</v>
      </c>
      <c r="Q173" s="27">
        <f>L173</f>
        <v>55.158971999999999</v>
      </c>
      <c r="W173">
        <f>IF(Source!BI105&lt;=1,H168+H169+H170+H171, 0)</f>
        <v>1783.01</v>
      </c>
      <c r="X173">
        <f>IF(Source!BI105=2,H168+H169+H170+H171, 0)</f>
        <v>0</v>
      </c>
      <c r="Y173">
        <f>IF(Source!BI105=3,H168+H169+H170+H171, 0)</f>
        <v>0</v>
      </c>
      <c r="Z173">
        <f>IF(Source!BI105=4,H168+H169+H170+H171, 0)</f>
        <v>0</v>
      </c>
    </row>
    <row r="174" spans="1:26" ht="42.75" x14ac:dyDescent="0.2">
      <c r="A174" s="51" t="str">
        <f>Source!E107</f>
        <v>15</v>
      </c>
      <c r="B174" s="52" t="str">
        <f>Source!F107</f>
        <v>т01-01-01-041</v>
      </c>
      <c r="C174" s="52" t="str">
        <f>Source!G107</f>
        <v>Погрузка при автомобильных перевозках мусора строительного с погрузкой вручную</v>
      </c>
      <c r="D174" s="33" t="str">
        <f>Source!H107</f>
        <v>1 Т ГРУЗА</v>
      </c>
      <c r="E174" s="12">
        <f>Source!I107</f>
        <v>58.01014</v>
      </c>
      <c r="F174" s="34">
        <f>Source!AK107</f>
        <v>42.98</v>
      </c>
      <c r="G174" s="35" t="str">
        <f>Source!DC107</f>
        <v/>
      </c>
      <c r="H174" s="36">
        <f>ROUND(Source!AB107*Source!I107, 2)</f>
        <v>2493.2800000000002</v>
      </c>
      <c r="I174" s="35" t="str">
        <f>Source!BO107</f>
        <v/>
      </c>
      <c r="J174" s="35">
        <f>Source!AZ107</f>
        <v>7.7</v>
      </c>
      <c r="K174" s="36">
        <f>Source!GM107</f>
        <v>19198.22</v>
      </c>
      <c r="L174" s="37"/>
      <c r="S174">
        <f>ROUND((Source!FX107/100)*((ROUND(0*Source!I107, 2)+ROUND(0*Source!I107, 2))), 2)</f>
        <v>0</v>
      </c>
      <c r="T174">
        <f>Source!X107</f>
        <v>0</v>
      </c>
      <c r="U174">
        <f>ROUND((Source!FY107/100)*((ROUND(0*Source!I107, 2)+ROUND(0*Source!I107, 2))), 2)</f>
        <v>0</v>
      </c>
      <c r="V174">
        <f>Source!Y107</f>
        <v>0</v>
      </c>
    </row>
    <row r="175" spans="1:26" x14ac:dyDescent="0.2">
      <c r="A175" s="28"/>
      <c r="B175" s="28"/>
      <c r="C175" s="29" t="str">
        <f>"Объем: "&amp;Source!I107&amp;"="&amp;Source!I27&amp;"+"&amp;""&amp;Source!I31&amp;"+"&amp;""&amp;Source!I35&amp;""</f>
        <v>Объем: 58,01014=3,81358+0,64416+53,5524</v>
      </c>
      <c r="D175" s="28"/>
      <c r="E175" s="28"/>
      <c r="F175" s="28"/>
      <c r="G175" s="28"/>
      <c r="H175" s="28"/>
      <c r="I175" s="28"/>
      <c r="J175" s="28"/>
      <c r="K175" s="28"/>
      <c r="L175" s="28"/>
    </row>
    <row r="176" spans="1:26" ht="15" x14ac:dyDescent="0.25">
      <c r="G176" s="74">
        <f>H174</f>
        <v>2493.2800000000002</v>
      </c>
      <c r="H176" s="74"/>
      <c r="J176" s="74">
        <f>K174</f>
        <v>19198.22</v>
      </c>
      <c r="K176" s="74"/>
      <c r="L176" s="48">
        <f>Source!U107</f>
        <v>0</v>
      </c>
      <c r="O176" s="27">
        <f>G176</f>
        <v>2493.2800000000002</v>
      </c>
      <c r="P176" s="27">
        <f>J176</f>
        <v>19198.22</v>
      </c>
      <c r="Q176" s="27">
        <f>L176</f>
        <v>0</v>
      </c>
      <c r="W176">
        <f>IF(Source!BI107&lt;=1,H174, 0)</f>
        <v>2493.2800000000002</v>
      </c>
      <c r="X176">
        <f>IF(Source!BI107=2,H174, 0)</f>
        <v>0</v>
      </c>
      <c r="Y176">
        <f>IF(Source!BI107=3,H174, 0)</f>
        <v>0</v>
      </c>
      <c r="Z176">
        <f>IF(Source!BI107=4,H174, 0)</f>
        <v>0</v>
      </c>
    </row>
    <row r="177" spans="1:26" ht="57" x14ac:dyDescent="0.2">
      <c r="A177" s="53" t="str">
        <f>Source!E109</f>
        <v>16</v>
      </c>
      <c r="B177" s="54" t="str">
        <f>Source!F109</f>
        <v>т03-01-01-050</v>
      </c>
      <c r="C177" s="54" t="str">
        <f>Source!G109</f>
        <v>Перевозка грузов I класса автомобилями бортовыми грузоподъемностью до 15 т на расстояние до 50 км</v>
      </c>
      <c r="D177" s="41" t="str">
        <f>Source!H109</f>
        <v>1 Т ГРУЗА</v>
      </c>
      <c r="E177" s="42">
        <f>Source!I109</f>
        <v>58.01014</v>
      </c>
      <c r="F177" s="43">
        <f>Source!AK109</f>
        <v>23.67</v>
      </c>
      <c r="G177" s="46" t="str">
        <f>Source!DC109</f>
        <v/>
      </c>
      <c r="H177" s="45">
        <f>ROUND(Source!AB109*Source!I109, 2)</f>
        <v>1373.1</v>
      </c>
      <c r="I177" s="46" t="str">
        <f>Source!BO109</f>
        <v/>
      </c>
      <c r="J177" s="46">
        <f>Source!AZ109</f>
        <v>7.7</v>
      </c>
      <c r="K177" s="45">
        <f>Source!GM109</f>
        <v>10572.87</v>
      </c>
      <c r="L177" s="47"/>
      <c r="S177">
        <f>ROUND((Source!FX109/100)*((ROUND(0*Source!I109, 2)+ROUND(0*Source!I109, 2))), 2)</f>
        <v>0</v>
      </c>
      <c r="T177">
        <f>Source!X109</f>
        <v>0</v>
      </c>
      <c r="U177">
        <f>ROUND((Source!FY109/100)*((ROUND(0*Source!I109, 2)+ROUND(0*Source!I109, 2))), 2)</f>
        <v>0</v>
      </c>
      <c r="V177">
        <f>Source!Y109</f>
        <v>0</v>
      </c>
    </row>
    <row r="178" spans="1:26" ht="15" x14ac:dyDescent="0.25">
      <c r="G178" s="74">
        <f>H177</f>
        <v>1373.1</v>
      </c>
      <c r="H178" s="74"/>
      <c r="J178" s="74">
        <f>K177</f>
        <v>10572.87</v>
      </c>
      <c r="K178" s="74"/>
      <c r="L178" s="48">
        <f>Source!U109</f>
        <v>0</v>
      </c>
      <c r="O178" s="27">
        <f>G178</f>
        <v>1373.1</v>
      </c>
      <c r="P178" s="27">
        <f>J178</f>
        <v>10572.87</v>
      </c>
      <c r="Q178" s="27">
        <f>L178</f>
        <v>0</v>
      </c>
      <c r="W178">
        <f>IF(Source!BI109&lt;=1,H177, 0)</f>
        <v>1373.1</v>
      </c>
      <c r="X178">
        <f>IF(Source!BI109=2,H177, 0)</f>
        <v>0</v>
      </c>
      <c r="Y178">
        <f>IF(Source!BI109=3,H177, 0)</f>
        <v>0</v>
      </c>
      <c r="Z178">
        <f>IF(Source!BI109=4,H177, 0)</f>
        <v>0</v>
      </c>
    </row>
    <row r="180" spans="1:26" ht="15" x14ac:dyDescent="0.25">
      <c r="A180" s="78" t="str">
        <f>CONCATENATE("Итого по локальной смете: ",IF(Source!G111&lt;&gt;"Новая локальная смета", Source!G111, ""))</f>
        <v xml:space="preserve">Итого по локальной смете: </v>
      </c>
      <c r="B180" s="78"/>
      <c r="C180" s="78"/>
      <c r="D180" s="78"/>
      <c r="E180" s="78"/>
      <c r="F180" s="78"/>
      <c r="G180" s="77">
        <f>SUM(O24:O179)</f>
        <v>525190.55999999994</v>
      </c>
      <c r="H180" s="77"/>
      <c r="I180" s="31"/>
      <c r="J180" s="77">
        <f>SUM(P24:P179)</f>
        <v>4045441.87</v>
      </c>
      <c r="K180" s="77"/>
      <c r="L180" s="48">
        <f>SUM(Q24:Q179)</f>
        <v>5052.810042000001</v>
      </c>
    </row>
    <row r="181" spans="1:26" ht="14.25" x14ac:dyDescent="0.2">
      <c r="C181" s="73" t="str">
        <f>Source!H140</f>
        <v>НДС 18%</v>
      </c>
      <c r="D181" s="73"/>
      <c r="E181" s="73"/>
      <c r="F181" s="73"/>
      <c r="G181" s="73"/>
      <c r="H181" s="73"/>
      <c r="I181" s="73"/>
      <c r="J181" s="64">
        <f>IF(Source!P140=0, "", Source!P140)</f>
        <v>728179.54</v>
      </c>
      <c r="K181" s="64"/>
    </row>
    <row r="182" spans="1:26" ht="14.25" x14ac:dyDescent="0.2">
      <c r="C182" s="73" t="str">
        <f>Source!H141</f>
        <v>Всего по смете</v>
      </c>
      <c r="D182" s="73"/>
      <c r="E182" s="73"/>
      <c r="F182" s="73"/>
      <c r="G182" s="73"/>
      <c r="H182" s="73"/>
      <c r="I182" s="73"/>
      <c r="J182" s="64">
        <f>IF(Source!P141=0, "", Source!P141)</f>
        <v>4773621.41</v>
      </c>
      <c r="K182" s="64"/>
    </row>
    <row r="185" spans="1:26" ht="14.25" x14ac:dyDescent="0.2">
      <c r="A185" s="30" t="s">
        <v>541</v>
      </c>
      <c r="B185" s="30"/>
      <c r="C185" s="57"/>
      <c r="D185" s="58"/>
      <c r="E185" s="58"/>
      <c r="F185" s="58"/>
      <c r="G185" s="58"/>
      <c r="H185" s="58"/>
      <c r="I185" s="13" t="str">
        <f>IF(Source!AB12&lt;&gt;"", Source!AB12," ")</f>
        <v xml:space="preserve"> </v>
      </c>
      <c r="J185" s="13"/>
      <c r="K185" s="13"/>
      <c r="L185" s="13"/>
    </row>
    <row r="186" spans="1:26" ht="14.25" x14ac:dyDescent="0.2">
      <c r="A186" s="13"/>
      <c r="B186" s="13"/>
      <c r="C186" s="57"/>
      <c r="D186" s="72"/>
      <c r="E186" s="72"/>
      <c r="F186" s="72"/>
      <c r="G186" s="72"/>
      <c r="H186" s="72"/>
      <c r="I186" s="13"/>
      <c r="J186" s="13"/>
      <c r="K186" s="13"/>
      <c r="L186" s="13"/>
    </row>
    <row r="187" spans="1:26" ht="14.25" x14ac:dyDescent="0.2">
      <c r="A187" s="13"/>
      <c r="B187" s="13"/>
      <c r="C187" s="57"/>
      <c r="D187" s="58"/>
      <c r="E187" s="58"/>
      <c r="F187" s="58"/>
      <c r="G187" s="58"/>
      <c r="H187" s="58"/>
      <c r="I187" s="13"/>
      <c r="J187" s="13"/>
      <c r="K187" s="13"/>
      <c r="L187" s="13"/>
    </row>
    <row r="188" spans="1:26" ht="14.25" x14ac:dyDescent="0.2">
      <c r="A188" s="30" t="s">
        <v>541</v>
      </c>
      <c r="B188" s="30"/>
      <c r="C188" s="57"/>
      <c r="D188" s="58"/>
      <c r="E188" s="58"/>
      <c r="F188" s="58"/>
      <c r="G188" s="58"/>
      <c r="H188" s="58"/>
      <c r="I188" s="13" t="str">
        <f>IF(Source!AD12&lt;&gt;"", Source!AD12," ")</f>
        <v xml:space="preserve"> </v>
      </c>
      <c r="J188" s="13"/>
      <c r="K188" s="13"/>
      <c r="L188" s="13"/>
    </row>
    <row r="189" spans="1:26" ht="14.25" x14ac:dyDescent="0.2">
      <c r="A189" s="13"/>
      <c r="B189" s="13"/>
      <c r="C189" s="58"/>
      <c r="D189" s="72"/>
      <c r="E189" s="72"/>
      <c r="F189" s="72"/>
      <c r="G189" s="72"/>
      <c r="H189" s="72"/>
      <c r="I189" s="13"/>
      <c r="J189" s="13"/>
      <c r="K189" s="13"/>
      <c r="L189" s="13"/>
    </row>
  </sheetData>
  <mergeCells count="88">
    <mergeCell ref="G121:H121"/>
    <mergeCell ref="G132:H132"/>
    <mergeCell ref="J173:K173"/>
    <mergeCell ref="G180:H180"/>
    <mergeCell ref="J180:K180"/>
    <mergeCell ref="F150:G150"/>
    <mergeCell ref="F149:G149"/>
    <mergeCell ref="J142:K142"/>
    <mergeCell ref="G142:H142"/>
    <mergeCell ref="F140:G140"/>
    <mergeCell ref="F139:G139"/>
    <mergeCell ref="J132:K132"/>
    <mergeCell ref="A180:F180"/>
    <mergeCell ref="J178:K178"/>
    <mergeCell ref="G178:H178"/>
    <mergeCell ref="D189:H189"/>
    <mergeCell ref="J176:K176"/>
    <mergeCell ref="G176:H176"/>
    <mergeCell ref="J41:K41"/>
    <mergeCell ref="G41:H41"/>
    <mergeCell ref="F80:G80"/>
    <mergeCell ref="J74:K74"/>
    <mergeCell ref="G74:H74"/>
    <mergeCell ref="F72:G72"/>
    <mergeCell ref="F71:G71"/>
    <mergeCell ref="J64:K64"/>
    <mergeCell ref="G64:H64"/>
    <mergeCell ref="F59:G59"/>
    <mergeCell ref="F58:G58"/>
    <mergeCell ref="J51:K51"/>
    <mergeCell ref="G51:H51"/>
    <mergeCell ref="C19:F19"/>
    <mergeCell ref="G19:H19"/>
    <mergeCell ref="I19:J19"/>
    <mergeCell ref="K19:L19"/>
    <mergeCell ref="A21:L21"/>
    <mergeCell ref="J83:K83"/>
    <mergeCell ref="G83:H83"/>
    <mergeCell ref="F81:G81"/>
    <mergeCell ref="C181:I181"/>
    <mergeCell ref="J181:K181"/>
    <mergeCell ref="F103:G103"/>
    <mergeCell ref="F102:G102"/>
    <mergeCell ref="J96:K96"/>
    <mergeCell ref="F91:G91"/>
    <mergeCell ref="F90:G90"/>
    <mergeCell ref="F114:G114"/>
    <mergeCell ref="F113:G113"/>
    <mergeCell ref="J107:K107"/>
    <mergeCell ref="G107:H107"/>
    <mergeCell ref="G96:H96"/>
    <mergeCell ref="J121:K121"/>
    <mergeCell ref="C18:F18"/>
    <mergeCell ref="G18:H18"/>
    <mergeCell ref="I18:J18"/>
    <mergeCell ref="K18:L18"/>
    <mergeCell ref="D186:H186"/>
    <mergeCell ref="C182:I182"/>
    <mergeCell ref="J182:K182"/>
    <mergeCell ref="J33:K33"/>
    <mergeCell ref="G33:H33"/>
    <mergeCell ref="G173:H173"/>
    <mergeCell ref="J166:K166"/>
    <mergeCell ref="G166:H166"/>
    <mergeCell ref="F161:G161"/>
    <mergeCell ref="F160:G160"/>
    <mergeCell ref="J154:K154"/>
    <mergeCell ref="G154:H154"/>
    <mergeCell ref="B8:K8"/>
    <mergeCell ref="B10:K10"/>
    <mergeCell ref="B12:K12"/>
    <mergeCell ref="B13:K13"/>
    <mergeCell ref="G15:H15"/>
    <mergeCell ref="I15:J15"/>
    <mergeCell ref="C16:F16"/>
    <mergeCell ref="G16:H16"/>
    <mergeCell ref="I16:J16"/>
    <mergeCell ref="K16:L16"/>
    <mergeCell ref="C17:F17"/>
    <mergeCell ref="G17:H17"/>
    <mergeCell ref="I17:J17"/>
    <mergeCell ref="K17:L17"/>
    <mergeCell ref="B6:E6"/>
    <mergeCell ref="H6:L6"/>
    <mergeCell ref="B3:E3"/>
    <mergeCell ref="H3:L3"/>
    <mergeCell ref="B5:E5"/>
    <mergeCell ref="H5:L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10"/>
  <sheetViews>
    <sheetView topLeftCell="A52" workbookViewId="0">
      <selection activeCell="G83" sqref="G8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204</v>
      </c>
      <c r="C12" s="1">
        <v>0</v>
      </c>
      <c r="D12" s="1">
        <f>ROW(A143)</f>
        <v>143</v>
      </c>
      <c r="E12" s="1">
        <v>0</v>
      </c>
      <c r="F12" s="1" t="s">
        <v>4</v>
      </c>
      <c r="G12" s="1" t="s">
        <v>544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B143</f>
        <v>204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на 4 кв 2017</v>
      </c>
      <c r="G18" s="3" t="str">
        <f t="shared" si="0"/>
        <v>На капитальный ремонт напольного покрытия коридоров со 2-го по  5-й этажи с установкой противопожарных перегородок коридоров с 1-го по 5-й этажи здания общежития НИЯУ МИФИ по адресу: г. Москва, ул. Москворечье, д. 19, к. 4</v>
      </c>
      <c r="H18" s="3"/>
      <c r="I18" s="3"/>
      <c r="J18" s="3"/>
      <c r="K18" s="3"/>
      <c r="L18" s="3"/>
      <c r="M18" s="3"/>
      <c r="N18" s="3"/>
      <c r="O18" s="3">
        <f t="shared" ref="O18:AT18" si="1">O143</f>
        <v>445751.13</v>
      </c>
      <c r="P18" s="3">
        <f t="shared" si="1"/>
        <v>394458.49</v>
      </c>
      <c r="Q18" s="3">
        <f t="shared" si="1"/>
        <v>6886.4</v>
      </c>
      <c r="R18" s="3">
        <f t="shared" si="1"/>
        <v>470.6</v>
      </c>
      <c r="S18" s="3">
        <f t="shared" si="1"/>
        <v>44406.239999999998</v>
      </c>
      <c r="T18" s="3">
        <f t="shared" si="1"/>
        <v>0</v>
      </c>
      <c r="U18" s="3">
        <f t="shared" si="1"/>
        <v>5052.810042000001</v>
      </c>
      <c r="V18" s="3">
        <f t="shared" si="1"/>
        <v>40.088525000000004</v>
      </c>
      <c r="W18" s="3">
        <f t="shared" si="1"/>
        <v>0</v>
      </c>
      <c r="X18" s="3">
        <f t="shared" si="1"/>
        <v>46754.49</v>
      </c>
      <c r="Y18" s="3">
        <f t="shared" si="1"/>
        <v>29010.05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525382.05000000005</v>
      </c>
      <c r="AS18" s="3">
        <f t="shared" si="1"/>
        <v>525382.05000000005</v>
      </c>
      <c r="AT18" s="3">
        <f t="shared" si="1"/>
        <v>0</v>
      </c>
      <c r="AU18" s="3">
        <f t="shared" ref="AU18:BZ18" si="2">AU143</f>
        <v>0</v>
      </c>
      <c r="AV18" s="3">
        <f t="shared" si="2"/>
        <v>394458.49</v>
      </c>
      <c r="AW18" s="3">
        <f t="shared" si="2"/>
        <v>394458.49</v>
      </c>
      <c r="AX18" s="3">
        <f t="shared" si="2"/>
        <v>0</v>
      </c>
      <c r="AY18" s="3">
        <f t="shared" si="2"/>
        <v>394458.49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CA143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DG143</f>
        <v>3432283.79</v>
      </c>
      <c r="DH18" s="4">
        <f t="shared" si="4"/>
        <v>3037330.38</v>
      </c>
      <c r="DI18" s="4">
        <f t="shared" si="4"/>
        <v>53025.31</v>
      </c>
      <c r="DJ18" s="4">
        <f t="shared" si="4"/>
        <v>3623.65</v>
      </c>
      <c r="DK18" s="4">
        <f t="shared" si="4"/>
        <v>341928.1</v>
      </c>
      <c r="DL18" s="4">
        <f t="shared" si="4"/>
        <v>0</v>
      </c>
      <c r="DM18" s="4">
        <f t="shared" si="4"/>
        <v>5052.810042000001</v>
      </c>
      <c r="DN18" s="4">
        <f t="shared" si="4"/>
        <v>40.088525000000004</v>
      </c>
      <c r="DO18" s="4">
        <f t="shared" si="4"/>
        <v>0</v>
      </c>
      <c r="DP18" s="4">
        <f t="shared" si="4"/>
        <v>360009.55</v>
      </c>
      <c r="DQ18" s="4">
        <f t="shared" si="4"/>
        <v>223377.44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4045441.87</v>
      </c>
      <c r="EK18" s="4">
        <f t="shared" si="4"/>
        <v>4045441.87</v>
      </c>
      <c r="EL18" s="4">
        <f t="shared" si="4"/>
        <v>0</v>
      </c>
      <c r="EM18" s="4">
        <f t="shared" ref="EM18:FR18" si="5">EM143</f>
        <v>0</v>
      </c>
      <c r="EN18" s="4">
        <f t="shared" si="5"/>
        <v>3037330.38</v>
      </c>
      <c r="EO18" s="4">
        <f t="shared" si="5"/>
        <v>3037330.38</v>
      </c>
      <c r="EP18" s="4">
        <f t="shared" si="5"/>
        <v>0</v>
      </c>
      <c r="EQ18" s="4">
        <f t="shared" si="5"/>
        <v>3037330.38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FS143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ROW(A111)</f>
        <v>111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B111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O111</f>
        <v>445751.13</v>
      </c>
      <c r="P22" s="3">
        <f t="shared" si="8"/>
        <v>394458.49</v>
      </c>
      <c r="Q22" s="3">
        <f t="shared" si="8"/>
        <v>6886.4</v>
      </c>
      <c r="R22" s="3">
        <f t="shared" si="8"/>
        <v>470.6</v>
      </c>
      <c r="S22" s="3">
        <f t="shared" si="8"/>
        <v>44406.239999999998</v>
      </c>
      <c r="T22" s="3">
        <f t="shared" si="8"/>
        <v>0</v>
      </c>
      <c r="U22" s="3">
        <f t="shared" si="8"/>
        <v>5052.810042000001</v>
      </c>
      <c r="V22" s="3">
        <f t="shared" si="8"/>
        <v>40.088525000000004</v>
      </c>
      <c r="W22" s="3">
        <f t="shared" si="8"/>
        <v>0</v>
      </c>
      <c r="X22" s="3">
        <f t="shared" si="8"/>
        <v>46754.49</v>
      </c>
      <c r="Y22" s="3">
        <f t="shared" si="8"/>
        <v>29010.05</v>
      </c>
      <c r="Z22" s="3">
        <f t="shared" si="8"/>
        <v>0</v>
      </c>
      <c r="AA22" s="3">
        <f t="shared" si="8"/>
        <v>0</v>
      </c>
      <c r="AB22" s="3">
        <f t="shared" si="8"/>
        <v>445751.13</v>
      </c>
      <c r="AC22" s="3">
        <f t="shared" si="8"/>
        <v>394458.49</v>
      </c>
      <c r="AD22" s="3">
        <f t="shared" si="8"/>
        <v>6886.4</v>
      </c>
      <c r="AE22" s="3">
        <f t="shared" si="8"/>
        <v>470.6</v>
      </c>
      <c r="AF22" s="3">
        <f t="shared" si="8"/>
        <v>44406.239999999998</v>
      </c>
      <c r="AG22" s="3">
        <f t="shared" si="8"/>
        <v>0</v>
      </c>
      <c r="AH22" s="3">
        <f t="shared" si="8"/>
        <v>5052.810042000001</v>
      </c>
      <c r="AI22" s="3">
        <f t="shared" si="8"/>
        <v>40.088525000000004</v>
      </c>
      <c r="AJ22" s="3">
        <f t="shared" si="8"/>
        <v>0</v>
      </c>
      <c r="AK22" s="3">
        <f t="shared" si="8"/>
        <v>46754.49</v>
      </c>
      <c r="AL22" s="3">
        <f t="shared" si="8"/>
        <v>29010.05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525382.05000000005</v>
      </c>
      <c r="AS22" s="3">
        <f t="shared" si="8"/>
        <v>525382.05000000005</v>
      </c>
      <c r="AT22" s="3">
        <f t="shared" si="8"/>
        <v>0</v>
      </c>
      <c r="AU22" s="3">
        <f t="shared" ref="AU22:BZ22" si="9">AU111</f>
        <v>0</v>
      </c>
      <c r="AV22" s="3">
        <f t="shared" si="9"/>
        <v>394458.49</v>
      </c>
      <c r="AW22" s="3">
        <f t="shared" si="9"/>
        <v>394458.49</v>
      </c>
      <c r="AX22" s="3">
        <f t="shared" si="9"/>
        <v>0</v>
      </c>
      <c r="AY22" s="3">
        <f t="shared" si="9"/>
        <v>394458.49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CA111</f>
        <v>525382.05000000005</v>
      </c>
      <c r="CB22" s="3">
        <f t="shared" si="10"/>
        <v>525382.05000000005</v>
      </c>
      <c r="CC22" s="3">
        <f t="shared" si="10"/>
        <v>0</v>
      </c>
      <c r="CD22" s="3">
        <f t="shared" si="10"/>
        <v>0</v>
      </c>
      <c r="CE22" s="3">
        <f t="shared" si="10"/>
        <v>394458.49</v>
      </c>
      <c r="CF22" s="3">
        <f t="shared" si="10"/>
        <v>394458.49</v>
      </c>
      <c r="CG22" s="3">
        <f t="shared" si="10"/>
        <v>0</v>
      </c>
      <c r="CH22" s="3">
        <f t="shared" si="10"/>
        <v>394458.49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DG111</f>
        <v>3432283.79</v>
      </c>
      <c r="DH22" s="4">
        <f t="shared" si="11"/>
        <v>3037330.38</v>
      </c>
      <c r="DI22" s="4">
        <f t="shared" si="11"/>
        <v>53025.31</v>
      </c>
      <c r="DJ22" s="4">
        <f t="shared" si="11"/>
        <v>3623.65</v>
      </c>
      <c r="DK22" s="4">
        <f t="shared" si="11"/>
        <v>341928.1</v>
      </c>
      <c r="DL22" s="4">
        <f t="shared" si="11"/>
        <v>0</v>
      </c>
      <c r="DM22" s="4">
        <f t="shared" si="11"/>
        <v>5052.810042000001</v>
      </c>
      <c r="DN22" s="4">
        <f t="shared" si="11"/>
        <v>40.088525000000004</v>
      </c>
      <c r="DO22" s="4">
        <f t="shared" si="11"/>
        <v>0</v>
      </c>
      <c r="DP22" s="4">
        <f t="shared" si="11"/>
        <v>360009.55</v>
      </c>
      <c r="DQ22" s="4">
        <f t="shared" si="11"/>
        <v>223377.44</v>
      </c>
      <c r="DR22" s="4">
        <f t="shared" si="11"/>
        <v>0</v>
      </c>
      <c r="DS22" s="4">
        <f t="shared" si="11"/>
        <v>0</v>
      </c>
      <c r="DT22" s="4">
        <f t="shared" si="11"/>
        <v>3432283.79</v>
      </c>
      <c r="DU22" s="4">
        <f t="shared" si="11"/>
        <v>3037330.38</v>
      </c>
      <c r="DV22" s="4">
        <f t="shared" si="11"/>
        <v>53025.31</v>
      </c>
      <c r="DW22" s="4">
        <f t="shared" si="11"/>
        <v>3623.65</v>
      </c>
      <c r="DX22" s="4">
        <f t="shared" si="11"/>
        <v>341928.1</v>
      </c>
      <c r="DY22" s="4">
        <f t="shared" si="11"/>
        <v>0</v>
      </c>
      <c r="DZ22" s="4">
        <f t="shared" si="11"/>
        <v>5052.810042000001</v>
      </c>
      <c r="EA22" s="4">
        <f t="shared" si="11"/>
        <v>40.088525000000004</v>
      </c>
      <c r="EB22" s="4">
        <f t="shared" si="11"/>
        <v>0</v>
      </c>
      <c r="EC22" s="4">
        <f t="shared" si="11"/>
        <v>360009.55</v>
      </c>
      <c r="ED22" s="4">
        <f t="shared" si="11"/>
        <v>223377.44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4045441.87</v>
      </c>
      <c r="EK22" s="4">
        <f t="shared" si="11"/>
        <v>4045441.87</v>
      </c>
      <c r="EL22" s="4">
        <f t="shared" si="11"/>
        <v>0</v>
      </c>
      <c r="EM22" s="4">
        <f t="shared" ref="EM22:FR22" si="12">EM111</f>
        <v>0</v>
      </c>
      <c r="EN22" s="4">
        <f t="shared" si="12"/>
        <v>3037330.38</v>
      </c>
      <c r="EO22" s="4">
        <f t="shared" si="12"/>
        <v>3037330.38</v>
      </c>
      <c r="EP22" s="4">
        <f t="shared" si="12"/>
        <v>0</v>
      </c>
      <c r="EQ22" s="4">
        <f t="shared" si="12"/>
        <v>3037330.38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FS111</f>
        <v>4045441.87</v>
      </c>
      <c r="FT22" s="4">
        <f t="shared" si="13"/>
        <v>4045441.87</v>
      </c>
      <c r="FU22" s="4">
        <f t="shared" si="13"/>
        <v>0</v>
      </c>
      <c r="FV22" s="4">
        <f t="shared" si="13"/>
        <v>0</v>
      </c>
      <c r="FW22" s="4">
        <f t="shared" si="13"/>
        <v>3037330.38</v>
      </c>
      <c r="FX22" s="4">
        <f t="shared" si="13"/>
        <v>3037330.38</v>
      </c>
      <c r="FY22" s="4">
        <f t="shared" si="13"/>
        <v>0</v>
      </c>
      <c r="FZ22" s="4">
        <f t="shared" si="13"/>
        <v>3037330.38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ROW(SmtRes!A4)</f>
        <v>4</v>
      </c>
      <c r="D24" s="2">
        <f>ROW(EtalonRes!A4)</f>
        <v>4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ROUND(811.4/100,9)</f>
        <v>8.1140000000000008</v>
      </c>
      <c r="J24" s="2">
        <v>0</v>
      </c>
      <c r="K24" s="2"/>
      <c r="L24" s="2"/>
      <c r="M24" s="2"/>
      <c r="N24" s="2"/>
      <c r="O24" s="2">
        <f t="shared" ref="O24:O55" si="14">ROUND(CP24,2)</f>
        <v>753.79</v>
      </c>
      <c r="P24" s="2">
        <f t="shared" ref="P24:P55" si="15">ROUND(CQ24*I24,2)</f>
        <v>0</v>
      </c>
      <c r="Q24" s="2">
        <f t="shared" ref="Q24:Q55" si="16">ROUND(CR24*I24,2)</f>
        <v>32.94</v>
      </c>
      <c r="R24" s="2">
        <f t="shared" ref="R24:R55" si="17">ROUND(CS24*I24,2)</f>
        <v>14.28</v>
      </c>
      <c r="S24" s="2">
        <f t="shared" ref="S24:S55" si="18">ROUND(CT24*I24,2)</f>
        <v>720.85</v>
      </c>
      <c r="T24" s="2">
        <f t="shared" ref="T24:T55" si="19">ROUND(CU24*I24,2)</f>
        <v>0</v>
      </c>
      <c r="U24" s="2">
        <f t="shared" ref="U24:U55" si="20">CV24*I24</f>
        <v>92.41846000000001</v>
      </c>
      <c r="V24" s="2">
        <f t="shared" ref="V24:V55" si="21">CW24*I24</f>
        <v>1.0548200000000001</v>
      </c>
      <c r="W24" s="2">
        <f t="shared" ref="W24:W55" si="22">ROUND(CX24*I24,2)</f>
        <v>0</v>
      </c>
      <c r="X24" s="2">
        <f t="shared" ref="X24:X55" si="23">ROUND(CY24,2)</f>
        <v>588.1</v>
      </c>
      <c r="Y24" s="2">
        <f t="shared" ref="Y24:Y55" si="24">ROUND(CZ24,2)</f>
        <v>499.89</v>
      </c>
      <c r="Z24" s="2"/>
      <c r="AA24" s="2">
        <v>26914188</v>
      </c>
      <c r="AB24" s="2">
        <f t="shared" ref="AB24:AB55" si="25">ROUND((AC24+AD24+AF24),6)</f>
        <v>92.9</v>
      </c>
      <c r="AC24" s="2">
        <f t="shared" ref="AC24:AC45" si="26">ROUND((ES24),6)</f>
        <v>0</v>
      </c>
      <c r="AD24" s="2">
        <f t="shared" ref="AD24:AD35" si="27">ROUND((((ET24)-(EU24))+AE24),6)</f>
        <v>4.0599999999999996</v>
      </c>
      <c r="AE24" s="2">
        <f t="shared" ref="AE24:AE35" si="28">ROUND((EU24),6)</f>
        <v>1.76</v>
      </c>
      <c r="AF24" s="2">
        <f t="shared" ref="AF24:AF35" si="29">ROUND((EV24),6)</f>
        <v>88.84</v>
      </c>
      <c r="AG24" s="2">
        <f t="shared" ref="AG24:AG55" si="30">ROUND((AP24),6)</f>
        <v>0</v>
      </c>
      <c r="AH24" s="2">
        <f t="shared" ref="AH24:AH35" si="31">(EW24)</f>
        <v>11.39</v>
      </c>
      <c r="AI24" s="2">
        <f t="shared" ref="AI24:AI35" si="32">(EX24)</f>
        <v>0.13</v>
      </c>
      <c r="AJ24" s="2">
        <f t="shared" ref="AJ24:AJ55" si="33">ROUND((AS24),6)</f>
        <v>0</v>
      </c>
      <c r="AK24" s="2">
        <v>92.9</v>
      </c>
      <c r="AL24" s="2">
        <v>0</v>
      </c>
      <c r="AM24" s="2">
        <v>4.0599999999999996</v>
      </c>
      <c r="AN24" s="2">
        <v>1.76</v>
      </c>
      <c r="AO24" s="2">
        <v>88.84</v>
      </c>
      <c r="AP24" s="2">
        <v>0</v>
      </c>
      <c r="AQ24" s="2">
        <v>11.39</v>
      </c>
      <c r="AR24" s="2">
        <v>0.13</v>
      </c>
      <c r="AS24" s="2">
        <v>0</v>
      </c>
      <c r="AT24" s="2">
        <v>80</v>
      </c>
      <c r="AU24" s="2">
        <v>68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57001</v>
      </c>
      <c r="BN24" s="2">
        <v>0</v>
      </c>
      <c r="BO24" s="2" t="s">
        <v>6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80</v>
      </c>
      <c r="CA24" s="2">
        <v>68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5" si="34">(P24+Q24+S24)</f>
        <v>753.79</v>
      </c>
      <c r="CQ24" s="2">
        <f t="shared" ref="CQ24:CQ55" si="35">AC24*BC24</f>
        <v>0</v>
      </c>
      <c r="CR24" s="2">
        <f t="shared" ref="CR24:CR55" si="36">AD24*BB24</f>
        <v>4.0599999999999996</v>
      </c>
      <c r="CS24" s="2">
        <f t="shared" ref="CS24:CS55" si="37">AE24*BS24</f>
        <v>1.76</v>
      </c>
      <c r="CT24" s="2">
        <f t="shared" ref="CT24:CT55" si="38">AF24*BA24</f>
        <v>88.84</v>
      </c>
      <c r="CU24" s="2">
        <f t="shared" ref="CU24:CU55" si="39">AG24</f>
        <v>0</v>
      </c>
      <c r="CV24" s="2">
        <f t="shared" ref="CV24:CV55" si="40">AH24</f>
        <v>11.39</v>
      </c>
      <c r="CW24" s="2">
        <f t="shared" ref="CW24:CW55" si="41">AI24</f>
        <v>0.13</v>
      </c>
      <c r="CX24" s="2">
        <f t="shared" ref="CX24:CX55" si="42">AJ24</f>
        <v>0</v>
      </c>
      <c r="CY24" s="2">
        <f t="shared" ref="CY24:CY55" si="43">(((S24+R24)*AT24)/100)</f>
        <v>588.10400000000004</v>
      </c>
      <c r="CZ24" s="2">
        <f t="shared" ref="CZ24:CZ55" si="44">(((S24+R24)*AU24)/100)</f>
        <v>499.88839999999999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26549139</v>
      </c>
      <c r="EF24" s="2">
        <v>6</v>
      </c>
      <c r="EG24" s="2" t="s">
        <v>18</v>
      </c>
      <c r="EH24" s="2">
        <v>0</v>
      </c>
      <c r="EI24" s="2" t="s">
        <v>6</v>
      </c>
      <c r="EJ24" s="2">
        <v>1</v>
      </c>
      <c r="EK24" s="2">
        <v>57001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92.9</v>
      </c>
      <c r="ES24" s="2">
        <v>0</v>
      </c>
      <c r="ET24" s="2">
        <v>4.0599999999999996</v>
      </c>
      <c r="EU24" s="2">
        <v>1.76</v>
      </c>
      <c r="EV24" s="2">
        <v>88.84</v>
      </c>
      <c r="EW24" s="2">
        <v>11.39</v>
      </c>
      <c r="EX24" s="2">
        <v>0.13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5">ROUND(IF(AND(BH24=3,BI24=3),P24,0),2)</f>
        <v>0</v>
      </c>
      <c r="FS24" s="2">
        <v>0</v>
      </c>
      <c r="FT24" s="2"/>
      <c r="FU24" s="2"/>
      <c r="FV24" s="2"/>
      <c r="FW24" s="2"/>
      <c r="FX24" s="2">
        <v>80</v>
      </c>
      <c r="FY24" s="2">
        <v>68</v>
      </c>
      <c r="FZ24" s="2"/>
      <c r="GA24" s="2" t="s">
        <v>6</v>
      </c>
      <c r="GB24" s="2"/>
      <c r="GC24" s="2"/>
      <c r="GD24" s="2">
        <v>0</v>
      </c>
      <c r="GE24" s="2"/>
      <c r="GF24" s="2">
        <v>-1228944231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6">ROUND(IF(AND(BH24=3,BI24=3,FS24&lt;&gt;0),P24,0),2)</f>
        <v>0</v>
      </c>
      <c r="GM24" s="2">
        <f t="shared" ref="GM24:GM55" si="47">ROUND(O24+X24+Y24+GK24,2)+GX24</f>
        <v>1841.78</v>
      </c>
      <c r="GN24" s="2">
        <f t="shared" ref="GN24:GN55" si="48">IF(OR(BI24=0,BI24=1),ROUND(O24+X24+Y24+GK24,2),0)</f>
        <v>1841.78</v>
      </c>
      <c r="GO24" s="2">
        <f t="shared" ref="GO24:GO55" si="49">IF(BI24=2,ROUND(O24+X24+Y24+GK24,2),0)</f>
        <v>0</v>
      </c>
      <c r="GP24" s="2">
        <f t="shared" ref="GP24:GP55" si="50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51">ROUND(GT24,6)</f>
        <v>0</v>
      </c>
      <c r="GW24" s="2">
        <v>1</v>
      </c>
      <c r="GX24" s="2">
        <f t="shared" ref="GX24:GX55" si="52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ROW(SmtRes!A8)</f>
        <v>8</v>
      </c>
      <c r="D25">
        <f>ROW(EtalonRes!A8)</f>
        <v>8</v>
      </c>
      <c r="E25" t="s">
        <v>13</v>
      </c>
      <c r="F25" t="s">
        <v>14</v>
      </c>
      <c r="G25" t="s">
        <v>15</v>
      </c>
      <c r="H25" t="s">
        <v>16</v>
      </c>
      <c r="I25">
        <f>ROUND(811.4/100,9)</f>
        <v>8.1140000000000008</v>
      </c>
      <c r="J25">
        <v>0</v>
      </c>
      <c r="O25">
        <f t="shared" si="14"/>
        <v>5804.19</v>
      </c>
      <c r="P25">
        <f t="shared" si="15"/>
        <v>0</v>
      </c>
      <c r="Q25">
        <f t="shared" si="16"/>
        <v>253.66</v>
      </c>
      <c r="R25">
        <f t="shared" si="17"/>
        <v>109.96</v>
      </c>
      <c r="S25">
        <f t="shared" si="18"/>
        <v>5550.53</v>
      </c>
      <c r="T25">
        <f t="shared" si="19"/>
        <v>0</v>
      </c>
      <c r="U25">
        <f t="shared" si="20"/>
        <v>92.41846000000001</v>
      </c>
      <c r="V25">
        <f t="shared" si="21"/>
        <v>1.0548200000000001</v>
      </c>
      <c r="W25">
        <f t="shared" si="22"/>
        <v>0</v>
      </c>
      <c r="X25">
        <f t="shared" si="23"/>
        <v>4528.3900000000003</v>
      </c>
      <c r="Y25">
        <f t="shared" si="24"/>
        <v>3849.13</v>
      </c>
      <c r="AA25">
        <v>26914189</v>
      </c>
      <c r="AB25">
        <f t="shared" si="25"/>
        <v>92.9</v>
      </c>
      <c r="AC25">
        <f t="shared" si="26"/>
        <v>0</v>
      </c>
      <c r="AD25">
        <f t="shared" si="27"/>
        <v>4.0599999999999996</v>
      </c>
      <c r="AE25">
        <f t="shared" si="28"/>
        <v>1.76</v>
      </c>
      <c r="AF25">
        <f t="shared" si="29"/>
        <v>88.84</v>
      </c>
      <c r="AG25">
        <f t="shared" si="30"/>
        <v>0</v>
      </c>
      <c r="AH25">
        <f t="shared" si="31"/>
        <v>11.39</v>
      </c>
      <c r="AI25">
        <f t="shared" si="32"/>
        <v>0.13</v>
      </c>
      <c r="AJ25">
        <f t="shared" si="33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7.7</v>
      </c>
      <c r="BA25">
        <v>7.7</v>
      </c>
      <c r="BB25">
        <v>7.7</v>
      </c>
      <c r="BC25">
        <v>7.7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57001</v>
      </c>
      <c r="BN25">
        <v>0</v>
      </c>
      <c r="BO25" t="s">
        <v>6</v>
      </c>
      <c r="BP25">
        <v>0</v>
      </c>
      <c r="BQ25">
        <v>6</v>
      </c>
      <c r="BR25">
        <v>0</v>
      </c>
      <c r="BS25">
        <v>7.7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4"/>
        <v>5804.19</v>
      </c>
      <c r="CQ25">
        <f t="shared" si="35"/>
        <v>0</v>
      </c>
      <c r="CR25">
        <f t="shared" si="36"/>
        <v>31.261999999999997</v>
      </c>
      <c r="CS25">
        <f t="shared" si="37"/>
        <v>13.552</v>
      </c>
      <c r="CT25">
        <f t="shared" si="38"/>
        <v>684.0680000000001</v>
      </c>
      <c r="CU25">
        <f t="shared" si="39"/>
        <v>0</v>
      </c>
      <c r="CV25">
        <f t="shared" si="40"/>
        <v>11.39</v>
      </c>
      <c r="CW25">
        <f t="shared" si="41"/>
        <v>0.13</v>
      </c>
      <c r="CX25">
        <f t="shared" si="42"/>
        <v>0</v>
      </c>
      <c r="CY25">
        <f t="shared" si="43"/>
        <v>4528.3919999999998</v>
      </c>
      <c r="CZ25">
        <f t="shared" si="44"/>
        <v>3849.1332000000002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26549139</v>
      </c>
      <c r="EF25">
        <v>6</v>
      </c>
      <c r="EG25" t="s">
        <v>18</v>
      </c>
      <c r="EH25">
        <v>0</v>
      </c>
      <c r="EI25" t="s">
        <v>6</v>
      </c>
      <c r="EJ25">
        <v>1</v>
      </c>
      <c r="EK25">
        <v>57001</v>
      </c>
      <c r="EL25" t="s">
        <v>19</v>
      </c>
      <c r="EM25" t="s">
        <v>20</v>
      </c>
      <c r="EO25" t="s">
        <v>6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45"/>
        <v>0</v>
      </c>
      <c r="FS25">
        <v>0</v>
      </c>
      <c r="FX25">
        <v>80</v>
      </c>
      <c r="FY25">
        <v>68</v>
      </c>
      <c r="GA25" t="s">
        <v>6</v>
      </c>
      <c r="GD25">
        <v>0</v>
      </c>
      <c r="GF25">
        <v>-1228944231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6"/>
        <v>0</v>
      </c>
      <c r="GM25">
        <f t="shared" si="47"/>
        <v>14181.71</v>
      </c>
      <c r="GN25">
        <f t="shared" si="48"/>
        <v>14181.71</v>
      </c>
      <c r="GO25">
        <f t="shared" si="49"/>
        <v>0</v>
      </c>
      <c r="GP25">
        <f t="shared" si="50"/>
        <v>0</v>
      </c>
      <c r="GR25">
        <v>0</v>
      </c>
      <c r="GS25">
        <v>3</v>
      </c>
      <c r="GT25">
        <v>0</v>
      </c>
      <c r="GU25" t="s">
        <v>6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55" x14ac:dyDescent="0.2">
      <c r="A26" s="2">
        <v>18</v>
      </c>
      <c r="B26" s="2">
        <v>1</v>
      </c>
      <c r="C26" s="2">
        <v>4</v>
      </c>
      <c r="D26" s="2"/>
      <c r="E26" s="2" t="s">
        <v>21</v>
      </c>
      <c r="F26" s="2" t="s">
        <v>22</v>
      </c>
      <c r="G26" s="2" t="s">
        <v>23</v>
      </c>
      <c r="H26" s="2" t="s">
        <v>24</v>
      </c>
      <c r="I26" s="2">
        <f>I24*J26</f>
        <v>3.81358</v>
      </c>
      <c r="J26" s="2">
        <v>0.47</v>
      </c>
      <c r="K26" s="2"/>
      <c r="L26" s="2"/>
      <c r="M26" s="2"/>
      <c r="N26" s="2"/>
      <c r="O26" s="2">
        <f t="shared" si="14"/>
        <v>0</v>
      </c>
      <c r="P26" s="2">
        <f t="shared" si="15"/>
        <v>0</v>
      </c>
      <c r="Q26" s="2">
        <f t="shared" si="16"/>
        <v>0</v>
      </c>
      <c r="R26" s="2">
        <f t="shared" si="17"/>
        <v>0</v>
      </c>
      <c r="S26" s="2">
        <f t="shared" si="18"/>
        <v>0</v>
      </c>
      <c r="T26" s="2">
        <f t="shared" si="19"/>
        <v>0</v>
      </c>
      <c r="U26" s="2">
        <f t="shared" si="20"/>
        <v>0</v>
      </c>
      <c r="V26" s="2">
        <f t="shared" si="21"/>
        <v>0</v>
      </c>
      <c r="W26" s="2">
        <f t="shared" si="22"/>
        <v>0</v>
      </c>
      <c r="X26" s="2">
        <f t="shared" si="23"/>
        <v>0</v>
      </c>
      <c r="Y26" s="2">
        <f t="shared" si="24"/>
        <v>0</v>
      </c>
      <c r="Z26" s="2"/>
      <c r="AA26" s="2">
        <v>26914188</v>
      </c>
      <c r="AB26" s="2">
        <f t="shared" si="25"/>
        <v>0</v>
      </c>
      <c r="AC26" s="2">
        <f t="shared" si="26"/>
        <v>0</v>
      </c>
      <c r="AD26" s="2">
        <f t="shared" si="27"/>
        <v>0</v>
      </c>
      <c r="AE26" s="2">
        <f t="shared" si="28"/>
        <v>0</v>
      </c>
      <c r="AF26" s="2">
        <f t="shared" si="29"/>
        <v>0</v>
      </c>
      <c r="AG26" s="2">
        <f t="shared" si="30"/>
        <v>0</v>
      </c>
      <c r="AH26" s="2">
        <f t="shared" si="31"/>
        <v>0</v>
      </c>
      <c r="AI26" s="2">
        <f t="shared" si="32"/>
        <v>0</v>
      </c>
      <c r="AJ26" s="2">
        <f t="shared" si="33"/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80</v>
      </c>
      <c r="AU26" s="2">
        <v>68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3</v>
      </c>
      <c r="BI26" s="2">
        <v>1</v>
      </c>
      <c r="BJ26" s="2" t="s">
        <v>6</v>
      </c>
      <c r="BK26" s="2"/>
      <c r="BL26" s="2"/>
      <c r="BM26" s="2">
        <v>57001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80</v>
      </c>
      <c r="CA26" s="2">
        <v>68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4"/>
        <v>0</v>
      </c>
      <c r="CQ26" s="2">
        <f t="shared" si="35"/>
        <v>0</v>
      </c>
      <c r="CR26" s="2">
        <f t="shared" si="36"/>
        <v>0</v>
      </c>
      <c r="CS26" s="2">
        <f t="shared" si="37"/>
        <v>0</v>
      </c>
      <c r="CT26" s="2">
        <f t="shared" si="38"/>
        <v>0</v>
      </c>
      <c r="CU26" s="2">
        <f t="shared" si="39"/>
        <v>0</v>
      </c>
      <c r="CV26" s="2">
        <f t="shared" si="40"/>
        <v>0</v>
      </c>
      <c r="CW26" s="2">
        <f t="shared" si="41"/>
        <v>0</v>
      </c>
      <c r="CX26" s="2">
        <f t="shared" si="42"/>
        <v>0</v>
      </c>
      <c r="CY26" s="2">
        <f t="shared" si="43"/>
        <v>0</v>
      </c>
      <c r="CZ26" s="2">
        <f t="shared" si="44"/>
        <v>0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1009</v>
      </c>
      <c r="DV26" s="2" t="s">
        <v>24</v>
      </c>
      <c r="DW26" s="2" t="s">
        <v>24</v>
      </c>
      <c r="DX26" s="2">
        <v>1000</v>
      </c>
      <c r="DY26" s="2"/>
      <c r="DZ26" s="2"/>
      <c r="EA26" s="2"/>
      <c r="EB26" s="2"/>
      <c r="EC26" s="2"/>
      <c r="ED26" s="2"/>
      <c r="EE26" s="2">
        <v>26549139</v>
      </c>
      <c r="EF26" s="2">
        <v>6</v>
      </c>
      <c r="EG26" s="2" t="s">
        <v>18</v>
      </c>
      <c r="EH26" s="2">
        <v>0</v>
      </c>
      <c r="EI26" s="2" t="s">
        <v>6</v>
      </c>
      <c r="EJ26" s="2">
        <v>1</v>
      </c>
      <c r="EK26" s="2">
        <v>57001</v>
      </c>
      <c r="EL26" s="2" t="s">
        <v>19</v>
      </c>
      <c r="EM26" s="2" t="s">
        <v>20</v>
      </c>
      <c r="EN26" s="2"/>
      <c r="EO26" s="2" t="s">
        <v>6</v>
      </c>
      <c r="EP26" s="2"/>
      <c r="EQ26" s="2">
        <v>0</v>
      </c>
      <c r="ER26" s="2">
        <v>0</v>
      </c>
      <c r="ES26" s="2">
        <v>0</v>
      </c>
      <c r="ET26" s="2">
        <v>0</v>
      </c>
      <c r="EU26" s="2">
        <v>0</v>
      </c>
      <c r="EV26" s="2">
        <v>0</v>
      </c>
      <c r="EW26" s="2">
        <v>0</v>
      </c>
      <c r="EX26" s="2">
        <v>0</v>
      </c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5"/>
        <v>0</v>
      </c>
      <c r="FS26" s="2">
        <v>0</v>
      </c>
      <c r="FT26" s="2"/>
      <c r="FU26" s="2"/>
      <c r="FV26" s="2"/>
      <c r="FW26" s="2"/>
      <c r="FX26" s="2">
        <v>80</v>
      </c>
      <c r="FY26" s="2">
        <v>68</v>
      </c>
      <c r="FZ26" s="2"/>
      <c r="GA26" s="2" t="s">
        <v>6</v>
      </c>
      <c r="GB26" s="2"/>
      <c r="GC26" s="2"/>
      <c r="GD26" s="2">
        <v>0</v>
      </c>
      <c r="GE26" s="2"/>
      <c r="GF26" s="2">
        <v>-179832266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6"/>
        <v>0</v>
      </c>
      <c r="GM26" s="2">
        <f t="shared" si="47"/>
        <v>0</v>
      </c>
      <c r="GN26" s="2">
        <f t="shared" si="48"/>
        <v>0</v>
      </c>
      <c r="GO26" s="2">
        <f t="shared" si="49"/>
        <v>0</v>
      </c>
      <c r="GP26" s="2">
        <f t="shared" si="50"/>
        <v>0</v>
      </c>
      <c r="GQ26" s="2"/>
      <c r="GR26" s="2">
        <v>0</v>
      </c>
      <c r="GS26" s="2">
        <v>0</v>
      </c>
      <c r="GT26" s="2">
        <v>0</v>
      </c>
      <c r="GU26" s="2" t="s">
        <v>6</v>
      </c>
      <c r="GV26" s="2">
        <f t="shared" si="51"/>
        <v>0</v>
      </c>
      <c r="GW26" s="2">
        <v>1</v>
      </c>
      <c r="GX26" s="2">
        <f t="shared" si="52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18</v>
      </c>
      <c r="B27">
        <v>1</v>
      </c>
      <c r="C27">
        <v>8</v>
      </c>
      <c r="E27" t="s">
        <v>21</v>
      </c>
      <c r="F27" t="s">
        <v>22</v>
      </c>
      <c r="G27" t="s">
        <v>23</v>
      </c>
      <c r="H27" t="s">
        <v>24</v>
      </c>
      <c r="I27">
        <f>I25*J27</f>
        <v>3.81358</v>
      </c>
      <c r="J27">
        <v>0.47</v>
      </c>
      <c r="O27">
        <f t="shared" si="14"/>
        <v>0</v>
      </c>
      <c r="P27">
        <f t="shared" si="15"/>
        <v>0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4"/>
        <v>0</v>
      </c>
      <c r="AA27">
        <v>26914189</v>
      </c>
      <c r="AB27">
        <f t="shared" si="25"/>
        <v>0</v>
      </c>
      <c r="AC27">
        <f t="shared" si="26"/>
        <v>0</v>
      </c>
      <c r="AD27">
        <f t="shared" si="27"/>
        <v>0</v>
      </c>
      <c r="AE27">
        <f t="shared" si="28"/>
        <v>0</v>
      </c>
      <c r="AF27">
        <f t="shared" si="29"/>
        <v>0</v>
      </c>
      <c r="AG27">
        <f t="shared" si="30"/>
        <v>0</v>
      </c>
      <c r="AH27">
        <f t="shared" si="31"/>
        <v>0</v>
      </c>
      <c r="AI27">
        <f t="shared" si="32"/>
        <v>0</v>
      </c>
      <c r="AJ27">
        <f t="shared" si="33"/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80</v>
      </c>
      <c r="AU27">
        <v>68</v>
      </c>
      <c r="AV27">
        <v>1</v>
      </c>
      <c r="AW27">
        <v>1</v>
      </c>
      <c r="AZ27">
        <v>7.7</v>
      </c>
      <c r="BA27">
        <v>1</v>
      </c>
      <c r="BB27">
        <v>1</v>
      </c>
      <c r="BC27">
        <v>7.7</v>
      </c>
      <c r="BD27" t="s">
        <v>6</v>
      </c>
      <c r="BE27" t="s">
        <v>6</v>
      </c>
      <c r="BF27" t="s">
        <v>6</v>
      </c>
      <c r="BG27" t="s">
        <v>6</v>
      </c>
      <c r="BH27">
        <v>3</v>
      </c>
      <c r="BI27">
        <v>1</v>
      </c>
      <c r="BJ27" t="s">
        <v>6</v>
      </c>
      <c r="BM27">
        <v>57001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80</v>
      </c>
      <c r="CA27">
        <v>68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4"/>
        <v>0</v>
      </c>
      <c r="CQ27">
        <f t="shared" si="35"/>
        <v>0</v>
      </c>
      <c r="CR27">
        <f t="shared" si="36"/>
        <v>0</v>
      </c>
      <c r="CS27">
        <f t="shared" si="37"/>
        <v>0</v>
      </c>
      <c r="CT27">
        <f t="shared" si="38"/>
        <v>0</v>
      </c>
      <c r="CU27">
        <f t="shared" si="39"/>
        <v>0</v>
      </c>
      <c r="CV27">
        <f t="shared" si="40"/>
        <v>0</v>
      </c>
      <c r="CW27">
        <f t="shared" si="41"/>
        <v>0</v>
      </c>
      <c r="CX27">
        <f t="shared" si="42"/>
        <v>0</v>
      </c>
      <c r="CY27">
        <f t="shared" si="43"/>
        <v>0</v>
      </c>
      <c r="CZ27">
        <f t="shared" si="44"/>
        <v>0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1009</v>
      </c>
      <c r="DV27" t="s">
        <v>24</v>
      </c>
      <c r="DW27" t="s">
        <v>24</v>
      </c>
      <c r="DX27">
        <v>1000</v>
      </c>
      <c r="EE27">
        <v>26549139</v>
      </c>
      <c r="EF27">
        <v>6</v>
      </c>
      <c r="EG27" t="s">
        <v>18</v>
      </c>
      <c r="EH27">
        <v>0</v>
      </c>
      <c r="EI27" t="s">
        <v>6</v>
      </c>
      <c r="EJ27">
        <v>1</v>
      </c>
      <c r="EK27">
        <v>57001</v>
      </c>
      <c r="EL27" t="s">
        <v>19</v>
      </c>
      <c r="EM27" t="s">
        <v>20</v>
      </c>
      <c r="EO27" t="s">
        <v>6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 t="shared" si="45"/>
        <v>0</v>
      </c>
      <c r="FS27">
        <v>0</v>
      </c>
      <c r="FX27">
        <v>80</v>
      </c>
      <c r="FY27">
        <v>68</v>
      </c>
      <c r="GA27" t="s">
        <v>6</v>
      </c>
      <c r="GD27">
        <v>0</v>
      </c>
      <c r="GF27">
        <v>-179832266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6"/>
        <v>0</v>
      </c>
      <c r="GM27">
        <f t="shared" si="47"/>
        <v>0</v>
      </c>
      <c r="GN27">
        <f t="shared" si="48"/>
        <v>0</v>
      </c>
      <c r="GO27">
        <f t="shared" si="49"/>
        <v>0</v>
      </c>
      <c r="GP27">
        <f t="shared" si="50"/>
        <v>0</v>
      </c>
      <c r="GR27">
        <v>0</v>
      </c>
      <c r="GS27">
        <v>0</v>
      </c>
      <c r="GT27">
        <v>0</v>
      </c>
      <c r="GU27" t="s">
        <v>6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ROW(SmtRes!A10)</f>
        <v>10</v>
      </c>
      <c r="D28" s="2">
        <f>ROW(EtalonRes!A10)</f>
        <v>10</v>
      </c>
      <c r="E28" s="2" t="s">
        <v>25</v>
      </c>
      <c r="F28" s="2" t="s">
        <v>26</v>
      </c>
      <c r="G28" s="2" t="s">
        <v>27</v>
      </c>
      <c r="H28" s="2" t="s">
        <v>28</v>
      </c>
      <c r="I28" s="2">
        <f>ROUND(585.6/100,9)</f>
        <v>5.8559999999999999</v>
      </c>
      <c r="J28" s="2">
        <v>0</v>
      </c>
      <c r="K28" s="2"/>
      <c r="L28" s="2"/>
      <c r="M28" s="2"/>
      <c r="N28" s="2"/>
      <c r="O28" s="2">
        <f t="shared" si="14"/>
        <v>172.22</v>
      </c>
      <c r="P28" s="2">
        <f t="shared" si="15"/>
        <v>0</v>
      </c>
      <c r="Q28" s="2">
        <f t="shared" si="16"/>
        <v>0</v>
      </c>
      <c r="R28" s="2">
        <f t="shared" si="17"/>
        <v>0</v>
      </c>
      <c r="S28" s="2">
        <f t="shared" si="18"/>
        <v>172.22</v>
      </c>
      <c r="T28" s="2">
        <f t="shared" si="19"/>
        <v>0</v>
      </c>
      <c r="U28" s="2">
        <f t="shared" si="20"/>
        <v>22.077120000000001</v>
      </c>
      <c r="V28" s="2">
        <f t="shared" si="21"/>
        <v>0</v>
      </c>
      <c r="W28" s="2">
        <f t="shared" si="22"/>
        <v>0</v>
      </c>
      <c r="X28" s="2">
        <f t="shared" si="23"/>
        <v>137.78</v>
      </c>
      <c r="Y28" s="2">
        <f t="shared" si="24"/>
        <v>117.11</v>
      </c>
      <c r="Z28" s="2"/>
      <c r="AA28" s="2">
        <v>26914188</v>
      </c>
      <c r="AB28" s="2">
        <f t="shared" si="25"/>
        <v>29.41</v>
      </c>
      <c r="AC28" s="2">
        <f t="shared" si="26"/>
        <v>0</v>
      </c>
      <c r="AD28" s="2">
        <f t="shared" si="27"/>
        <v>0</v>
      </c>
      <c r="AE28" s="2">
        <f t="shared" si="28"/>
        <v>0</v>
      </c>
      <c r="AF28" s="2">
        <f t="shared" si="29"/>
        <v>29.41</v>
      </c>
      <c r="AG28" s="2">
        <f t="shared" si="30"/>
        <v>0</v>
      </c>
      <c r="AH28" s="2">
        <f t="shared" si="31"/>
        <v>3.77</v>
      </c>
      <c r="AI28" s="2">
        <f t="shared" si="32"/>
        <v>0</v>
      </c>
      <c r="AJ28" s="2">
        <f t="shared" si="33"/>
        <v>0</v>
      </c>
      <c r="AK28" s="2">
        <v>29.41</v>
      </c>
      <c r="AL28" s="2">
        <v>0</v>
      </c>
      <c r="AM28" s="2">
        <v>0</v>
      </c>
      <c r="AN28" s="2">
        <v>0</v>
      </c>
      <c r="AO28" s="2">
        <v>29.41</v>
      </c>
      <c r="AP28" s="2">
        <v>0</v>
      </c>
      <c r="AQ28" s="2">
        <v>3.77</v>
      </c>
      <c r="AR28" s="2">
        <v>0</v>
      </c>
      <c r="AS28" s="2">
        <v>0</v>
      </c>
      <c r="AT28" s="2">
        <v>80</v>
      </c>
      <c r="AU28" s="2">
        <v>68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29</v>
      </c>
      <c r="BK28" s="2"/>
      <c r="BL28" s="2"/>
      <c r="BM28" s="2">
        <v>57001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80</v>
      </c>
      <c r="CA28" s="2">
        <v>68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4"/>
        <v>172.22</v>
      </c>
      <c r="CQ28" s="2">
        <f t="shared" si="35"/>
        <v>0</v>
      </c>
      <c r="CR28" s="2">
        <f t="shared" si="36"/>
        <v>0</v>
      </c>
      <c r="CS28" s="2">
        <f t="shared" si="37"/>
        <v>0</v>
      </c>
      <c r="CT28" s="2">
        <f t="shared" si="38"/>
        <v>29.41</v>
      </c>
      <c r="CU28" s="2">
        <f t="shared" si="39"/>
        <v>0</v>
      </c>
      <c r="CV28" s="2">
        <f t="shared" si="40"/>
        <v>3.77</v>
      </c>
      <c r="CW28" s="2">
        <f t="shared" si="41"/>
        <v>0</v>
      </c>
      <c r="CX28" s="2">
        <f t="shared" si="42"/>
        <v>0</v>
      </c>
      <c r="CY28" s="2">
        <f t="shared" si="43"/>
        <v>137.77600000000001</v>
      </c>
      <c r="CZ28" s="2">
        <f t="shared" si="44"/>
        <v>117.10959999999999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1003</v>
      </c>
      <c r="DV28" s="2" t="s">
        <v>28</v>
      </c>
      <c r="DW28" s="2" t="s">
        <v>28</v>
      </c>
      <c r="DX28" s="2">
        <v>100</v>
      </c>
      <c r="DY28" s="2"/>
      <c r="DZ28" s="2"/>
      <c r="EA28" s="2"/>
      <c r="EB28" s="2"/>
      <c r="EC28" s="2"/>
      <c r="ED28" s="2"/>
      <c r="EE28" s="2">
        <v>26549139</v>
      </c>
      <c r="EF28" s="2">
        <v>6</v>
      </c>
      <c r="EG28" s="2" t="s">
        <v>18</v>
      </c>
      <c r="EH28" s="2">
        <v>0</v>
      </c>
      <c r="EI28" s="2" t="s">
        <v>6</v>
      </c>
      <c r="EJ28" s="2">
        <v>1</v>
      </c>
      <c r="EK28" s="2">
        <v>57001</v>
      </c>
      <c r="EL28" s="2" t="s">
        <v>19</v>
      </c>
      <c r="EM28" s="2" t="s">
        <v>20</v>
      </c>
      <c r="EN28" s="2"/>
      <c r="EO28" s="2" t="s">
        <v>6</v>
      </c>
      <c r="EP28" s="2"/>
      <c r="EQ28" s="2">
        <v>0</v>
      </c>
      <c r="ER28" s="2">
        <v>29.41</v>
      </c>
      <c r="ES28" s="2">
        <v>0</v>
      </c>
      <c r="ET28" s="2">
        <v>0</v>
      </c>
      <c r="EU28" s="2">
        <v>0</v>
      </c>
      <c r="EV28" s="2">
        <v>29.41</v>
      </c>
      <c r="EW28" s="2">
        <v>3.77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5"/>
        <v>0</v>
      </c>
      <c r="FS28" s="2">
        <v>0</v>
      </c>
      <c r="FT28" s="2"/>
      <c r="FU28" s="2"/>
      <c r="FV28" s="2"/>
      <c r="FW28" s="2"/>
      <c r="FX28" s="2">
        <v>80</v>
      </c>
      <c r="FY28" s="2">
        <v>68</v>
      </c>
      <c r="FZ28" s="2"/>
      <c r="GA28" s="2" t="s">
        <v>6</v>
      </c>
      <c r="GB28" s="2"/>
      <c r="GC28" s="2"/>
      <c r="GD28" s="2">
        <v>0</v>
      </c>
      <c r="GE28" s="2"/>
      <c r="GF28" s="2">
        <v>-1431764135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6"/>
        <v>0</v>
      </c>
      <c r="GM28" s="2">
        <f t="shared" si="47"/>
        <v>427.11</v>
      </c>
      <c r="GN28" s="2">
        <f t="shared" si="48"/>
        <v>427.11</v>
      </c>
      <c r="GO28" s="2">
        <f t="shared" si="49"/>
        <v>0</v>
      </c>
      <c r="GP28" s="2">
        <f t="shared" si="50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51"/>
        <v>0</v>
      </c>
      <c r="GW28" s="2">
        <v>1</v>
      </c>
      <c r="GX28" s="2">
        <f t="shared" si="52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ROW(SmtRes!A12)</f>
        <v>12</v>
      </c>
      <c r="D29">
        <f>ROW(EtalonRes!A12)</f>
        <v>12</v>
      </c>
      <c r="E29" t="s">
        <v>25</v>
      </c>
      <c r="F29" t="s">
        <v>26</v>
      </c>
      <c r="G29" t="s">
        <v>27</v>
      </c>
      <c r="H29" t="s">
        <v>28</v>
      </c>
      <c r="I29">
        <f>ROUND(585.6/100,9)</f>
        <v>5.8559999999999999</v>
      </c>
      <c r="J29">
        <v>0</v>
      </c>
      <c r="O29">
        <f t="shared" si="14"/>
        <v>1326.13</v>
      </c>
      <c r="P29">
        <f t="shared" si="15"/>
        <v>0</v>
      </c>
      <c r="Q29">
        <f t="shared" si="16"/>
        <v>0</v>
      </c>
      <c r="R29">
        <f t="shared" si="17"/>
        <v>0</v>
      </c>
      <c r="S29">
        <f t="shared" si="18"/>
        <v>1326.13</v>
      </c>
      <c r="T29">
        <f t="shared" si="19"/>
        <v>0</v>
      </c>
      <c r="U29">
        <f t="shared" si="20"/>
        <v>22.077120000000001</v>
      </c>
      <c r="V29">
        <f t="shared" si="21"/>
        <v>0</v>
      </c>
      <c r="W29">
        <f t="shared" si="22"/>
        <v>0</v>
      </c>
      <c r="X29">
        <f t="shared" si="23"/>
        <v>1060.9000000000001</v>
      </c>
      <c r="Y29">
        <f t="shared" si="24"/>
        <v>901.77</v>
      </c>
      <c r="AA29">
        <v>26914189</v>
      </c>
      <c r="AB29">
        <f t="shared" si="25"/>
        <v>29.41</v>
      </c>
      <c r="AC29">
        <f t="shared" si="26"/>
        <v>0</v>
      </c>
      <c r="AD29">
        <f t="shared" si="27"/>
        <v>0</v>
      </c>
      <c r="AE29">
        <f t="shared" si="28"/>
        <v>0</v>
      </c>
      <c r="AF29">
        <f t="shared" si="29"/>
        <v>29.41</v>
      </c>
      <c r="AG29">
        <f t="shared" si="30"/>
        <v>0</v>
      </c>
      <c r="AH29">
        <f t="shared" si="31"/>
        <v>3.77</v>
      </c>
      <c r="AI29">
        <f t="shared" si="32"/>
        <v>0</v>
      </c>
      <c r="AJ29">
        <f t="shared" si="33"/>
        <v>0</v>
      </c>
      <c r="AK29">
        <v>29.41</v>
      </c>
      <c r="AL29">
        <v>0</v>
      </c>
      <c r="AM29">
        <v>0</v>
      </c>
      <c r="AN29">
        <v>0</v>
      </c>
      <c r="AO29">
        <v>29.41</v>
      </c>
      <c r="AP29">
        <v>0</v>
      </c>
      <c r="AQ29">
        <v>3.77</v>
      </c>
      <c r="AR29">
        <v>0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7.7</v>
      </c>
      <c r="BA29">
        <v>7.7</v>
      </c>
      <c r="BB29">
        <v>7.7</v>
      </c>
      <c r="BC29">
        <v>7.7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57001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7.7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4"/>
        <v>1326.13</v>
      </c>
      <c r="CQ29">
        <f t="shared" si="35"/>
        <v>0</v>
      </c>
      <c r="CR29">
        <f t="shared" si="36"/>
        <v>0</v>
      </c>
      <c r="CS29">
        <f t="shared" si="37"/>
        <v>0</v>
      </c>
      <c r="CT29">
        <f t="shared" si="38"/>
        <v>226.45699999999999</v>
      </c>
      <c r="CU29">
        <f t="shared" si="39"/>
        <v>0</v>
      </c>
      <c r="CV29">
        <f t="shared" si="40"/>
        <v>3.77</v>
      </c>
      <c r="CW29">
        <f t="shared" si="41"/>
        <v>0</v>
      </c>
      <c r="CX29">
        <f t="shared" si="42"/>
        <v>0</v>
      </c>
      <c r="CY29">
        <f t="shared" si="43"/>
        <v>1060.904</v>
      </c>
      <c r="CZ29">
        <f t="shared" si="44"/>
        <v>901.76840000000016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28</v>
      </c>
      <c r="DW29" t="s">
        <v>28</v>
      </c>
      <c r="DX29">
        <v>100</v>
      </c>
      <c r="EE29">
        <v>26549139</v>
      </c>
      <c r="EF29">
        <v>6</v>
      </c>
      <c r="EG29" t="s">
        <v>18</v>
      </c>
      <c r="EH29">
        <v>0</v>
      </c>
      <c r="EI29" t="s">
        <v>6</v>
      </c>
      <c r="EJ29">
        <v>1</v>
      </c>
      <c r="EK29">
        <v>57001</v>
      </c>
      <c r="EL29" t="s">
        <v>19</v>
      </c>
      <c r="EM29" t="s">
        <v>20</v>
      </c>
      <c r="EO29" t="s">
        <v>6</v>
      </c>
      <c r="EQ29">
        <v>0</v>
      </c>
      <c r="ER29">
        <v>29.41</v>
      </c>
      <c r="ES29">
        <v>0</v>
      </c>
      <c r="ET29">
        <v>0</v>
      </c>
      <c r="EU29">
        <v>0</v>
      </c>
      <c r="EV29">
        <v>29.41</v>
      </c>
      <c r="EW29">
        <v>3.77</v>
      </c>
      <c r="EX29">
        <v>0</v>
      </c>
      <c r="EY29">
        <v>0</v>
      </c>
      <c r="FQ29">
        <v>0</v>
      </c>
      <c r="FR29">
        <f t="shared" si="45"/>
        <v>0</v>
      </c>
      <c r="FS29">
        <v>0</v>
      </c>
      <c r="FX29">
        <v>80</v>
      </c>
      <c r="FY29">
        <v>68</v>
      </c>
      <c r="GA29" t="s">
        <v>6</v>
      </c>
      <c r="GD29">
        <v>0</v>
      </c>
      <c r="GF29">
        <v>-1431764135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6"/>
        <v>0</v>
      </c>
      <c r="GM29">
        <f t="shared" si="47"/>
        <v>3288.8</v>
      </c>
      <c r="GN29">
        <f t="shared" si="48"/>
        <v>3288.8</v>
      </c>
      <c r="GO29">
        <f t="shared" si="49"/>
        <v>0</v>
      </c>
      <c r="GP29">
        <f t="shared" si="50"/>
        <v>0</v>
      </c>
      <c r="GR29">
        <v>0</v>
      </c>
      <c r="GS29">
        <v>3</v>
      </c>
      <c r="GT29">
        <v>0</v>
      </c>
      <c r="GU29" t="s">
        <v>6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10</v>
      </c>
      <c r="D30" s="2"/>
      <c r="E30" s="2" t="s">
        <v>30</v>
      </c>
      <c r="F30" s="2" t="s">
        <v>22</v>
      </c>
      <c r="G30" s="2" t="s">
        <v>23</v>
      </c>
      <c r="H30" s="2" t="s">
        <v>24</v>
      </c>
      <c r="I30" s="2">
        <f>I28*J30</f>
        <v>0.64415999999999995</v>
      </c>
      <c r="J30" s="2">
        <v>0.11</v>
      </c>
      <c r="K30" s="2"/>
      <c r="L30" s="2"/>
      <c r="M30" s="2"/>
      <c r="N30" s="2"/>
      <c r="O30" s="2">
        <f t="shared" si="14"/>
        <v>0</v>
      </c>
      <c r="P30" s="2">
        <f t="shared" si="15"/>
        <v>0</v>
      </c>
      <c r="Q30" s="2">
        <f t="shared" si="16"/>
        <v>0</v>
      </c>
      <c r="R30" s="2">
        <f t="shared" si="17"/>
        <v>0</v>
      </c>
      <c r="S30" s="2">
        <f t="shared" si="18"/>
        <v>0</v>
      </c>
      <c r="T30" s="2">
        <f t="shared" si="19"/>
        <v>0</v>
      </c>
      <c r="U30" s="2">
        <f t="shared" si="20"/>
        <v>0</v>
      </c>
      <c r="V30" s="2">
        <f t="shared" si="21"/>
        <v>0</v>
      </c>
      <c r="W30" s="2">
        <f t="shared" si="22"/>
        <v>0</v>
      </c>
      <c r="X30" s="2">
        <f t="shared" si="23"/>
        <v>0</v>
      </c>
      <c r="Y30" s="2">
        <f t="shared" si="24"/>
        <v>0</v>
      </c>
      <c r="Z30" s="2"/>
      <c r="AA30" s="2">
        <v>26914188</v>
      </c>
      <c r="AB30" s="2">
        <f t="shared" si="25"/>
        <v>0</v>
      </c>
      <c r="AC30" s="2">
        <f t="shared" si="26"/>
        <v>0</v>
      </c>
      <c r="AD30" s="2">
        <f t="shared" si="27"/>
        <v>0</v>
      </c>
      <c r="AE30" s="2">
        <f t="shared" si="28"/>
        <v>0</v>
      </c>
      <c r="AF30" s="2">
        <f t="shared" si="29"/>
        <v>0</v>
      </c>
      <c r="AG30" s="2">
        <f t="shared" si="30"/>
        <v>0</v>
      </c>
      <c r="AH30" s="2">
        <f t="shared" si="31"/>
        <v>0</v>
      </c>
      <c r="AI30" s="2">
        <f t="shared" si="32"/>
        <v>0</v>
      </c>
      <c r="AJ30" s="2">
        <f t="shared" si="33"/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80</v>
      </c>
      <c r="AU30" s="2">
        <v>68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3</v>
      </c>
      <c r="BI30" s="2">
        <v>1</v>
      </c>
      <c r="BJ30" s="2" t="s">
        <v>6</v>
      </c>
      <c r="BK30" s="2"/>
      <c r="BL30" s="2"/>
      <c r="BM30" s="2">
        <v>57001</v>
      </c>
      <c r="BN30" s="2">
        <v>0</v>
      </c>
      <c r="BO30" s="2" t="s">
        <v>6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80</v>
      </c>
      <c r="CA30" s="2">
        <v>68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4"/>
        <v>0</v>
      </c>
      <c r="CQ30" s="2">
        <f t="shared" si="35"/>
        <v>0</v>
      </c>
      <c r="CR30" s="2">
        <f t="shared" si="36"/>
        <v>0</v>
      </c>
      <c r="CS30" s="2">
        <f t="shared" si="37"/>
        <v>0</v>
      </c>
      <c r="CT30" s="2">
        <f t="shared" si="38"/>
        <v>0</v>
      </c>
      <c r="CU30" s="2">
        <f t="shared" si="39"/>
        <v>0</v>
      </c>
      <c r="CV30" s="2">
        <f t="shared" si="40"/>
        <v>0</v>
      </c>
      <c r="CW30" s="2">
        <f t="shared" si="41"/>
        <v>0</v>
      </c>
      <c r="CX30" s="2">
        <f t="shared" si="42"/>
        <v>0</v>
      </c>
      <c r="CY30" s="2">
        <f t="shared" si="43"/>
        <v>0</v>
      </c>
      <c r="CZ30" s="2">
        <f t="shared" si="44"/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1009</v>
      </c>
      <c r="DV30" s="2" t="s">
        <v>24</v>
      </c>
      <c r="DW30" s="2" t="s">
        <v>24</v>
      </c>
      <c r="DX30" s="2">
        <v>1000</v>
      </c>
      <c r="DY30" s="2"/>
      <c r="DZ30" s="2"/>
      <c r="EA30" s="2"/>
      <c r="EB30" s="2"/>
      <c r="EC30" s="2"/>
      <c r="ED30" s="2"/>
      <c r="EE30" s="2">
        <v>26549139</v>
      </c>
      <c r="EF30" s="2">
        <v>6</v>
      </c>
      <c r="EG30" s="2" t="s">
        <v>18</v>
      </c>
      <c r="EH30" s="2">
        <v>0</v>
      </c>
      <c r="EI30" s="2" t="s">
        <v>6</v>
      </c>
      <c r="EJ30" s="2">
        <v>1</v>
      </c>
      <c r="EK30" s="2">
        <v>57001</v>
      </c>
      <c r="EL30" s="2" t="s">
        <v>19</v>
      </c>
      <c r="EM30" s="2" t="s">
        <v>20</v>
      </c>
      <c r="EN30" s="2"/>
      <c r="EO30" s="2" t="s">
        <v>6</v>
      </c>
      <c r="EP30" s="2"/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5"/>
        <v>0</v>
      </c>
      <c r="FS30" s="2">
        <v>0</v>
      </c>
      <c r="FT30" s="2"/>
      <c r="FU30" s="2"/>
      <c r="FV30" s="2"/>
      <c r="FW30" s="2"/>
      <c r="FX30" s="2">
        <v>80</v>
      </c>
      <c r="FY30" s="2">
        <v>68</v>
      </c>
      <c r="FZ30" s="2"/>
      <c r="GA30" s="2" t="s">
        <v>6</v>
      </c>
      <c r="GB30" s="2"/>
      <c r="GC30" s="2"/>
      <c r="GD30" s="2">
        <v>0</v>
      </c>
      <c r="GE30" s="2"/>
      <c r="GF30" s="2">
        <v>-179832266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6"/>
        <v>0</v>
      </c>
      <c r="GM30" s="2">
        <f t="shared" si="47"/>
        <v>0</v>
      </c>
      <c r="GN30" s="2">
        <f t="shared" si="48"/>
        <v>0</v>
      </c>
      <c r="GO30" s="2">
        <f t="shared" si="49"/>
        <v>0</v>
      </c>
      <c r="GP30" s="2">
        <f t="shared" si="50"/>
        <v>0</v>
      </c>
      <c r="GQ30" s="2"/>
      <c r="GR30" s="2">
        <v>0</v>
      </c>
      <c r="GS30" s="2">
        <v>0</v>
      </c>
      <c r="GT30" s="2">
        <v>0</v>
      </c>
      <c r="GU30" s="2" t="s">
        <v>6</v>
      </c>
      <c r="GV30" s="2">
        <f t="shared" si="51"/>
        <v>0</v>
      </c>
      <c r="GW30" s="2">
        <v>1</v>
      </c>
      <c r="GX30" s="2">
        <f t="shared" si="52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12</v>
      </c>
      <c r="E31" t="s">
        <v>30</v>
      </c>
      <c r="F31" t="s">
        <v>22</v>
      </c>
      <c r="G31" t="s">
        <v>23</v>
      </c>
      <c r="H31" t="s">
        <v>24</v>
      </c>
      <c r="I31">
        <f>I29*J31</f>
        <v>0.64415999999999995</v>
      </c>
      <c r="J31">
        <v>0.11</v>
      </c>
      <c r="O31">
        <f t="shared" si="14"/>
        <v>0</v>
      </c>
      <c r="P31">
        <f t="shared" si="15"/>
        <v>0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26914189</v>
      </c>
      <c r="AB31">
        <f t="shared" si="25"/>
        <v>0</v>
      </c>
      <c r="AC31">
        <f t="shared" si="26"/>
        <v>0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7.7</v>
      </c>
      <c r="BA31">
        <v>1</v>
      </c>
      <c r="BB31">
        <v>1</v>
      </c>
      <c r="BC31">
        <v>7.7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6</v>
      </c>
      <c r="BM31">
        <v>57001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80</v>
      </c>
      <c r="CA31">
        <v>68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4"/>
        <v>0</v>
      </c>
      <c r="CQ31">
        <f t="shared" si="35"/>
        <v>0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24</v>
      </c>
      <c r="DW31" t="s">
        <v>24</v>
      </c>
      <c r="DX31">
        <v>1000</v>
      </c>
      <c r="EE31">
        <v>26549139</v>
      </c>
      <c r="EF31">
        <v>6</v>
      </c>
      <c r="EG31" t="s">
        <v>18</v>
      </c>
      <c r="EH31">
        <v>0</v>
      </c>
      <c r="EI31" t="s">
        <v>6</v>
      </c>
      <c r="EJ31">
        <v>1</v>
      </c>
      <c r="EK31">
        <v>57001</v>
      </c>
      <c r="EL31" t="s">
        <v>19</v>
      </c>
      <c r="EM31" t="s">
        <v>20</v>
      </c>
      <c r="EO31" t="s">
        <v>6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X31">
        <v>80</v>
      </c>
      <c r="FY31">
        <v>68</v>
      </c>
      <c r="GA31" t="s">
        <v>6</v>
      </c>
      <c r="GD31">
        <v>0</v>
      </c>
      <c r="GF31">
        <v>-179832266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6"/>
        <v>0</v>
      </c>
      <c r="GM31">
        <f t="shared" si="47"/>
        <v>0</v>
      </c>
      <c r="GN31">
        <f t="shared" si="48"/>
        <v>0</v>
      </c>
      <c r="GO31">
        <f t="shared" si="49"/>
        <v>0</v>
      </c>
      <c r="GP31">
        <f t="shared" si="50"/>
        <v>0</v>
      </c>
      <c r="GR31">
        <v>0</v>
      </c>
      <c r="GS31">
        <v>0</v>
      </c>
      <c r="GT31">
        <v>0</v>
      </c>
      <c r="GU31" t="s">
        <v>6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ROW(SmtRes!A18)</f>
        <v>18</v>
      </c>
      <c r="D32" s="2">
        <f>ROW(EtalonRes!A18)</f>
        <v>18</v>
      </c>
      <c r="E32" s="2" t="s">
        <v>31</v>
      </c>
      <c r="F32" s="2" t="s">
        <v>32</v>
      </c>
      <c r="G32" s="2" t="s">
        <v>33</v>
      </c>
      <c r="H32" s="2" t="s">
        <v>16</v>
      </c>
      <c r="I32" s="2">
        <f>ROUND(811.4/100,9)</f>
        <v>8.1140000000000008</v>
      </c>
      <c r="J32" s="2">
        <v>0</v>
      </c>
      <c r="K32" s="2"/>
      <c r="L32" s="2"/>
      <c r="M32" s="2"/>
      <c r="N32" s="2"/>
      <c r="O32" s="2">
        <f t="shared" si="14"/>
        <v>13692.86</v>
      </c>
      <c r="P32" s="2">
        <f t="shared" si="15"/>
        <v>0</v>
      </c>
      <c r="Q32" s="2">
        <f t="shared" si="16"/>
        <v>5996.41</v>
      </c>
      <c r="R32" s="2">
        <f t="shared" si="17"/>
        <v>197.17</v>
      </c>
      <c r="S32" s="2">
        <f t="shared" si="18"/>
        <v>7696.45</v>
      </c>
      <c r="T32" s="2">
        <f t="shared" si="19"/>
        <v>0</v>
      </c>
      <c r="U32" s="2">
        <f t="shared" si="20"/>
        <v>902.27680000000009</v>
      </c>
      <c r="V32" s="2">
        <f t="shared" si="21"/>
        <v>14.605200000000002</v>
      </c>
      <c r="W32" s="2">
        <f t="shared" si="22"/>
        <v>0</v>
      </c>
      <c r="X32" s="2">
        <f t="shared" si="23"/>
        <v>6314.9</v>
      </c>
      <c r="Y32" s="2">
        <f t="shared" si="24"/>
        <v>5367.66</v>
      </c>
      <c r="Z32" s="2"/>
      <c r="AA32" s="2">
        <v>26914188</v>
      </c>
      <c r="AB32" s="2">
        <f t="shared" si="25"/>
        <v>1687.56</v>
      </c>
      <c r="AC32" s="2">
        <f t="shared" si="26"/>
        <v>0</v>
      </c>
      <c r="AD32" s="2">
        <f t="shared" si="27"/>
        <v>739.02</v>
      </c>
      <c r="AE32" s="2">
        <f t="shared" si="28"/>
        <v>24.3</v>
      </c>
      <c r="AF32" s="2">
        <f t="shared" si="29"/>
        <v>948.54</v>
      </c>
      <c r="AG32" s="2">
        <f t="shared" si="30"/>
        <v>0</v>
      </c>
      <c r="AH32" s="2">
        <f t="shared" si="31"/>
        <v>111.2</v>
      </c>
      <c r="AI32" s="2">
        <f t="shared" si="32"/>
        <v>1.8</v>
      </c>
      <c r="AJ32" s="2">
        <f t="shared" si="33"/>
        <v>0</v>
      </c>
      <c r="AK32" s="2">
        <v>1687.56</v>
      </c>
      <c r="AL32" s="2">
        <v>0</v>
      </c>
      <c r="AM32" s="2">
        <v>739.02</v>
      </c>
      <c r="AN32" s="2">
        <v>24.3</v>
      </c>
      <c r="AO32" s="2">
        <v>948.54</v>
      </c>
      <c r="AP32" s="2">
        <v>0</v>
      </c>
      <c r="AQ32" s="2">
        <v>111.2</v>
      </c>
      <c r="AR32" s="2">
        <v>1.8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34</v>
      </c>
      <c r="BK32" s="2"/>
      <c r="BL32" s="2"/>
      <c r="BM32" s="2">
        <v>57001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4"/>
        <v>13692.86</v>
      </c>
      <c r="CQ32" s="2">
        <f t="shared" si="35"/>
        <v>0</v>
      </c>
      <c r="CR32" s="2">
        <f t="shared" si="36"/>
        <v>739.02</v>
      </c>
      <c r="CS32" s="2">
        <f t="shared" si="37"/>
        <v>24.3</v>
      </c>
      <c r="CT32" s="2">
        <f t="shared" si="38"/>
        <v>948.54</v>
      </c>
      <c r="CU32" s="2">
        <f t="shared" si="39"/>
        <v>0</v>
      </c>
      <c r="CV32" s="2">
        <f t="shared" si="40"/>
        <v>111.2</v>
      </c>
      <c r="CW32" s="2">
        <f t="shared" si="41"/>
        <v>1.8</v>
      </c>
      <c r="CX32" s="2">
        <f t="shared" si="42"/>
        <v>0</v>
      </c>
      <c r="CY32" s="2">
        <f t="shared" si="43"/>
        <v>6314.8959999999997</v>
      </c>
      <c r="CZ32" s="2">
        <f t="shared" si="44"/>
        <v>5367.6616000000004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16</v>
      </c>
      <c r="DW32" s="2" t="s">
        <v>16</v>
      </c>
      <c r="DX32" s="2">
        <v>100</v>
      </c>
      <c r="DY32" s="2"/>
      <c r="DZ32" s="2"/>
      <c r="EA32" s="2"/>
      <c r="EB32" s="2"/>
      <c r="EC32" s="2"/>
      <c r="ED32" s="2"/>
      <c r="EE32" s="2">
        <v>26549139</v>
      </c>
      <c r="EF32" s="2">
        <v>6</v>
      </c>
      <c r="EG32" s="2" t="s">
        <v>18</v>
      </c>
      <c r="EH32" s="2">
        <v>0</v>
      </c>
      <c r="EI32" s="2" t="s">
        <v>6</v>
      </c>
      <c r="EJ32" s="2">
        <v>1</v>
      </c>
      <c r="EK32" s="2">
        <v>57001</v>
      </c>
      <c r="EL32" s="2" t="s">
        <v>19</v>
      </c>
      <c r="EM32" s="2" t="s">
        <v>20</v>
      </c>
      <c r="EN32" s="2"/>
      <c r="EO32" s="2" t="s">
        <v>6</v>
      </c>
      <c r="EP32" s="2"/>
      <c r="EQ32" s="2">
        <v>0</v>
      </c>
      <c r="ER32" s="2">
        <v>1687.56</v>
      </c>
      <c r="ES32" s="2">
        <v>0</v>
      </c>
      <c r="ET32" s="2">
        <v>739.02</v>
      </c>
      <c r="EU32" s="2">
        <v>24.3</v>
      </c>
      <c r="EV32" s="2">
        <v>948.54</v>
      </c>
      <c r="EW32" s="2">
        <v>111.2</v>
      </c>
      <c r="EX32" s="2">
        <v>1.8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5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6</v>
      </c>
      <c r="GB32" s="2"/>
      <c r="GC32" s="2"/>
      <c r="GD32" s="2">
        <v>0</v>
      </c>
      <c r="GE32" s="2"/>
      <c r="GF32" s="2">
        <v>-1435280135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6"/>
        <v>0</v>
      </c>
      <c r="GM32" s="2">
        <f t="shared" si="47"/>
        <v>25375.42</v>
      </c>
      <c r="GN32" s="2">
        <f t="shared" si="48"/>
        <v>25375.42</v>
      </c>
      <c r="GO32" s="2">
        <f t="shared" si="49"/>
        <v>0</v>
      </c>
      <c r="GP32" s="2">
        <f t="shared" si="50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1"/>
        <v>0</v>
      </c>
      <c r="GW32" s="2">
        <v>1</v>
      </c>
      <c r="GX32" s="2">
        <f t="shared" si="52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ROW(SmtRes!A24)</f>
        <v>24</v>
      </c>
      <c r="D33">
        <f>ROW(EtalonRes!A24)</f>
        <v>24</v>
      </c>
      <c r="E33" t="s">
        <v>31</v>
      </c>
      <c r="F33" t="s">
        <v>32</v>
      </c>
      <c r="G33" t="s">
        <v>33</v>
      </c>
      <c r="H33" t="s">
        <v>16</v>
      </c>
      <c r="I33">
        <f>ROUND(811.4/100,9)</f>
        <v>8.1140000000000008</v>
      </c>
      <c r="J33">
        <v>0</v>
      </c>
      <c r="O33">
        <f t="shared" si="14"/>
        <v>105435.03</v>
      </c>
      <c r="P33">
        <f t="shared" si="15"/>
        <v>0</v>
      </c>
      <c r="Q33">
        <f t="shared" si="16"/>
        <v>46172.34</v>
      </c>
      <c r="R33">
        <f t="shared" si="17"/>
        <v>1518.21</v>
      </c>
      <c r="S33">
        <f t="shared" si="18"/>
        <v>59262.69</v>
      </c>
      <c r="T33">
        <f t="shared" si="19"/>
        <v>0</v>
      </c>
      <c r="U33">
        <f t="shared" si="20"/>
        <v>902.27680000000009</v>
      </c>
      <c r="V33">
        <f t="shared" si="21"/>
        <v>14.605200000000002</v>
      </c>
      <c r="W33">
        <f t="shared" si="22"/>
        <v>0</v>
      </c>
      <c r="X33">
        <f t="shared" si="23"/>
        <v>48624.72</v>
      </c>
      <c r="Y33">
        <f t="shared" si="24"/>
        <v>41331.01</v>
      </c>
      <c r="AA33">
        <v>26914189</v>
      </c>
      <c r="AB33">
        <f t="shared" si="25"/>
        <v>1687.56</v>
      </c>
      <c r="AC33">
        <f t="shared" si="26"/>
        <v>0</v>
      </c>
      <c r="AD33">
        <f t="shared" si="27"/>
        <v>739.02</v>
      </c>
      <c r="AE33">
        <f t="shared" si="28"/>
        <v>24.3</v>
      </c>
      <c r="AF33">
        <f t="shared" si="29"/>
        <v>948.54</v>
      </c>
      <c r="AG33">
        <f t="shared" si="30"/>
        <v>0</v>
      </c>
      <c r="AH33">
        <f t="shared" si="31"/>
        <v>111.2</v>
      </c>
      <c r="AI33">
        <f t="shared" si="32"/>
        <v>1.8</v>
      </c>
      <c r="AJ33">
        <f t="shared" si="33"/>
        <v>0</v>
      </c>
      <c r="AK33">
        <v>1687.56</v>
      </c>
      <c r="AL33">
        <v>0</v>
      </c>
      <c r="AM33">
        <v>739.02</v>
      </c>
      <c r="AN33">
        <v>24.3</v>
      </c>
      <c r="AO33">
        <v>948.54</v>
      </c>
      <c r="AP33">
        <v>0</v>
      </c>
      <c r="AQ33">
        <v>111.2</v>
      </c>
      <c r="AR33">
        <v>1.8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7.7</v>
      </c>
      <c r="BA33">
        <v>7.7</v>
      </c>
      <c r="BB33">
        <v>7.7</v>
      </c>
      <c r="BC33">
        <v>7.7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34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7.7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4"/>
        <v>105435.03</v>
      </c>
      <c r="CQ33">
        <f t="shared" si="35"/>
        <v>0</v>
      </c>
      <c r="CR33">
        <f t="shared" si="36"/>
        <v>5690.4539999999997</v>
      </c>
      <c r="CS33">
        <f t="shared" si="37"/>
        <v>187.11</v>
      </c>
      <c r="CT33">
        <f t="shared" si="38"/>
        <v>7303.7579999999998</v>
      </c>
      <c r="CU33">
        <f t="shared" si="39"/>
        <v>0</v>
      </c>
      <c r="CV33">
        <f t="shared" si="40"/>
        <v>111.2</v>
      </c>
      <c r="CW33">
        <f t="shared" si="41"/>
        <v>1.8</v>
      </c>
      <c r="CX33">
        <f t="shared" si="42"/>
        <v>0</v>
      </c>
      <c r="CY33">
        <f t="shared" si="43"/>
        <v>48624.72</v>
      </c>
      <c r="CZ33">
        <f t="shared" si="44"/>
        <v>41331.012000000002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16</v>
      </c>
      <c r="DW33" t="s">
        <v>16</v>
      </c>
      <c r="DX33">
        <v>100</v>
      </c>
      <c r="EE33">
        <v>26549139</v>
      </c>
      <c r="EF33">
        <v>6</v>
      </c>
      <c r="EG33" t="s">
        <v>18</v>
      </c>
      <c r="EH33">
        <v>0</v>
      </c>
      <c r="EI33" t="s">
        <v>6</v>
      </c>
      <c r="EJ33">
        <v>1</v>
      </c>
      <c r="EK33">
        <v>57001</v>
      </c>
      <c r="EL33" t="s">
        <v>19</v>
      </c>
      <c r="EM33" t="s">
        <v>20</v>
      </c>
      <c r="EO33" t="s">
        <v>6</v>
      </c>
      <c r="EQ33">
        <v>0</v>
      </c>
      <c r="ER33">
        <v>1687.56</v>
      </c>
      <c r="ES33">
        <v>0</v>
      </c>
      <c r="ET33">
        <v>739.02</v>
      </c>
      <c r="EU33">
        <v>24.3</v>
      </c>
      <c r="EV33">
        <v>948.54</v>
      </c>
      <c r="EW33">
        <v>111.2</v>
      </c>
      <c r="EX33">
        <v>1.8</v>
      </c>
      <c r="EY33">
        <v>0</v>
      </c>
      <c r="FQ33">
        <v>0</v>
      </c>
      <c r="FR33">
        <f t="shared" si="45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-1435280135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6"/>
        <v>0</v>
      </c>
      <c r="GM33">
        <f t="shared" si="47"/>
        <v>195390.76</v>
      </c>
      <c r="GN33">
        <f t="shared" si="48"/>
        <v>195390.76</v>
      </c>
      <c r="GO33">
        <f t="shared" si="49"/>
        <v>0</v>
      </c>
      <c r="GP33">
        <f t="shared" si="50"/>
        <v>0</v>
      </c>
      <c r="GR33">
        <v>0</v>
      </c>
      <c r="GS33">
        <v>3</v>
      </c>
      <c r="GT33">
        <v>0</v>
      </c>
      <c r="GU33" t="s">
        <v>6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18</v>
      </c>
      <c r="D34" s="2"/>
      <c r="E34" s="2" t="s">
        <v>35</v>
      </c>
      <c r="F34" s="2" t="s">
        <v>22</v>
      </c>
      <c r="G34" s="2" t="s">
        <v>23</v>
      </c>
      <c r="H34" s="2" t="s">
        <v>24</v>
      </c>
      <c r="I34" s="2">
        <f>I32*J34</f>
        <v>53.552399999999999</v>
      </c>
      <c r="J34" s="2">
        <v>6.6</v>
      </c>
      <c r="K34" s="2"/>
      <c r="L34" s="2"/>
      <c r="M34" s="2"/>
      <c r="N34" s="2"/>
      <c r="O34" s="2">
        <f t="shared" si="14"/>
        <v>0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26914188</v>
      </c>
      <c r="AB34" s="2">
        <f t="shared" si="25"/>
        <v>0</v>
      </c>
      <c r="AC34" s="2">
        <f t="shared" si="26"/>
        <v>0</v>
      </c>
      <c r="AD34" s="2">
        <f t="shared" si="27"/>
        <v>0</v>
      </c>
      <c r="AE34" s="2">
        <f t="shared" si="28"/>
        <v>0</v>
      </c>
      <c r="AF34" s="2">
        <f t="shared" si="29"/>
        <v>0</v>
      </c>
      <c r="AG34" s="2">
        <f t="shared" si="30"/>
        <v>0</v>
      </c>
      <c r="AH34" s="2">
        <f t="shared" si="31"/>
        <v>0</v>
      </c>
      <c r="AI34" s="2">
        <f t="shared" si="32"/>
        <v>0</v>
      </c>
      <c r="AJ34" s="2">
        <f t="shared" si="33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6</v>
      </c>
      <c r="BK34" s="2"/>
      <c r="BL34" s="2"/>
      <c r="BM34" s="2">
        <v>57001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4"/>
        <v>0</v>
      </c>
      <c r="CQ34" s="2">
        <f t="shared" si="35"/>
        <v>0</v>
      </c>
      <c r="CR34" s="2">
        <f t="shared" si="36"/>
        <v>0</v>
      </c>
      <c r="CS34" s="2">
        <f t="shared" si="37"/>
        <v>0</v>
      </c>
      <c r="CT34" s="2">
        <f t="shared" si="38"/>
        <v>0</v>
      </c>
      <c r="CU34" s="2">
        <f t="shared" si="39"/>
        <v>0</v>
      </c>
      <c r="CV34" s="2">
        <f t="shared" si="40"/>
        <v>0</v>
      </c>
      <c r="CW34" s="2">
        <f t="shared" si="41"/>
        <v>0</v>
      </c>
      <c r="CX34" s="2">
        <f t="shared" si="42"/>
        <v>0</v>
      </c>
      <c r="CY34" s="2">
        <f t="shared" si="43"/>
        <v>0</v>
      </c>
      <c r="CZ34" s="2">
        <f t="shared" si="44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1009</v>
      </c>
      <c r="DV34" s="2" t="s">
        <v>24</v>
      </c>
      <c r="DW34" s="2" t="s">
        <v>24</v>
      </c>
      <c r="DX34" s="2">
        <v>1000</v>
      </c>
      <c r="DY34" s="2"/>
      <c r="DZ34" s="2"/>
      <c r="EA34" s="2"/>
      <c r="EB34" s="2"/>
      <c r="EC34" s="2"/>
      <c r="ED34" s="2"/>
      <c r="EE34" s="2">
        <v>26549139</v>
      </c>
      <c r="EF34" s="2">
        <v>6</v>
      </c>
      <c r="EG34" s="2" t="s">
        <v>18</v>
      </c>
      <c r="EH34" s="2">
        <v>0</v>
      </c>
      <c r="EI34" s="2" t="s">
        <v>6</v>
      </c>
      <c r="EJ34" s="2">
        <v>1</v>
      </c>
      <c r="EK34" s="2">
        <v>57001</v>
      </c>
      <c r="EL34" s="2" t="s">
        <v>19</v>
      </c>
      <c r="EM34" s="2" t="s">
        <v>20</v>
      </c>
      <c r="EN34" s="2"/>
      <c r="EO34" s="2" t="s">
        <v>6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5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6</v>
      </c>
      <c r="GB34" s="2"/>
      <c r="GC34" s="2"/>
      <c r="GD34" s="2">
        <v>0</v>
      </c>
      <c r="GE34" s="2"/>
      <c r="GF34" s="2">
        <v>-179832266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6"/>
        <v>0</v>
      </c>
      <c r="GM34" s="2">
        <f t="shared" si="47"/>
        <v>0</v>
      </c>
      <c r="GN34" s="2">
        <f t="shared" si="48"/>
        <v>0</v>
      </c>
      <c r="GO34" s="2">
        <f t="shared" si="49"/>
        <v>0</v>
      </c>
      <c r="GP34" s="2">
        <f t="shared" si="50"/>
        <v>0</v>
      </c>
      <c r="GQ34" s="2"/>
      <c r="GR34" s="2">
        <v>0</v>
      </c>
      <c r="GS34" s="2">
        <v>0</v>
      </c>
      <c r="GT34" s="2">
        <v>0</v>
      </c>
      <c r="GU34" s="2" t="s">
        <v>6</v>
      </c>
      <c r="GV34" s="2">
        <f t="shared" si="51"/>
        <v>0</v>
      </c>
      <c r="GW34" s="2">
        <v>1</v>
      </c>
      <c r="GX34" s="2">
        <f t="shared" si="52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24</v>
      </c>
      <c r="E35" t="s">
        <v>35</v>
      </c>
      <c r="F35" t="s">
        <v>22</v>
      </c>
      <c r="G35" t="s">
        <v>23</v>
      </c>
      <c r="H35" t="s">
        <v>24</v>
      </c>
      <c r="I35">
        <f>I33*J35</f>
        <v>53.552399999999999</v>
      </c>
      <c r="J35">
        <v>6.6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26914189</v>
      </c>
      <c r="AB35">
        <f t="shared" si="25"/>
        <v>0</v>
      </c>
      <c r="AC35">
        <f t="shared" si="26"/>
        <v>0</v>
      </c>
      <c r="AD35">
        <f t="shared" si="27"/>
        <v>0</v>
      </c>
      <c r="AE35">
        <f t="shared" si="28"/>
        <v>0</v>
      </c>
      <c r="AF35">
        <f t="shared" si="29"/>
        <v>0</v>
      </c>
      <c r="AG35">
        <f t="shared" si="30"/>
        <v>0</v>
      </c>
      <c r="AH35">
        <f t="shared" si="31"/>
        <v>0</v>
      </c>
      <c r="AI35">
        <f t="shared" si="32"/>
        <v>0</v>
      </c>
      <c r="AJ35">
        <f t="shared" si="33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7.7</v>
      </c>
      <c r="BA35">
        <v>1</v>
      </c>
      <c r="BB35">
        <v>1</v>
      </c>
      <c r="BC35">
        <v>7.7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4"/>
        <v>0</v>
      </c>
      <c r="CQ35">
        <f t="shared" si="35"/>
        <v>0</v>
      </c>
      <c r="CR35">
        <f t="shared" si="36"/>
        <v>0</v>
      </c>
      <c r="CS35">
        <f t="shared" si="37"/>
        <v>0</v>
      </c>
      <c r="CT35">
        <f t="shared" si="38"/>
        <v>0</v>
      </c>
      <c r="CU35">
        <f t="shared" si="39"/>
        <v>0</v>
      </c>
      <c r="CV35">
        <f t="shared" si="40"/>
        <v>0</v>
      </c>
      <c r="CW35">
        <f t="shared" si="41"/>
        <v>0</v>
      </c>
      <c r="CX35">
        <f t="shared" si="42"/>
        <v>0</v>
      </c>
      <c r="CY35">
        <f t="shared" si="43"/>
        <v>0</v>
      </c>
      <c r="CZ35">
        <f t="shared" si="44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24</v>
      </c>
      <c r="DW35" t="s">
        <v>24</v>
      </c>
      <c r="DX35">
        <v>1000</v>
      </c>
      <c r="EE35">
        <v>26549139</v>
      </c>
      <c r="EF35">
        <v>6</v>
      </c>
      <c r="EG35" t="s">
        <v>18</v>
      </c>
      <c r="EH35">
        <v>0</v>
      </c>
      <c r="EI35" t="s">
        <v>6</v>
      </c>
      <c r="EJ35">
        <v>1</v>
      </c>
      <c r="EK35">
        <v>57001</v>
      </c>
      <c r="EL35" t="s">
        <v>19</v>
      </c>
      <c r="EM35" t="s">
        <v>20</v>
      </c>
      <c r="EO35" t="s">
        <v>6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5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-179832266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6"/>
        <v>0</v>
      </c>
      <c r="GM35">
        <f t="shared" si="47"/>
        <v>0</v>
      </c>
      <c r="GN35">
        <f t="shared" si="48"/>
        <v>0</v>
      </c>
      <c r="GO35">
        <f t="shared" si="49"/>
        <v>0</v>
      </c>
      <c r="GP35">
        <f t="shared" si="50"/>
        <v>0</v>
      </c>
      <c r="GR35">
        <v>0</v>
      </c>
      <c r="GS35">
        <v>0</v>
      </c>
      <c r="GT35">
        <v>0</v>
      </c>
      <c r="GU35" t="s">
        <v>6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ROW(SmtRes!A34)</f>
        <v>34</v>
      </c>
      <c r="D36" s="2">
        <f>ROW(EtalonRes!A33)</f>
        <v>33</v>
      </c>
      <c r="E36" s="2" t="s">
        <v>36</v>
      </c>
      <c r="F36" s="2" t="s">
        <v>37</v>
      </c>
      <c r="G36" s="2" t="s">
        <v>38</v>
      </c>
      <c r="H36" s="2" t="s">
        <v>16</v>
      </c>
      <c r="I36" s="2">
        <f>ROUND(811.4/100,9)</f>
        <v>8.1140000000000008</v>
      </c>
      <c r="J36" s="2">
        <v>0</v>
      </c>
      <c r="K36" s="2"/>
      <c r="L36" s="2"/>
      <c r="M36" s="2"/>
      <c r="N36" s="2"/>
      <c r="O36" s="2">
        <f t="shared" si="14"/>
        <v>4093.26</v>
      </c>
      <c r="P36" s="2">
        <f t="shared" si="15"/>
        <v>1077.94</v>
      </c>
      <c r="Q36" s="2">
        <f t="shared" si="16"/>
        <v>262.18</v>
      </c>
      <c r="R36" s="2">
        <f t="shared" si="17"/>
        <v>8.82</v>
      </c>
      <c r="S36" s="2">
        <f t="shared" si="18"/>
        <v>2753.14</v>
      </c>
      <c r="T36" s="2">
        <f t="shared" si="19"/>
        <v>0</v>
      </c>
      <c r="U36" s="2">
        <f t="shared" si="20"/>
        <v>251.65976699999999</v>
      </c>
      <c r="V36" s="2">
        <f t="shared" si="21"/>
        <v>0.70997500000000013</v>
      </c>
      <c r="W36" s="2">
        <f t="shared" si="22"/>
        <v>0</v>
      </c>
      <c r="X36" s="2">
        <f t="shared" si="23"/>
        <v>3065.78</v>
      </c>
      <c r="Y36" s="2">
        <f t="shared" si="24"/>
        <v>1767.65</v>
      </c>
      <c r="Z36" s="2"/>
      <c r="AA36" s="2">
        <v>26914188</v>
      </c>
      <c r="AB36" s="2">
        <f t="shared" si="25"/>
        <v>504.47</v>
      </c>
      <c r="AC36" s="2">
        <f t="shared" si="26"/>
        <v>132.85</v>
      </c>
      <c r="AD36" s="2">
        <f>ROUND(((((ET36*1.25))-((EU36*1.25)))+AE36),6)</f>
        <v>32.3125</v>
      </c>
      <c r="AE36" s="2">
        <f>ROUND(((EU36*1.25)),6)</f>
        <v>1.0874999999999999</v>
      </c>
      <c r="AF36" s="2">
        <f>ROUND(((EV36*1.15)),6)</f>
        <v>339.3075</v>
      </c>
      <c r="AG36" s="2">
        <f t="shared" si="30"/>
        <v>0</v>
      </c>
      <c r="AH36" s="2">
        <f>((EW36*1.15))</f>
        <v>31.015499999999996</v>
      </c>
      <c r="AI36" s="2">
        <f>((EX36*1.25))</f>
        <v>8.7500000000000008E-2</v>
      </c>
      <c r="AJ36" s="2">
        <f t="shared" si="33"/>
        <v>0</v>
      </c>
      <c r="AK36" s="2">
        <v>453.75</v>
      </c>
      <c r="AL36" s="2">
        <v>132.85</v>
      </c>
      <c r="AM36" s="2">
        <v>25.85</v>
      </c>
      <c r="AN36" s="2">
        <v>0.87</v>
      </c>
      <c r="AO36" s="2">
        <v>295.05</v>
      </c>
      <c r="AP36" s="2">
        <v>0</v>
      </c>
      <c r="AQ36" s="2">
        <v>26.97</v>
      </c>
      <c r="AR36" s="2">
        <v>7.0000000000000007E-2</v>
      </c>
      <c r="AS36" s="2">
        <v>0</v>
      </c>
      <c r="AT36" s="2">
        <v>111</v>
      </c>
      <c r="AU36" s="2">
        <v>64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39</v>
      </c>
      <c r="BK36" s="2"/>
      <c r="BL36" s="2"/>
      <c r="BM36" s="2">
        <v>11001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123</v>
      </c>
      <c r="CA36" s="2">
        <v>75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510</v>
      </c>
      <c r="CO36" s="2">
        <v>0</v>
      </c>
      <c r="CP36" s="2">
        <f t="shared" si="34"/>
        <v>4093.26</v>
      </c>
      <c r="CQ36" s="2">
        <f t="shared" si="35"/>
        <v>132.85</v>
      </c>
      <c r="CR36" s="2">
        <f t="shared" si="36"/>
        <v>32.3125</v>
      </c>
      <c r="CS36" s="2">
        <f t="shared" si="37"/>
        <v>1.0874999999999999</v>
      </c>
      <c r="CT36" s="2">
        <f t="shared" si="38"/>
        <v>339.3075</v>
      </c>
      <c r="CU36" s="2">
        <f t="shared" si="39"/>
        <v>0</v>
      </c>
      <c r="CV36" s="2">
        <f t="shared" si="40"/>
        <v>31.015499999999996</v>
      </c>
      <c r="CW36" s="2">
        <f t="shared" si="41"/>
        <v>8.7500000000000008E-2</v>
      </c>
      <c r="CX36" s="2">
        <f t="shared" si="42"/>
        <v>0</v>
      </c>
      <c r="CY36" s="2">
        <f t="shared" si="43"/>
        <v>3065.7755999999999</v>
      </c>
      <c r="CZ36" s="2">
        <f t="shared" si="44"/>
        <v>1767.6544000000001</v>
      </c>
      <c r="DA36" s="2"/>
      <c r="DB36" s="2"/>
      <c r="DC36" s="2" t="s">
        <v>6</v>
      </c>
      <c r="DD36" s="2" t="s">
        <v>6</v>
      </c>
      <c r="DE36" s="2" t="s">
        <v>40</v>
      </c>
      <c r="DF36" s="2" t="s">
        <v>40</v>
      </c>
      <c r="DG36" s="2" t="s">
        <v>41</v>
      </c>
      <c r="DH36" s="2" t="s">
        <v>6</v>
      </c>
      <c r="DI36" s="2" t="s">
        <v>41</v>
      </c>
      <c r="DJ36" s="2" t="s">
        <v>40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16</v>
      </c>
      <c r="DW36" s="2" t="s">
        <v>16</v>
      </c>
      <c r="DX36" s="2">
        <v>100</v>
      </c>
      <c r="DY36" s="2"/>
      <c r="DZ36" s="2"/>
      <c r="EA36" s="2"/>
      <c r="EB36" s="2"/>
      <c r="EC36" s="2"/>
      <c r="ED36" s="2"/>
      <c r="EE36" s="2">
        <v>26549061</v>
      </c>
      <c r="EF36" s="2">
        <v>2</v>
      </c>
      <c r="EG36" s="2" t="s">
        <v>42</v>
      </c>
      <c r="EH36" s="2">
        <v>0</v>
      </c>
      <c r="EI36" s="2" t="s">
        <v>6</v>
      </c>
      <c r="EJ36" s="2">
        <v>1</v>
      </c>
      <c r="EK36" s="2">
        <v>11001</v>
      </c>
      <c r="EL36" s="2" t="s">
        <v>19</v>
      </c>
      <c r="EM36" s="2" t="s">
        <v>43</v>
      </c>
      <c r="EN36" s="2"/>
      <c r="EO36" s="2" t="s">
        <v>44</v>
      </c>
      <c r="EP36" s="2"/>
      <c r="EQ36" s="2">
        <v>0</v>
      </c>
      <c r="ER36" s="2">
        <v>453.75</v>
      </c>
      <c r="ES36" s="2">
        <v>132.85</v>
      </c>
      <c r="ET36" s="2">
        <v>25.85</v>
      </c>
      <c r="EU36" s="2">
        <v>0.87</v>
      </c>
      <c r="EV36" s="2">
        <v>295.05</v>
      </c>
      <c r="EW36" s="2">
        <v>26.97</v>
      </c>
      <c r="EX36" s="2">
        <v>7.0000000000000007E-2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5"/>
        <v>0</v>
      </c>
      <c r="FS36" s="2">
        <v>0</v>
      </c>
      <c r="FT36" s="2" t="s">
        <v>45</v>
      </c>
      <c r="FU36" s="2" t="s">
        <v>46</v>
      </c>
      <c r="FV36" s="2"/>
      <c r="FW36" s="2"/>
      <c r="FX36" s="2">
        <v>110.7</v>
      </c>
      <c r="FY36" s="2">
        <v>63.75</v>
      </c>
      <c r="FZ36" s="2"/>
      <c r="GA36" s="2" t="s">
        <v>6</v>
      </c>
      <c r="GB36" s="2"/>
      <c r="GC36" s="2"/>
      <c r="GD36" s="2">
        <v>0</v>
      </c>
      <c r="GE36" s="2"/>
      <c r="GF36" s="2">
        <v>708628656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6"/>
        <v>0</v>
      </c>
      <c r="GM36" s="2">
        <f t="shared" si="47"/>
        <v>8926.69</v>
      </c>
      <c r="GN36" s="2">
        <f t="shared" si="48"/>
        <v>8926.69</v>
      </c>
      <c r="GO36" s="2">
        <f t="shared" si="49"/>
        <v>0</v>
      </c>
      <c r="GP36" s="2">
        <f t="shared" si="50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1"/>
        <v>0</v>
      </c>
      <c r="GW36" s="2">
        <v>1</v>
      </c>
      <c r="GX36" s="2">
        <f t="shared" si="52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ROW(SmtRes!A44)</f>
        <v>44</v>
      </c>
      <c r="D37">
        <f>ROW(EtalonRes!A42)</f>
        <v>42</v>
      </c>
      <c r="E37" t="s">
        <v>36</v>
      </c>
      <c r="F37" t="s">
        <v>37</v>
      </c>
      <c r="G37" t="s">
        <v>38</v>
      </c>
      <c r="H37" t="s">
        <v>16</v>
      </c>
      <c r="I37">
        <f>ROUND(811.4/100,9)</f>
        <v>8.1140000000000008</v>
      </c>
      <c r="J37">
        <v>0</v>
      </c>
      <c r="O37">
        <f t="shared" si="14"/>
        <v>31518.18</v>
      </c>
      <c r="P37">
        <f t="shared" si="15"/>
        <v>8300.18</v>
      </c>
      <c r="Q37">
        <f t="shared" si="16"/>
        <v>2018.81</v>
      </c>
      <c r="R37">
        <f t="shared" si="17"/>
        <v>67.94</v>
      </c>
      <c r="S37">
        <f t="shared" si="18"/>
        <v>21199.19</v>
      </c>
      <c r="T37">
        <f t="shared" si="19"/>
        <v>0</v>
      </c>
      <c r="U37">
        <f t="shared" si="20"/>
        <v>251.65976699999999</v>
      </c>
      <c r="V37">
        <f t="shared" si="21"/>
        <v>0.70997500000000013</v>
      </c>
      <c r="W37">
        <f t="shared" si="22"/>
        <v>0</v>
      </c>
      <c r="X37">
        <f t="shared" si="23"/>
        <v>23606.51</v>
      </c>
      <c r="Y37">
        <f t="shared" si="24"/>
        <v>13610.96</v>
      </c>
      <c r="AA37">
        <v>26914189</v>
      </c>
      <c r="AB37">
        <f t="shared" si="25"/>
        <v>504.47</v>
      </c>
      <c r="AC37">
        <f t="shared" si="26"/>
        <v>132.85</v>
      </c>
      <c r="AD37">
        <f>ROUND(((((ET37*1.25))-((EU37*1.25)))+AE37),6)</f>
        <v>32.3125</v>
      </c>
      <c r="AE37">
        <f>ROUND(((EU37*1.25)),6)</f>
        <v>1.0874999999999999</v>
      </c>
      <c r="AF37">
        <f>ROUND(((EV37*1.15)),6)</f>
        <v>339.3075</v>
      </c>
      <c r="AG37">
        <f t="shared" si="30"/>
        <v>0</v>
      </c>
      <c r="AH37">
        <f>((EW37*1.15))</f>
        <v>31.015499999999996</v>
      </c>
      <c r="AI37">
        <f>((EX37*1.25))</f>
        <v>8.7500000000000008E-2</v>
      </c>
      <c r="AJ37">
        <f t="shared" si="33"/>
        <v>0</v>
      </c>
      <c r="AK37">
        <v>453.75</v>
      </c>
      <c r="AL37">
        <v>132.85</v>
      </c>
      <c r="AM37">
        <v>25.85</v>
      </c>
      <c r="AN37">
        <v>0.87</v>
      </c>
      <c r="AO37">
        <v>295.05</v>
      </c>
      <c r="AP37">
        <v>0</v>
      </c>
      <c r="AQ37">
        <v>26.97</v>
      </c>
      <c r="AR37">
        <v>7.0000000000000007E-2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7.7</v>
      </c>
      <c r="BA37">
        <v>7.7</v>
      </c>
      <c r="BB37">
        <v>7.7</v>
      </c>
      <c r="BC37">
        <v>7.7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39</v>
      </c>
      <c r="BM37">
        <v>11001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7.7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510</v>
      </c>
      <c r="CO37">
        <v>0</v>
      </c>
      <c r="CP37">
        <f t="shared" si="34"/>
        <v>31518.18</v>
      </c>
      <c r="CQ37">
        <f t="shared" si="35"/>
        <v>1022.9449999999999</v>
      </c>
      <c r="CR37">
        <f t="shared" si="36"/>
        <v>248.80625000000001</v>
      </c>
      <c r="CS37">
        <f t="shared" si="37"/>
        <v>8.3737499999999994</v>
      </c>
      <c r="CT37">
        <f t="shared" si="38"/>
        <v>2612.6677500000001</v>
      </c>
      <c r="CU37">
        <f t="shared" si="39"/>
        <v>0</v>
      </c>
      <c r="CV37">
        <f t="shared" si="40"/>
        <v>31.015499999999996</v>
      </c>
      <c r="CW37">
        <f t="shared" si="41"/>
        <v>8.7500000000000008E-2</v>
      </c>
      <c r="CX37">
        <f t="shared" si="42"/>
        <v>0</v>
      </c>
      <c r="CY37">
        <f t="shared" si="43"/>
        <v>23606.514299999995</v>
      </c>
      <c r="CZ37">
        <f t="shared" si="44"/>
        <v>13610.963199999998</v>
      </c>
      <c r="DC37" t="s">
        <v>6</v>
      </c>
      <c r="DD37" t="s">
        <v>6</v>
      </c>
      <c r="DE37" t="s">
        <v>40</v>
      </c>
      <c r="DF37" t="s">
        <v>40</v>
      </c>
      <c r="DG37" t="s">
        <v>41</v>
      </c>
      <c r="DH37" t="s">
        <v>6</v>
      </c>
      <c r="DI37" t="s">
        <v>41</v>
      </c>
      <c r="DJ37" t="s">
        <v>40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16</v>
      </c>
      <c r="DW37" t="s">
        <v>16</v>
      </c>
      <c r="DX37">
        <v>100</v>
      </c>
      <c r="EE37">
        <v>26549061</v>
      </c>
      <c r="EF37">
        <v>2</v>
      </c>
      <c r="EG37" t="s">
        <v>42</v>
      </c>
      <c r="EH37">
        <v>0</v>
      </c>
      <c r="EI37" t="s">
        <v>6</v>
      </c>
      <c r="EJ37">
        <v>1</v>
      </c>
      <c r="EK37">
        <v>11001</v>
      </c>
      <c r="EL37" t="s">
        <v>19</v>
      </c>
      <c r="EM37" t="s">
        <v>43</v>
      </c>
      <c r="EO37" t="s">
        <v>44</v>
      </c>
      <c r="EQ37">
        <v>0</v>
      </c>
      <c r="ER37">
        <v>453.75</v>
      </c>
      <c r="ES37">
        <v>132.85</v>
      </c>
      <c r="ET37">
        <v>25.85</v>
      </c>
      <c r="EU37">
        <v>0.87</v>
      </c>
      <c r="EV37">
        <v>295.05</v>
      </c>
      <c r="EW37">
        <v>26.97</v>
      </c>
      <c r="EX37">
        <v>7.0000000000000007E-2</v>
      </c>
      <c r="EY37">
        <v>0</v>
      </c>
      <c r="FQ37">
        <v>0</v>
      </c>
      <c r="FR37">
        <f t="shared" si="45"/>
        <v>0</v>
      </c>
      <c r="FS37">
        <v>0</v>
      </c>
      <c r="FT37" t="s">
        <v>45</v>
      </c>
      <c r="FU37" t="s">
        <v>46</v>
      </c>
      <c r="FX37">
        <v>110.7</v>
      </c>
      <c r="FY37">
        <v>63.75</v>
      </c>
      <c r="GA37" t="s">
        <v>6</v>
      </c>
      <c r="GD37">
        <v>0</v>
      </c>
      <c r="GF37">
        <v>708628656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6"/>
        <v>0</v>
      </c>
      <c r="GM37">
        <f t="shared" si="47"/>
        <v>68735.649999999994</v>
      </c>
      <c r="GN37">
        <f t="shared" si="48"/>
        <v>68735.649999999994</v>
      </c>
      <c r="GO37">
        <f t="shared" si="49"/>
        <v>0</v>
      </c>
      <c r="GP37">
        <f t="shared" si="50"/>
        <v>0</v>
      </c>
      <c r="GR37">
        <v>0</v>
      </c>
      <c r="GS37">
        <v>3</v>
      </c>
      <c r="GT37">
        <v>0</v>
      </c>
      <c r="GU37" t="s">
        <v>6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34</v>
      </c>
      <c r="D38" s="2"/>
      <c r="E38" s="2" t="s">
        <v>47</v>
      </c>
      <c r="F38" s="2" t="s">
        <v>48</v>
      </c>
      <c r="G38" s="2" t="s">
        <v>49</v>
      </c>
      <c r="H38" s="2" t="s">
        <v>50</v>
      </c>
      <c r="I38" s="2">
        <f>I36*J38</f>
        <v>243.42</v>
      </c>
      <c r="J38" s="2">
        <v>29.999999999999996</v>
      </c>
      <c r="K38" s="2"/>
      <c r="L38" s="2"/>
      <c r="M38" s="2"/>
      <c r="N38" s="2"/>
      <c r="O38" s="2">
        <f t="shared" si="14"/>
        <v>3673.21</v>
      </c>
      <c r="P38" s="2">
        <f t="shared" si="15"/>
        <v>3673.21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26914188</v>
      </c>
      <c r="AB38" s="2">
        <f t="shared" si="25"/>
        <v>15.09</v>
      </c>
      <c r="AC38" s="2">
        <f t="shared" si="26"/>
        <v>15.09</v>
      </c>
      <c r="AD38" s="2">
        <f t="shared" ref="AD38:AD43" si="53">ROUND((((ET38)-(EU38))+AE38),6)</f>
        <v>0</v>
      </c>
      <c r="AE38" s="2">
        <f t="shared" ref="AE38:AF43" si="54">ROUND((EU38),6)</f>
        <v>0</v>
      </c>
      <c r="AF38" s="2">
        <f t="shared" si="54"/>
        <v>0</v>
      </c>
      <c r="AG38" s="2">
        <f t="shared" si="30"/>
        <v>0</v>
      </c>
      <c r="AH38" s="2">
        <f t="shared" ref="AH38:AI43" si="55">(EW38)</f>
        <v>0</v>
      </c>
      <c r="AI38" s="2">
        <f t="shared" si="55"/>
        <v>0</v>
      </c>
      <c r="AJ38" s="2">
        <f t="shared" si="33"/>
        <v>0</v>
      </c>
      <c r="AK38" s="2">
        <v>15.09</v>
      </c>
      <c r="AL38" s="2">
        <v>15.09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51</v>
      </c>
      <c r="BK38" s="2"/>
      <c r="BL38" s="2"/>
      <c r="BM38" s="2">
        <v>11001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4"/>
        <v>3673.21</v>
      </c>
      <c r="CQ38" s="2">
        <f t="shared" si="35"/>
        <v>15.09</v>
      </c>
      <c r="CR38" s="2">
        <f t="shared" si="36"/>
        <v>0</v>
      </c>
      <c r="CS38" s="2">
        <f t="shared" si="37"/>
        <v>0</v>
      </c>
      <c r="CT38" s="2">
        <f t="shared" si="38"/>
        <v>0</v>
      </c>
      <c r="CU38" s="2">
        <f t="shared" si="39"/>
        <v>0</v>
      </c>
      <c r="CV38" s="2">
        <f t="shared" si="40"/>
        <v>0</v>
      </c>
      <c r="CW38" s="2">
        <f t="shared" si="41"/>
        <v>0</v>
      </c>
      <c r="CX38" s="2">
        <f t="shared" si="42"/>
        <v>0</v>
      </c>
      <c r="CY38" s="2">
        <f t="shared" si="43"/>
        <v>0</v>
      </c>
      <c r="CZ38" s="2">
        <f t="shared" si="44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50</v>
      </c>
      <c r="DW38" s="2" t="s">
        <v>50</v>
      </c>
      <c r="DX38" s="2">
        <v>1</v>
      </c>
      <c r="DY38" s="2"/>
      <c r="DZ38" s="2"/>
      <c r="EA38" s="2"/>
      <c r="EB38" s="2"/>
      <c r="EC38" s="2"/>
      <c r="ED38" s="2"/>
      <c r="EE38" s="2">
        <v>26549061</v>
      </c>
      <c r="EF38" s="2">
        <v>2</v>
      </c>
      <c r="EG38" s="2" t="s">
        <v>42</v>
      </c>
      <c r="EH38" s="2">
        <v>0</v>
      </c>
      <c r="EI38" s="2" t="s">
        <v>6</v>
      </c>
      <c r="EJ38" s="2">
        <v>1</v>
      </c>
      <c r="EK38" s="2">
        <v>11001</v>
      </c>
      <c r="EL38" s="2" t="s">
        <v>19</v>
      </c>
      <c r="EM38" s="2" t="s">
        <v>43</v>
      </c>
      <c r="EN38" s="2"/>
      <c r="EO38" s="2" t="s">
        <v>6</v>
      </c>
      <c r="EP38" s="2"/>
      <c r="EQ38" s="2">
        <v>0</v>
      </c>
      <c r="ER38" s="2">
        <v>15.09</v>
      </c>
      <c r="ES38" s="2">
        <v>15.09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5"/>
        <v>0</v>
      </c>
      <c r="FS38" s="2">
        <v>0</v>
      </c>
      <c r="FT38" s="2" t="s">
        <v>45</v>
      </c>
      <c r="FU38" s="2" t="s">
        <v>46</v>
      </c>
      <c r="FV38" s="2"/>
      <c r="FW38" s="2"/>
      <c r="FX38" s="2">
        <v>110.7</v>
      </c>
      <c r="FY38" s="2">
        <v>63.75</v>
      </c>
      <c r="FZ38" s="2"/>
      <c r="GA38" s="2" t="s">
        <v>6</v>
      </c>
      <c r="GB38" s="2"/>
      <c r="GC38" s="2"/>
      <c r="GD38" s="2">
        <v>0</v>
      </c>
      <c r="GE38" s="2"/>
      <c r="GF38" s="2">
        <v>1453462043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6"/>
        <v>0</v>
      </c>
      <c r="GM38" s="2">
        <f t="shared" si="47"/>
        <v>3673.21</v>
      </c>
      <c r="GN38" s="2">
        <f t="shared" si="48"/>
        <v>3673.21</v>
      </c>
      <c r="GO38" s="2">
        <f t="shared" si="49"/>
        <v>0</v>
      </c>
      <c r="GP38" s="2">
        <f t="shared" si="50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1"/>
        <v>0</v>
      </c>
      <c r="GW38" s="2">
        <v>1</v>
      </c>
      <c r="GX38" s="2">
        <f t="shared" si="52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44</v>
      </c>
      <c r="E39" t="s">
        <v>47</v>
      </c>
      <c r="F39" t="s">
        <v>48</v>
      </c>
      <c r="G39" t="s">
        <v>49</v>
      </c>
      <c r="H39" t="s">
        <v>50</v>
      </c>
      <c r="I39">
        <f>I37*J39</f>
        <v>243.42</v>
      </c>
      <c r="J39">
        <v>29.999999999999996</v>
      </c>
      <c r="O39">
        <f t="shared" si="14"/>
        <v>28283.7</v>
      </c>
      <c r="P39">
        <f t="shared" si="15"/>
        <v>28283.7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26914189</v>
      </c>
      <c r="AB39">
        <f t="shared" si="25"/>
        <v>15.09</v>
      </c>
      <c r="AC39">
        <f t="shared" si="26"/>
        <v>15.09</v>
      </c>
      <c r="AD39">
        <f t="shared" si="53"/>
        <v>0</v>
      </c>
      <c r="AE39">
        <f t="shared" si="54"/>
        <v>0</v>
      </c>
      <c r="AF39">
        <f t="shared" si="54"/>
        <v>0</v>
      </c>
      <c r="AG39">
        <f t="shared" si="30"/>
        <v>0</v>
      </c>
      <c r="AH39">
        <f t="shared" si="55"/>
        <v>0</v>
      </c>
      <c r="AI39">
        <f t="shared" si="55"/>
        <v>0</v>
      </c>
      <c r="AJ39">
        <f t="shared" si="33"/>
        <v>0</v>
      </c>
      <c r="AK39">
        <v>15.09</v>
      </c>
      <c r="AL39">
        <v>15.09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7.7</v>
      </c>
      <c r="BA39">
        <v>1</v>
      </c>
      <c r="BB39">
        <v>1</v>
      </c>
      <c r="BC39">
        <v>7.7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51</v>
      </c>
      <c r="BM39">
        <v>11001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4"/>
        <v>28283.7</v>
      </c>
      <c r="CQ39">
        <f t="shared" si="35"/>
        <v>116.193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50</v>
      </c>
      <c r="DW39" t="s">
        <v>50</v>
      </c>
      <c r="DX39">
        <v>1</v>
      </c>
      <c r="EE39">
        <v>26549061</v>
      </c>
      <c r="EF39">
        <v>2</v>
      </c>
      <c r="EG39" t="s">
        <v>42</v>
      </c>
      <c r="EH39">
        <v>0</v>
      </c>
      <c r="EI39" t="s">
        <v>6</v>
      </c>
      <c r="EJ39">
        <v>1</v>
      </c>
      <c r="EK39">
        <v>11001</v>
      </c>
      <c r="EL39" t="s">
        <v>19</v>
      </c>
      <c r="EM39" t="s">
        <v>43</v>
      </c>
      <c r="EO39" t="s">
        <v>6</v>
      </c>
      <c r="EQ39">
        <v>0</v>
      </c>
      <c r="ER39">
        <v>15.09</v>
      </c>
      <c r="ES39">
        <v>15.09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T39" t="s">
        <v>45</v>
      </c>
      <c r="FU39" t="s">
        <v>46</v>
      </c>
      <c r="FX39">
        <v>110.7</v>
      </c>
      <c r="FY39">
        <v>63.75</v>
      </c>
      <c r="GA39" t="s">
        <v>6</v>
      </c>
      <c r="GD39">
        <v>0</v>
      </c>
      <c r="GF39">
        <v>1453462043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6"/>
        <v>0</v>
      </c>
      <c r="GM39">
        <f t="shared" si="47"/>
        <v>28283.7</v>
      </c>
      <c r="GN39">
        <f t="shared" si="48"/>
        <v>28283.7</v>
      </c>
      <c r="GO39">
        <f t="shared" si="49"/>
        <v>0</v>
      </c>
      <c r="GP39">
        <f t="shared" si="50"/>
        <v>0</v>
      </c>
      <c r="GR39">
        <v>0</v>
      </c>
      <c r="GS39">
        <v>3</v>
      </c>
      <c r="GT39">
        <v>0</v>
      </c>
      <c r="GU39" t="s">
        <v>6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31</v>
      </c>
      <c r="D40" s="2"/>
      <c r="E40" s="2" t="s">
        <v>52</v>
      </c>
      <c r="F40" s="2" t="s">
        <v>53</v>
      </c>
      <c r="G40" s="2" t="s">
        <v>54</v>
      </c>
      <c r="H40" s="2" t="s">
        <v>24</v>
      </c>
      <c r="I40" s="2">
        <f>I36*J40</f>
        <v>-0.16228000000000001</v>
      </c>
      <c r="J40" s="2">
        <v>-0.02</v>
      </c>
      <c r="K40" s="2"/>
      <c r="L40" s="2"/>
      <c r="M40" s="2"/>
      <c r="N40" s="2"/>
      <c r="O40" s="2">
        <f t="shared" si="14"/>
        <v>-224.45</v>
      </c>
      <c r="P40" s="2">
        <f t="shared" si="15"/>
        <v>-224.45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26914188</v>
      </c>
      <c r="AB40" s="2">
        <f t="shared" si="25"/>
        <v>1383.1</v>
      </c>
      <c r="AC40" s="2">
        <f t="shared" si="26"/>
        <v>1383.1</v>
      </c>
      <c r="AD40" s="2">
        <f t="shared" si="53"/>
        <v>0</v>
      </c>
      <c r="AE40" s="2">
        <f t="shared" si="54"/>
        <v>0</v>
      </c>
      <c r="AF40" s="2">
        <f t="shared" si="54"/>
        <v>0</v>
      </c>
      <c r="AG40" s="2">
        <f t="shared" si="30"/>
        <v>0</v>
      </c>
      <c r="AH40" s="2">
        <f t="shared" si="55"/>
        <v>0</v>
      </c>
      <c r="AI40" s="2">
        <f t="shared" si="55"/>
        <v>0</v>
      </c>
      <c r="AJ40" s="2">
        <f t="shared" si="33"/>
        <v>0</v>
      </c>
      <c r="AK40" s="2">
        <v>1383.1</v>
      </c>
      <c r="AL40" s="2">
        <v>1383.1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111</v>
      </c>
      <c r="AU40" s="2">
        <v>64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55</v>
      </c>
      <c r="BK40" s="2"/>
      <c r="BL40" s="2"/>
      <c r="BM40" s="2">
        <v>11001</v>
      </c>
      <c r="BN40" s="2">
        <v>0</v>
      </c>
      <c r="BO40" s="2" t="s">
        <v>6</v>
      </c>
      <c r="BP40" s="2">
        <v>0</v>
      </c>
      <c r="BQ40" s="2">
        <v>2</v>
      </c>
      <c r="BR40" s="2">
        <v>1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123</v>
      </c>
      <c r="CA40" s="2">
        <v>75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4"/>
        <v>-224.45</v>
      </c>
      <c r="CQ40" s="2">
        <f t="shared" si="35"/>
        <v>1383.1</v>
      </c>
      <c r="CR40" s="2">
        <f t="shared" si="36"/>
        <v>0</v>
      </c>
      <c r="CS40" s="2">
        <f t="shared" si="37"/>
        <v>0</v>
      </c>
      <c r="CT40" s="2">
        <f t="shared" si="38"/>
        <v>0</v>
      </c>
      <c r="CU40" s="2">
        <f t="shared" si="39"/>
        <v>0</v>
      </c>
      <c r="CV40" s="2">
        <f t="shared" si="40"/>
        <v>0</v>
      </c>
      <c r="CW40" s="2">
        <f t="shared" si="41"/>
        <v>0</v>
      </c>
      <c r="CX40" s="2">
        <f t="shared" si="42"/>
        <v>0</v>
      </c>
      <c r="CY40" s="2">
        <f t="shared" si="43"/>
        <v>0</v>
      </c>
      <c r="CZ40" s="2">
        <f t="shared" si="44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24</v>
      </c>
      <c r="DW40" s="2" t="s">
        <v>24</v>
      </c>
      <c r="DX40" s="2">
        <v>1000</v>
      </c>
      <c r="DY40" s="2"/>
      <c r="DZ40" s="2"/>
      <c r="EA40" s="2"/>
      <c r="EB40" s="2"/>
      <c r="EC40" s="2"/>
      <c r="ED40" s="2"/>
      <c r="EE40" s="2">
        <v>26549061</v>
      </c>
      <c r="EF40" s="2">
        <v>2</v>
      </c>
      <c r="EG40" s="2" t="s">
        <v>42</v>
      </c>
      <c r="EH40" s="2">
        <v>0</v>
      </c>
      <c r="EI40" s="2" t="s">
        <v>6</v>
      </c>
      <c r="EJ40" s="2">
        <v>1</v>
      </c>
      <c r="EK40" s="2">
        <v>11001</v>
      </c>
      <c r="EL40" s="2" t="s">
        <v>19</v>
      </c>
      <c r="EM40" s="2" t="s">
        <v>43</v>
      </c>
      <c r="EN40" s="2"/>
      <c r="EO40" s="2" t="s">
        <v>6</v>
      </c>
      <c r="EP40" s="2"/>
      <c r="EQ40" s="2">
        <v>0</v>
      </c>
      <c r="ER40" s="2">
        <v>1383.1</v>
      </c>
      <c r="ES40" s="2">
        <v>1383.1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5"/>
        <v>0</v>
      </c>
      <c r="FS40" s="2">
        <v>0</v>
      </c>
      <c r="FT40" s="2" t="s">
        <v>45</v>
      </c>
      <c r="FU40" s="2" t="s">
        <v>46</v>
      </c>
      <c r="FV40" s="2"/>
      <c r="FW40" s="2"/>
      <c r="FX40" s="2">
        <v>110.7</v>
      </c>
      <c r="FY40" s="2">
        <v>63.75</v>
      </c>
      <c r="FZ40" s="2"/>
      <c r="GA40" s="2" t="s">
        <v>6</v>
      </c>
      <c r="GB40" s="2"/>
      <c r="GC40" s="2"/>
      <c r="GD40" s="2">
        <v>0</v>
      </c>
      <c r="GE40" s="2"/>
      <c r="GF40" s="2">
        <v>110322092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6"/>
        <v>0</v>
      </c>
      <c r="GM40" s="2">
        <f t="shared" si="47"/>
        <v>-224.45</v>
      </c>
      <c r="GN40" s="2">
        <f t="shared" si="48"/>
        <v>-224.45</v>
      </c>
      <c r="GO40" s="2">
        <f t="shared" si="49"/>
        <v>0</v>
      </c>
      <c r="GP40" s="2">
        <f t="shared" si="50"/>
        <v>0</v>
      </c>
      <c r="GQ40" s="2"/>
      <c r="GR40" s="2">
        <v>0</v>
      </c>
      <c r="GS40" s="2">
        <v>0</v>
      </c>
      <c r="GT40" s="2">
        <v>0</v>
      </c>
      <c r="GU40" s="2" t="s">
        <v>6</v>
      </c>
      <c r="GV40" s="2">
        <f t="shared" si="51"/>
        <v>0</v>
      </c>
      <c r="GW40" s="2">
        <v>1</v>
      </c>
      <c r="GX40" s="2">
        <f t="shared" si="52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41</v>
      </c>
      <c r="E41" t="s">
        <v>52</v>
      </c>
      <c r="F41" t="s">
        <v>53</v>
      </c>
      <c r="G41" t="s">
        <v>54</v>
      </c>
      <c r="H41" t="s">
        <v>24</v>
      </c>
      <c r="I41">
        <f>I37*J41</f>
        <v>-0.16228000000000001</v>
      </c>
      <c r="J41">
        <v>-0.02</v>
      </c>
      <c r="O41">
        <f t="shared" si="14"/>
        <v>-1728.26</v>
      </c>
      <c r="P41">
        <f t="shared" si="15"/>
        <v>-1728.26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26914189</v>
      </c>
      <c r="AB41">
        <f t="shared" si="25"/>
        <v>1383.1</v>
      </c>
      <c r="AC41">
        <f t="shared" si="26"/>
        <v>1383.1</v>
      </c>
      <c r="AD41">
        <f t="shared" si="53"/>
        <v>0</v>
      </c>
      <c r="AE41">
        <f t="shared" si="54"/>
        <v>0</v>
      </c>
      <c r="AF41">
        <f t="shared" si="54"/>
        <v>0</v>
      </c>
      <c r="AG41">
        <f t="shared" si="30"/>
        <v>0</v>
      </c>
      <c r="AH41">
        <f t="shared" si="55"/>
        <v>0</v>
      </c>
      <c r="AI41">
        <f t="shared" si="55"/>
        <v>0</v>
      </c>
      <c r="AJ41">
        <f t="shared" si="33"/>
        <v>0</v>
      </c>
      <c r="AK41">
        <v>1383.1</v>
      </c>
      <c r="AL41">
        <v>1383.1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7.7</v>
      </c>
      <c r="BA41">
        <v>1</v>
      </c>
      <c r="BB41">
        <v>1</v>
      </c>
      <c r="BC41">
        <v>7.7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55</v>
      </c>
      <c r="BM41">
        <v>11001</v>
      </c>
      <c r="BN41">
        <v>0</v>
      </c>
      <c r="BO41" t="s">
        <v>6</v>
      </c>
      <c r="BP41">
        <v>0</v>
      </c>
      <c r="BQ41">
        <v>2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4"/>
        <v>-1728.26</v>
      </c>
      <c r="CQ41">
        <f t="shared" si="35"/>
        <v>10649.869999999999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24</v>
      </c>
      <c r="DW41" t="s">
        <v>24</v>
      </c>
      <c r="DX41">
        <v>1000</v>
      </c>
      <c r="EE41">
        <v>26549061</v>
      </c>
      <c r="EF41">
        <v>2</v>
      </c>
      <c r="EG41" t="s">
        <v>42</v>
      </c>
      <c r="EH41">
        <v>0</v>
      </c>
      <c r="EI41" t="s">
        <v>6</v>
      </c>
      <c r="EJ41">
        <v>1</v>
      </c>
      <c r="EK41">
        <v>11001</v>
      </c>
      <c r="EL41" t="s">
        <v>19</v>
      </c>
      <c r="EM41" t="s">
        <v>43</v>
      </c>
      <c r="EO41" t="s">
        <v>6</v>
      </c>
      <c r="EQ41">
        <v>0</v>
      </c>
      <c r="ER41">
        <v>1383.1</v>
      </c>
      <c r="ES41">
        <v>1383.1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T41" t="s">
        <v>45</v>
      </c>
      <c r="FU41" t="s">
        <v>46</v>
      </c>
      <c r="FX41">
        <v>110.7</v>
      </c>
      <c r="FY41">
        <v>63.75</v>
      </c>
      <c r="GA41" t="s">
        <v>6</v>
      </c>
      <c r="GD41">
        <v>0</v>
      </c>
      <c r="GF41">
        <v>110322092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6"/>
        <v>0</v>
      </c>
      <c r="GM41">
        <f t="shared" si="47"/>
        <v>-1728.26</v>
      </c>
      <c r="GN41">
        <f t="shared" si="48"/>
        <v>-1728.26</v>
      </c>
      <c r="GO41">
        <f t="shared" si="49"/>
        <v>0</v>
      </c>
      <c r="GP41">
        <f t="shared" si="50"/>
        <v>0</v>
      </c>
      <c r="GR41">
        <v>0</v>
      </c>
      <c r="GS41">
        <v>0</v>
      </c>
      <c r="GT41">
        <v>0</v>
      </c>
      <c r="GU41" t="s">
        <v>6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32</v>
      </c>
      <c r="D42" s="2"/>
      <c r="E42" s="2" t="s">
        <v>56</v>
      </c>
      <c r="F42" s="2" t="s">
        <v>57</v>
      </c>
      <c r="G42" s="2" t="s">
        <v>58</v>
      </c>
      <c r="H42" s="2" t="s">
        <v>24</v>
      </c>
      <c r="I42" s="2">
        <f>I36*J42</f>
        <v>-0.32456000000000002</v>
      </c>
      <c r="J42" s="2">
        <v>-0.04</v>
      </c>
      <c r="K42" s="2"/>
      <c r="L42" s="2"/>
      <c r="M42" s="2"/>
      <c r="N42" s="2"/>
      <c r="O42" s="2">
        <f t="shared" si="14"/>
        <v>-846.1</v>
      </c>
      <c r="P42" s="2">
        <f t="shared" si="15"/>
        <v>-846.1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26914188</v>
      </c>
      <c r="AB42" s="2">
        <f t="shared" si="25"/>
        <v>2606.9</v>
      </c>
      <c r="AC42" s="2">
        <f t="shared" si="26"/>
        <v>2606.9</v>
      </c>
      <c r="AD42" s="2">
        <f t="shared" si="53"/>
        <v>0</v>
      </c>
      <c r="AE42" s="2">
        <f t="shared" si="54"/>
        <v>0</v>
      </c>
      <c r="AF42" s="2">
        <f t="shared" si="54"/>
        <v>0</v>
      </c>
      <c r="AG42" s="2">
        <f t="shared" si="30"/>
        <v>0</v>
      </c>
      <c r="AH42" s="2">
        <f t="shared" si="55"/>
        <v>0</v>
      </c>
      <c r="AI42" s="2">
        <f t="shared" si="55"/>
        <v>0</v>
      </c>
      <c r="AJ42" s="2">
        <f t="shared" si="33"/>
        <v>0</v>
      </c>
      <c r="AK42" s="2">
        <v>2606.9</v>
      </c>
      <c r="AL42" s="2">
        <v>2606.9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111</v>
      </c>
      <c r="AU42" s="2">
        <v>64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59</v>
      </c>
      <c r="BK42" s="2"/>
      <c r="BL42" s="2"/>
      <c r="BM42" s="2">
        <v>11001</v>
      </c>
      <c r="BN42" s="2">
        <v>0</v>
      </c>
      <c r="BO42" s="2" t="s">
        <v>6</v>
      </c>
      <c r="BP42" s="2">
        <v>0</v>
      </c>
      <c r="BQ42" s="2">
        <v>2</v>
      </c>
      <c r="BR42" s="2">
        <v>1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123</v>
      </c>
      <c r="CA42" s="2">
        <v>75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4"/>
        <v>-846.1</v>
      </c>
      <c r="CQ42" s="2">
        <f t="shared" si="35"/>
        <v>2606.9</v>
      </c>
      <c r="CR42" s="2">
        <f t="shared" si="36"/>
        <v>0</v>
      </c>
      <c r="CS42" s="2">
        <f t="shared" si="37"/>
        <v>0</v>
      </c>
      <c r="CT42" s="2">
        <f t="shared" si="38"/>
        <v>0</v>
      </c>
      <c r="CU42" s="2">
        <f t="shared" si="39"/>
        <v>0</v>
      </c>
      <c r="CV42" s="2">
        <f t="shared" si="40"/>
        <v>0</v>
      </c>
      <c r="CW42" s="2">
        <f t="shared" si="41"/>
        <v>0</v>
      </c>
      <c r="CX42" s="2">
        <f t="shared" si="42"/>
        <v>0</v>
      </c>
      <c r="CY42" s="2">
        <f t="shared" si="43"/>
        <v>0</v>
      </c>
      <c r="CZ42" s="2">
        <f t="shared" si="44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24</v>
      </c>
      <c r="DW42" s="2" t="s">
        <v>24</v>
      </c>
      <c r="DX42" s="2">
        <v>1000</v>
      </c>
      <c r="DY42" s="2"/>
      <c r="DZ42" s="2"/>
      <c r="EA42" s="2"/>
      <c r="EB42" s="2"/>
      <c r="EC42" s="2"/>
      <c r="ED42" s="2"/>
      <c r="EE42" s="2">
        <v>26549061</v>
      </c>
      <c r="EF42" s="2">
        <v>2</v>
      </c>
      <c r="EG42" s="2" t="s">
        <v>42</v>
      </c>
      <c r="EH42" s="2">
        <v>0</v>
      </c>
      <c r="EI42" s="2" t="s">
        <v>6</v>
      </c>
      <c r="EJ42" s="2">
        <v>1</v>
      </c>
      <c r="EK42" s="2">
        <v>11001</v>
      </c>
      <c r="EL42" s="2" t="s">
        <v>19</v>
      </c>
      <c r="EM42" s="2" t="s">
        <v>43</v>
      </c>
      <c r="EN42" s="2"/>
      <c r="EO42" s="2" t="s">
        <v>6</v>
      </c>
      <c r="EP42" s="2"/>
      <c r="EQ42" s="2">
        <v>0</v>
      </c>
      <c r="ER42" s="2">
        <v>2606.9</v>
      </c>
      <c r="ES42" s="2">
        <v>2606.9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5"/>
        <v>0</v>
      </c>
      <c r="FS42" s="2">
        <v>0</v>
      </c>
      <c r="FT42" s="2" t="s">
        <v>45</v>
      </c>
      <c r="FU42" s="2" t="s">
        <v>46</v>
      </c>
      <c r="FV42" s="2"/>
      <c r="FW42" s="2"/>
      <c r="FX42" s="2">
        <v>110.7</v>
      </c>
      <c r="FY42" s="2">
        <v>63.75</v>
      </c>
      <c r="FZ42" s="2"/>
      <c r="GA42" s="2" t="s">
        <v>6</v>
      </c>
      <c r="GB42" s="2"/>
      <c r="GC42" s="2"/>
      <c r="GD42" s="2">
        <v>0</v>
      </c>
      <c r="GE42" s="2"/>
      <c r="GF42" s="2">
        <v>-1709508773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6"/>
        <v>0</v>
      </c>
      <c r="GM42" s="2">
        <f t="shared" si="47"/>
        <v>-846.1</v>
      </c>
      <c r="GN42" s="2">
        <f t="shared" si="48"/>
        <v>-846.1</v>
      </c>
      <c r="GO42" s="2">
        <f t="shared" si="49"/>
        <v>0</v>
      </c>
      <c r="GP42" s="2">
        <f t="shared" si="50"/>
        <v>0</v>
      </c>
      <c r="GQ42" s="2"/>
      <c r="GR42" s="2">
        <v>0</v>
      </c>
      <c r="GS42" s="2">
        <v>0</v>
      </c>
      <c r="GT42" s="2">
        <v>0</v>
      </c>
      <c r="GU42" s="2" t="s">
        <v>6</v>
      </c>
      <c r="GV42" s="2">
        <f t="shared" si="51"/>
        <v>0</v>
      </c>
      <c r="GW42" s="2">
        <v>1</v>
      </c>
      <c r="GX42" s="2">
        <f t="shared" si="52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42</v>
      </c>
      <c r="E43" t="s">
        <v>56</v>
      </c>
      <c r="F43" t="s">
        <v>57</v>
      </c>
      <c r="G43" t="s">
        <v>58</v>
      </c>
      <c r="H43" t="s">
        <v>24</v>
      </c>
      <c r="I43">
        <f>I37*J43</f>
        <v>-0.32456000000000002</v>
      </c>
      <c r="J43">
        <v>-0.04</v>
      </c>
      <c r="O43">
        <f t="shared" si="14"/>
        <v>-6514.94</v>
      </c>
      <c r="P43">
        <f t="shared" si="15"/>
        <v>-6514.94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26914189</v>
      </c>
      <c r="AB43">
        <f t="shared" si="25"/>
        <v>2606.9</v>
      </c>
      <c r="AC43">
        <f t="shared" si="26"/>
        <v>2606.9</v>
      </c>
      <c r="AD43">
        <f t="shared" si="53"/>
        <v>0</v>
      </c>
      <c r="AE43">
        <f t="shared" si="54"/>
        <v>0</v>
      </c>
      <c r="AF43">
        <f t="shared" si="54"/>
        <v>0</v>
      </c>
      <c r="AG43">
        <f t="shared" si="30"/>
        <v>0</v>
      </c>
      <c r="AH43">
        <f t="shared" si="55"/>
        <v>0</v>
      </c>
      <c r="AI43">
        <f t="shared" si="55"/>
        <v>0</v>
      </c>
      <c r="AJ43">
        <f t="shared" si="33"/>
        <v>0</v>
      </c>
      <c r="AK43">
        <v>2606.9</v>
      </c>
      <c r="AL43">
        <v>2606.9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7.7</v>
      </c>
      <c r="BA43">
        <v>1</v>
      </c>
      <c r="BB43">
        <v>1</v>
      </c>
      <c r="BC43">
        <v>7.7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59</v>
      </c>
      <c r="BM43">
        <v>11001</v>
      </c>
      <c r="BN43">
        <v>0</v>
      </c>
      <c r="BO43" t="s">
        <v>6</v>
      </c>
      <c r="BP43">
        <v>0</v>
      </c>
      <c r="BQ43">
        <v>2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4"/>
        <v>-6514.94</v>
      </c>
      <c r="CQ43">
        <f t="shared" si="35"/>
        <v>20073.13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24</v>
      </c>
      <c r="DW43" t="s">
        <v>24</v>
      </c>
      <c r="DX43">
        <v>1000</v>
      </c>
      <c r="EE43">
        <v>26549061</v>
      </c>
      <c r="EF43">
        <v>2</v>
      </c>
      <c r="EG43" t="s">
        <v>42</v>
      </c>
      <c r="EH43">
        <v>0</v>
      </c>
      <c r="EI43" t="s">
        <v>6</v>
      </c>
      <c r="EJ43">
        <v>1</v>
      </c>
      <c r="EK43">
        <v>11001</v>
      </c>
      <c r="EL43" t="s">
        <v>19</v>
      </c>
      <c r="EM43" t="s">
        <v>43</v>
      </c>
      <c r="EO43" t="s">
        <v>6</v>
      </c>
      <c r="EQ43">
        <v>0</v>
      </c>
      <c r="ER43">
        <v>2606.9</v>
      </c>
      <c r="ES43">
        <v>2606.9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T43" t="s">
        <v>45</v>
      </c>
      <c r="FU43" t="s">
        <v>46</v>
      </c>
      <c r="FX43">
        <v>110.7</v>
      </c>
      <c r="FY43">
        <v>63.75</v>
      </c>
      <c r="GA43" t="s">
        <v>6</v>
      </c>
      <c r="GD43">
        <v>0</v>
      </c>
      <c r="GF43">
        <v>-1709508773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6"/>
        <v>0</v>
      </c>
      <c r="GM43">
        <f t="shared" si="47"/>
        <v>-6514.94</v>
      </c>
      <c r="GN43">
        <f t="shared" si="48"/>
        <v>-6514.94</v>
      </c>
      <c r="GO43">
        <f t="shared" si="49"/>
        <v>0</v>
      </c>
      <c r="GP43">
        <f t="shared" si="50"/>
        <v>0</v>
      </c>
      <c r="GR43">
        <v>0</v>
      </c>
      <c r="GS43">
        <v>0</v>
      </c>
      <c r="GT43">
        <v>0</v>
      </c>
      <c r="GU43" t="s">
        <v>6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ROW(SmtRes!A51)</f>
        <v>51</v>
      </c>
      <c r="D44" s="2">
        <f>ROW(EtalonRes!A49)</f>
        <v>49</v>
      </c>
      <c r="E44" s="2" t="s">
        <v>60</v>
      </c>
      <c r="F44" s="2" t="s">
        <v>61</v>
      </c>
      <c r="G44" s="2" t="s">
        <v>62</v>
      </c>
      <c r="H44" s="2" t="s">
        <v>16</v>
      </c>
      <c r="I44" s="2">
        <f>ROUND((202.8+204.2+200.2+204.2)/100,9)</f>
        <v>8.1140000000000008</v>
      </c>
      <c r="J44" s="2">
        <v>0</v>
      </c>
      <c r="K44" s="2"/>
      <c r="L44" s="2"/>
      <c r="M44" s="2"/>
      <c r="N44" s="2"/>
      <c r="O44" s="2">
        <f t="shared" si="14"/>
        <v>89892.14</v>
      </c>
      <c r="P44" s="2">
        <f t="shared" si="15"/>
        <v>86830.59</v>
      </c>
      <c r="Q44" s="2">
        <f t="shared" si="16"/>
        <v>63.19</v>
      </c>
      <c r="R44" s="2">
        <f t="shared" si="17"/>
        <v>19.98</v>
      </c>
      <c r="S44" s="2">
        <f t="shared" si="18"/>
        <v>2998.36</v>
      </c>
      <c r="T44" s="2">
        <f t="shared" si="19"/>
        <v>0</v>
      </c>
      <c r="U44" s="2">
        <f t="shared" si="20"/>
        <v>351.50253700000002</v>
      </c>
      <c r="V44" s="2">
        <f t="shared" si="21"/>
        <v>1.7242250000000003</v>
      </c>
      <c r="W44" s="2">
        <f t="shared" si="22"/>
        <v>0</v>
      </c>
      <c r="X44" s="2">
        <f t="shared" si="23"/>
        <v>3350.36</v>
      </c>
      <c r="Y44" s="2">
        <f t="shared" si="24"/>
        <v>1931.74</v>
      </c>
      <c r="Z44" s="2"/>
      <c r="AA44" s="2">
        <v>26914188</v>
      </c>
      <c r="AB44" s="2">
        <f t="shared" si="25"/>
        <v>11078.647000000001</v>
      </c>
      <c r="AC44" s="2">
        <f t="shared" si="26"/>
        <v>10701.33</v>
      </c>
      <c r="AD44" s="2">
        <f>ROUND(((((ET44*1.25))-((EU44*1.25)))+AE44),6)</f>
        <v>7.7874999999999996</v>
      </c>
      <c r="AE44" s="2">
        <f>ROUND(((EU44*1.25)),6)</f>
        <v>2.4624999999999999</v>
      </c>
      <c r="AF44" s="2">
        <f>ROUND(((EV44*1.15)),6)</f>
        <v>369.52949999999998</v>
      </c>
      <c r="AG44" s="2">
        <f t="shared" si="30"/>
        <v>0</v>
      </c>
      <c r="AH44" s="2">
        <f>((EW44*1.15))</f>
        <v>43.320499999999996</v>
      </c>
      <c r="AI44" s="2">
        <f>((EX44*1.25))</f>
        <v>0.21250000000000002</v>
      </c>
      <c r="AJ44" s="2">
        <f t="shared" si="33"/>
        <v>0</v>
      </c>
      <c r="AK44" s="2">
        <v>11028.89</v>
      </c>
      <c r="AL44" s="2">
        <v>10701.33</v>
      </c>
      <c r="AM44" s="2">
        <v>6.23</v>
      </c>
      <c r="AN44" s="2">
        <v>1.97</v>
      </c>
      <c r="AO44" s="2">
        <v>321.33</v>
      </c>
      <c r="AP44" s="2">
        <v>0</v>
      </c>
      <c r="AQ44" s="2">
        <v>37.67</v>
      </c>
      <c r="AR44" s="2">
        <v>0.17</v>
      </c>
      <c r="AS44" s="2">
        <v>0</v>
      </c>
      <c r="AT44" s="2">
        <v>111</v>
      </c>
      <c r="AU44" s="2">
        <v>64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63</v>
      </c>
      <c r="BK44" s="2"/>
      <c r="BL44" s="2"/>
      <c r="BM44" s="2">
        <v>11001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123</v>
      </c>
      <c r="CA44" s="2">
        <v>75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510</v>
      </c>
      <c r="CO44" s="2">
        <v>0</v>
      </c>
      <c r="CP44" s="2">
        <f t="shared" si="34"/>
        <v>89892.14</v>
      </c>
      <c r="CQ44" s="2">
        <f t="shared" si="35"/>
        <v>10701.33</v>
      </c>
      <c r="CR44" s="2">
        <f t="shared" si="36"/>
        <v>7.7874999999999996</v>
      </c>
      <c r="CS44" s="2">
        <f t="shared" si="37"/>
        <v>2.4624999999999999</v>
      </c>
      <c r="CT44" s="2">
        <f t="shared" si="38"/>
        <v>369.52949999999998</v>
      </c>
      <c r="CU44" s="2">
        <f t="shared" si="39"/>
        <v>0</v>
      </c>
      <c r="CV44" s="2">
        <f t="shared" si="40"/>
        <v>43.320499999999996</v>
      </c>
      <c r="CW44" s="2">
        <f t="shared" si="41"/>
        <v>0.21250000000000002</v>
      </c>
      <c r="CX44" s="2">
        <f t="shared" si="42"/>
        <v>0</v>
      </c>
      <c r="CY44" s="2">
        <f t="shared" si="43"/>
        <v>3350.3573999999999</v>
      </c>
      <c r="CZ44" s="2">
        <f t="shared" si="44"/>
        <v>1931.7376000000002</v>
      </c>
      <c r="DA44" s="2"/>
      <c r="DB44" s="2"/>
      <c r="DC44" s="2" t="s">
        <v>6</v>
      </c>
      <c r="DD44" s="2" t="s">
        <v>6</v>
      </c>
      <c r="DE44" s="2" t="s">
        <v>40</v>
      </c>
      <c r="DF44" s="2" t="s">
        <v>40</v>
      </c>
      <c r="DG44" s="2" t="s">
        <v>41</v>
      </c>
      <c r="DH44" s="2" t="s">
        <v>6</v>
      </c>
      <c r="DI44" s="2" t="s">
        <v>41</v>
      </c>
      <c r="DJ44" s="2" t="s">
        <v>40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16</v>
      </c>
      <c r="DW44" s="2" t="s">
        <v>16</v>
      </c>
      <c r="DX44" s="2">
        <v>100</v>
      </c>
      <c r="DY44" s="2"/>
      <c r="DZ44" s="2"/>
      <c r="EA44" s="2"/>
      <c r="EB44" s="2"/>
      <c r="EC44" s="2"/>
      <c r="ED44" s="2"/>
      <c r="EE44" s="2">
        <v>26549061</v>
      </c>
      <c r="EF44" s="2">
        <v>2</v>
      </c>
      <c r="EG44" s="2" t="s">
        <v>42</v>
      </c>
      <c r="EH44" s="2">
        <v>0</v>
      </c>
      <c r="EI44" s="2" t="s">
        <v>6</v>
      </c>
      <c r="EJ44" s="2">
        <v>1</v>
      </c>
      <c r="EK44" s="2">
        <v>11001</v>
      </c>
      <c r="EL44" s="2" t="s">
        <v>19</v>
      </c>
      <c r="EM44" s="2" t="s">
        <v>43</v>
      </c>
      <c r="EN44" s="2"/>
      <c r="EO44" s="2" t="s">
        <v>44</v>
      </c>
      <c r="EP44" s="2"/>
      <c r="EQ44" s="2">
        <v>0</v>
      </c>
      <c r="ER44" s="2">
        <v>11028.89</v>
      </c>
      <c r="ES44" s="2">
        <v>10701.33</v>
      </c>
      <c r="ET44" s="2">
        <v>6.23</v>
      </c>
      <c r="EU44" s="2">
        <v>1.97</v>
      </c>
      <c r="EV44" s="2">
        <v>321.33</v>
      </c>
      <c r="EW44" s="2">
        <v>37.67</v>
      </c>
      <c r="EX44" s="2">
        <v>0.17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5"/>
        <v>0</v>
      </c>
      <c r="FS44" s="2">
        <v>0</v>
      </c>
      <c r="FT44" s="2" t="s">
        <v>45</v>
      </c>
      <c r="FU44" s="2" t="s">
        <v>46</v>
      </c>
      <c r="FV44" s="2"/>
      <c r="FW44" s="2"/>
      <c r="FX44" s="2">
        <v>110.7</v>
      </c>
      <c r="FY44" s="2">
        <v>63.75</v>
      </c>
      <c r="FZ44" s="2"/>
      <c r="GA44" s="2" t="s">
        <v>6</v>
      </c>
      <c r="GB44" s="2"/>
      <c r="GC44" s="2"/>
      <c r="GD44" s="2">
        <v>0</v>
      </c>
      <c r="GE44" s="2"/>
      <c r="GF44" s="2">
        <v>1715562049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6"/>
        <v>0</v>
      </c>
      <c r="GM44" s="2">
        <f t="shared" si="47"/>
        <v>95174.24</v>
      </c>
      <c r="GN44" s="2">
        <f t="shared" si="48"/>
        <v>95174.24</v>
      </c>
      <c r="GO44" s="2">
        <f t="shared" si="49"/>
        <v>0</v>
      </c>
      <c r="GP44" s="2">
        <f t="shared" si="50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1"/>
        <v>0</v>
      </c>
      <c r="GW44" s="2">
        <v>1</v>
      </c>
      <c r="GX44" s="2">
        <f t="shared" si="52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ROW(SmtRes!A58)</f>
        <v>58</v>
      </c>
      <c r="D45">
        <f>ROW(EtalonRes!A56)</f>
        <v>56</v>
      </c>
      <c r="E45" t="s">
        <v>60</v>
      </c>
      <c r="F45" t="s">
        <v>61</v>
      </c>
      <c r="G45" t="s">
        <v>62</v>
      </c>
      <c r="H45" t="s">
        <v>16</v>
      </c>
      <c r="I45">
        <f>ROUND((202.8+204.2+200.2+204.2)/100,9)</f>
        <v>8.1140000000000008</v>
      </c>
      <c r="J45">
        <v>0</v>
      </c>
      <c r="O45">
        <f t="shared" si="14"/>
        <v>692169.5</v>
      </c>
      <c r="P45">
        <f t="shared" si="15"/>
        <v>668595.56000000006</v>
      </c>
      <c r="Q45">
        <f t="shared" si="16"/>
        <v>486.55</v>
      </c>
      <c r="R45">
        <f t="shared" si="17"/>
        <v>153.85</v>
      </c>
      <c r="S45">
        <f t="shared" si="18"/>
        <v>23087.39</v>
      </c>
      <c r="T45">
        <f t="shared" si="19"/>
        <v>0</v>
      </c>
      <c r="U45">
        <f t="shared" si="20"/>
        <v>351.50253700000002</v>
      </c>
      <c r="V45">
        <f t="shared" si="21"/>
        <v>1.7242250000000003</v>
      </c>
      <c r="W45">
        <f t="shared" si="22"/>
        <v>0</v>
      </c>
      <c r="X45">
        <f t="shared" si="23"/>
        <v>25797.78</v>
      </c>
      <c r="Y45">
        <f t="shared" si="24"/>
        <v>14874.39</v>
      </c>
      <c r="AA45">
        <v>26914189</v>
      </c>
      <c r="AB45">
        <f t="shared" si="25"/>
        <v>11078.647000000001</v>
      </c>
      <c r="AC45">
        <f t="shared" si="26"/>
        <v>10701.33</v>
      </c>
      <c r="AD45">
        <f>ROUND(((((ET45*1.25))-((EU45*1.25)))+AE45),6)</f>
        <v>7.7874999999999996</v>
      </c>
      <c r="AE45">
        <f>ROUND(((EU45*1.25)),6)</f>
        <v>2.4624999999999999</v>
      </c>
      <c r="AF45">
        <f>ROUND(((EV45*1.15)),6)</f>
        <v>369.52949999999998</v>
      </c>
      <c r="AG45">
        <f t="shared" si="30"/>
        <v>0</v>
      </c>
      <c r="AH45">
        <f>((EW45*1.15))</f>
        <v>43.320499999999996</v>
      </c>
      <c r="AI45">
        <f>((EX45*1.25))</f>
        <v>0.21250000000000002</v>
      </c>
      <c r="AJ45">
        <f t="shared" si="33"/>
        <v>0</v>
      </c>
      <c r="AK45">
        <v>11028.89</v>
      </c>
      <c r="AL45">
        <v>10701.33</v>
      </c>
      <c r="AM45">
        <v>6.23</v>
      </c>
      <c r="AN45">
        <v>1.97</v>
      </c>
      <c r="AO45">
        <v>321.33</v>
      </c>
      <c r="AP45">
        <v>0</v>
      </c>
      <c r="AQ45">
        <v>37.67</v>
      </c>
      <c r="AR45">
        <v>0.17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7.7</v>
      </c>
      <c r="BA45">
        <v>7.7</v>
      </c>
      <c r="BB45">
        <v>7.7</v>
      </c>
      <c r="BC45">
        <v>7.7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63</v>
      </c>
      <c r="BM45">
        <v>11001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7.7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510</v>
      </c>
      <c r="CO45">
        <v>0</v>
      </c>
      <c r="CP45">
        <f t="shared" si="34"/>
        <v>692169.50000000012</v>
      </c>
      <c r="CQ45">
        <f t="shared" si="35"/>
        <v>82400.240999999995</v>
      </c>
      <c r="CR45">
        <f t="shared" si="36"/>
        <v>59.963749999999997</v>
      </c>
      <c r="CS45">
        <f t="shared" si="37"/>
        <v>18.96125</v>
      </c>
      <c r="CT45">
        <f t="shared" si="38"/>
        <v>2845.3771499999998</v>
      </c>
      <c r="CU45">
        <f t="shared" si="39"/>
        <v>0</v>
      </c>
      <c r="CV45">
        <f t="shared" si="40"/>
        <v>43.320499999999996</v>
      </c>
      <c r="CW45">
        <f t="shared" si="41"/>
        <v>0.21250000000000002</v>
      </c>
      <c r="CX45">
        <f t="shared" si="42"/>
        <v>0</v>
      </c>
      <c r="CY45">
        <f t="shared" si="43"/>
        <v>25797.776399999995</v>
      </c>
      <c r="CZ45">
        <f t="shared" si="44"/>
        <v>14874.393599999999</v>
      </c>
      <c r="DC45" t="s">
        <v>6</v>
      </c>
      <c r="DD45" t="s">
        <v>6</v>
      </c>
      <c r="DE45" t="s">
        <v>40</v>
      </c>
      <c r="DF45" t="s">
        <v>40</v>
      </c>
      <c r="DG45" t="s">
        <v>41</v>
      </c>
      <c r="DH45" t="s">
        <v>6</v>
      </c>
      <c r="DI45" t="s">
        <v>41</v>
      </c>
      <c r="DJ45" t="s">
        <v>40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16</v>
      </c>
      <c r="DW45" t="s">
        <v>16</v>
      </c>
      <c r="DX45">
        <v>100</v>
      </c>
      <c r="EE45">
        <v>26549061</v>
      </c>
      <c r="EF45">
        <v>2</v>
      </c>
      <c r="EG45" t="s">
        <v>42</v>
      </c>
      <c r="EH45">
        <v>0</v>
      </c>
      <c r="EI45" t="s">
        <v>6</v>
      </c>
      <c r="EJ45">
        <v>1</v>
      </c>
      <c r="EK45">
        <v>11001</v>
      </c>
      <c r="EL45" t="s">
        <v>19</v>
      </c>
      <c r="EM45" t="s">
        <v>43</v>
      </c>
      <c r="EO45" t="s">
        <v>44</v>
      </c>
      <c r="EQ45">
        <v>0</v>
      </c>
      <c r="ER45">
        <v>11028.89</v>
      </c>
      <c r="ES45">
        <v>10701.33</v>
      </c>
      <c r="ET45">
        <v>6.23</v>
      </c>
      <c r="EU45">
        <v>1.97</v>
      </c>
      <c r="EV45">
        <v>321.33</v>
      </c>
      <c r="EW45">
        <v>37.67</v>
      </c>
      <c r="EX45">
        <v>0.17</v>
      </c>
      <c r="EY45">
        <v>0</v>
      </c>
      <c r="FQ45">
        <v>0</v>
      </c>
      <c r="FR45">
        <f t="shared" si="45"/>
        <v>0</v>
      </c>
      <c r="FS45">
        <v>0</v>
      </c>
      <c r="FT45" t="s">
        <v>45</v>
      </c>
      <c r="FU45" t="s">
        <v>46</v>
      </c>
      <c r="FX45">
        <v>110.7</v>
      </c>
      <c r="FY45">
        <v>63.75</v>
      </c>
      <c r="GA45" t="s">
        <v>6</v>
      </c>
      <c r="GD45">
        <v>0</v>
      </c>
      <c r="GF45">
        <v>1715562049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6"/>
        <v>0</v>
      </c>
      <c r="GM45">
        <f t="shared" si="47"/>
        <v>732841.67</v>
      </c>
      <c r="GN45">
        <f t="shared" si="48"/>
        <v>732841.67</v>
      </c>
      <c r="GO45">
        <f t="shared" si="49"/>
        <v>0</v>
      </c>
      <c r="GP45">
        <f t="shared" si="50"/>
        <v>0</v>
      </c>
      <c r="GR45">
        <v>0</v>
      </c>
      <c r="GS45">
        <v>3</v>
      </c>
      <c r="GT45">
        <v>0</v>
      </c>
      <c r="GU45" t="s">
        <v>6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ROW(SmtRes!A64)</f>
        <v>64</v>
      </c>
      <c r="D46" s="2">
        <f>ROW(EtalonRes!A62)</f>
        <v>62</v>
      </c>
      <c r="E46" s="2" t="s">
        <v>64</v>
      </c>
      <c r="F46" s="2" t="s">
        <v>65</v>
      </c>
      <c r="G46" s="2" t="s">
        <v>66</v>
      </c>
      <c r="H46" s="2" t="s">
        <v>16</v>
      </c>
      <c r="I46" s="2">
        <f>ROUND(I44,9)</f>
        <v>8.1140000000000008</v>
      </c>
      <c r="J46" s="2">
        <v>0</v>
      </c>
      <c r="K46" s="2"/>
      <c r="L46" s="2"/>
      <c r="M46" s="2"/>
      <c r="N46" s="2"/>
      <c r="O46" s="2">
        <f t="shared" si="14"/>
        <v>168284.24</v>
      </c>
      <c r="P46" s="2">
        <f t="shared" si="15"/>
        <v>166235.57999999999</v>
      </c>
      <c r="Q46" s="2">
        <f t="shared" si="16"/>
        <v>122.72</v>
      </c>
      <c r="R46" s="2">
        <f t="shared" si="17"/>
        <v>35.5</v>
      </c>
      <c r="S46" s="2">
        <f t="shared" si="18"/>
        <v>1925.94</v>
      </c>
      <c r="T46" s="2">
        <f t="shared" si="19"/>
        <v>0</v>
      </c>
      <c r="U46" s="2">
        <f t="shared" si="20"/>
        <v>225.81262000000001</v>
      </c>
      <c r="V46" s="2">
        <f t="shared" si="21"/>
        <v>3.0427500000000003</v>
      </c>
      <c r="W46" s="2">
        <f t="shared" si="22"/>
        <v>0</v>
      </c>
      <c r="X46" s="2">
        <f t="shared" si="23"/>
        <v>2177.1999999999998</v>
      </c>
      <c r="Y46" s="2">
        <f t="shared" si="24"/>
        <v>1255.32</v>
      </c>
      <c r="Z46" s="2"/>
      <c r="AA46" s="2">
        <v>26914188</v>
      </c>
      <c r="AB46" s="2">
        <f t="shared" si="25"/>
        <v>20739.985000000001</v>
      </c>
      <c r="AC46" s="2">
        <f>ROUND(((ES46*10)),6)</f>
        <v>20487.5</v>
      </c>
      <c r="AD46" s="2">
        <f>ROUND(((((ET46*1.25*10))-((EU46*1.25*10)))+AE46),6)</f>
        <v>15.125</v>
      </c>
      <c r="AE46" s="2">
        <f>ROUND(((EU46*1.25*10)),6)</f>
        <v>4.375</v>
      </c>
      <c r="AF46" s="2">
        <f>ROUND(((EV46*1.15*10)),6)</f>
        <v>237.36</v>
      </c>
      <c r="AG46" s="2">
        <f t="shared" si="30"/>
        <v>0</v>
      </c>
      <c r="AH46" s="2">
        <f>((EW46*1.15*10))</f>
        <v>27.83</v>
      </c>
      <c r="AI46" s="2">
        <f>((EX46*1.25*10))</f>
        <v>0.375</v>
      </c>
      <c r="AJ46" s="2">
        <f t="shared" si="33"/>
        <v>0</v>
      </c>
      <c r="AK46" s="2">
        <v>2070.6</v>
      </c>
      <c r="AL46" s="2">
        <v>2048.75</v>
      </c>
      <c r="AM46" s="2">
        <v>1.21</v>
      </c>
      <c r="AN46" s="2">
        <v>0.35</v>
      </c>
      <c r="AO46" s="2">
        <v>20.64</v>
      </c>
      <c r="AP46" s="2">
        <v>0</v>
      </c>
      <c r="AQ46" s="2">
        <v>2.42</v>
      </c>
      <c r="AR46" s="2">
        <v>0.03</v>
      </c>
      <c r="AS46" s="2">
        <v>0</v>
      </c>
      <c r="AT46" s="2">
        <v>111</v>
      </c>
      <c r="AU46" s="2">
        <v>64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67</v>
      </c>
      <c r="BK46" s="2"/>
      <c r="BL46" s="2"/>
      <c r="BM46" s="2">
        <v>11001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123</v>
      </c>
      <c r="CA46" s="2">
        <v>75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510</v>
      </c>
      <c r="CO46" s="2">
        <v>0</v>
      </c>
      <c r="CP46" s="2">
        <f t="shared" si="34"/>
        <v>168284.24</v>
      </c>
      <c r="CQ46" s="2">
        <f t="shared" si="35"/>
        <v>20487.5</v>
      </c>
      <c r="CR46" s="2">
        <f t="shared" si="36"/>
        <v>15.125</v>
      </c>
      <c r="CS46" s="2">
        <f t="shared" si="37"/>
        <v>4.375</v>
      </c>
      <c r="CT46" s="2">
        <f t="shared" si="38"/>
        <v>237.36</v>
      </c>
      <c r="CU46" s="2">
        <f t="shared" si="39"/>
        <v>0</v>
      </c>
      <c r="CV46" s="2">
        <f t="shared" si="40"/>
        <v>27.83</v>
      </c>
      <c r="CW46" s="2">
        <f t="shared" si="41"/>
        <v>0.375</v>
      </c>
      <c r="CX46" s="2">
        <f t="shared" si="42"/>
        <v>0</v>
      </c>
      <c r="CY46" s="2">
        <f t="shared" si="43"/>
        <v>2177.1983999999998</v>
      </c>
      <c r="CZ46" s="2">
        <f t="shared" si="44"/>
        <v>1255.3216</v>
      </c>
      <c r="DA46" s="2"/>
      <c r="DB46" s="2"/>
      <c r="DC46" s="2" t="s">
        <v>6</v>
      </c>
      <c r="DD46" s="2" t="s">
        <v>68</v>
      </c>
      <c r="DE46" s="2" t="s">
        <v>69</v>
      </c>
      <c r="DF46" s="2" t="s">
        <v>69</v>
      </c>
      <c r="DG46" s="2" t="s">
        <v>70</v>
      </c>
      <c r="DH46" s="2" t="s">
        <v>6</v>
      </c>
      <c r="DI46" s="2" t="s">
        <v>70</v>
      </c>
      <c r="DJ46" s="2" t="s">
        <v>69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16</v>
      </c>
      <c r="DW46" s="2" t="s">
        <v>16</v>
      </c>
      <c r="DX46" s="2">
        <v>100</v>
      </c>
      <c r="DY46" s="2"/>
      <c r="DZ46" s="2"/>
      <c r="EA46" s="2"/>
      <c r="EB46" s="2"/>
      <c r="EC46" s="2"/>
      <c r="ED46" s="2"/>
      <c r="EE46" s="2">
        <v>26549061</v>
      </c>
      <c r="EF46" s="2">
        <v>2</v>
      </c>
      <c r="EG46" s="2" t="s">
        <v>42</v>
      </c>
      <c r="EH46" s="2">
        <v>0</v>
      </c>
      <c r="EI46" s="2" t="s">
        <v>6</v>
      </c>
      <c r="EJ46" s="2">
        <v>1</v>
      </c>
      <c r="EK46" s="2">
        <v>11001</v>
      </c>
      <c r="EL46" s="2" t="s">
        <v>19</v>
      </c>
      <c r="EM46" s="2" t="s">
        <v>43</v>
      </c>
      <c r="EN46" s="2"/>
      <c r="EO46" s="2" t="s">
        <v>44</v>
      </c>
      <c r="EP46" s="2"/>
      <c r="EQ46" s="2">
        <v>0</v>
      </c>
      <c r="ER46" s="2">
        <v>2070.6</v>
      </c>
      <c r="ES46" s="2">
        <v>2048.75</v>
      </c>
      <c r="ET46" s="2">
        <v>1.21</v>
      </c>
      <c r="EU46" s="2">
        <v>0.35</v>
      </c>
      <c r="EV46" s="2">
        <v>20.64</v>
      </c>
      <c r="EW46" s="2">
        <v>2.42</v>
      </c>
      <c r="EX46" s="2">
        <v>0.03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5"/>
        <v>0</v>
      </c>
      <c r="FS46" s="2">
        <v>0</v>
      </c>
      <c r="FT46" s="2" t="s">
        <v>45</v>
      </c>
      <c r="FU46" s="2" t="s">
        <v>46</v>
      </c>
      <c r="FV46" s="2"/>
      <c r="FW46" s="2"/>
      <c r="FX46" s="2">
        <v>110.7</v>
      </c>
      <c r="FY46" s="2">
        <v>63.75</v>
      </c>
      <c r="FZ46" s="2"/>
      <c r="GA46" s="2" t="s">
        <v>6</v>
      </c>
      <c r="GB46" s="2"/>
      <c r="GC46" s="2"/>
      <c r="GD46" s="2">
        <v>0</v>
      </c>
      <c r="GE46" s="2"/>
      <c r="GF46" s="2">
        <v>337317905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6"/>
        <v>0</v>
      </c>
      <c r="GM46" s="2">
        <f t="shared" si="47"/>
        <v>171716.76</v>
      </c>
      <c r="GN46" s="2">
        <f t="shared" si="48"/>
        <v>171716.76</v>
      </c>
      <c r="GO46" s="2">
        <f t="shared" si="49"/>
        <v>0</v>
      </c>
      <c r="GP46" s="2">
        <f t="shared" si="50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1"/>
        <v>0</v>
      </c>
      <c r="GW46" s="2">
        <v>1</v>
      </c>
      <c r="GX46" s="2">
        <f t="shared" si="52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ROW(SmtRes!A70)</f>
        <v>70</v>
      </c>
      <c r="D47">
        <f>ROW(EtalonRes!A68)</f>
        <v>68</v>
      </c>
      <c r="E47" t="s">
        <v>64</v>
      </c>
      <c r="F47" t="s">
        <v>65</v>
      </c>
      <c r="G47" t="s">
        <v>66</v>
      </c>
      <c r="H47" t="s">
        <v>16</v>
      </c>
      <c r="I47">
        <f>ROUND(I45,9)</f>
        <v>8.1140000000000008</v>
      </c>
      <c r="J47">
        <v>0</v>
      </c>
      <c r="O47">
        <f t="shared" si="14"/>
        <v>1295788.6399999999</v>
      </c>
      <c r="P47">
        <f t="shared" si="15"/>
        <v>1280013.93</v>
      </c>
      <c r="Q47">
        <f t="shared" si="16"/>
        <v>944.98</v>
      </c>
      <c r="R47">
        <f t="shared" si="17"/>
        <v>273.33999999999997</v>
      </c>
      <c r="S47">
        <f t="shared" si="18"/>
        <v>14829.73</v>
      </c>
      <c r="T47">
        <f t="shared" si="19"/>
        <v>0</v>
      </c>
      <c r="U47">
        <f t="shared" si="20"/>
        <v>225.81262000000001</v>
      </c>
      <c r="V47">
        <f t="shared" si="21"/>
        <v>3.0427500000000003</v>
      </c>
      <c r="W47">
        <f t="shared" si="22"/>
        <v>0</v>
      </c>
      <c r="X47">
        <f t="shared" si="23"/>
        <v>16764.41</v>
      </c>
      <c r="Y47">
        <f t="shared" si="24"/>
        <v>9665.9599999999991</v>
      </c>
      <c r="AA47">
        <v>26914189</v>
      </c>
      <c r="AB47">
        <f t="shared" si="25"/>
        <v>20739.985000000001</v>
      </c>
      <c r="AC47">
        <f>ROUND(((ES47*10)),6)</f>
        <v>20487.5</v>
      </c>
      <c r="AD47">
        <f>ROUND(((((ET47*1.25*10))-((EU47*1.25*10)))+AE47),6)</f>
        <v>15.125</v>
      </c>
      <c r="AE47">
        <f>ROUND(((EU47*1.25*10)),6)</f>
        <v>4.375</v>
      </c>
      <c r="AF47">
        <f>ROUND(((EV47*1.15*10)),6)</f>
        <v>237.36</v>
      </c>
      <c r="AG47">
        <f t="shared" si="30"/>
        <v>0</v>
      </c>
      <c r="AH47">
        <f>((EW47*1.15*10))</f>
        <v>27.83</v>
      </c>
      <c r="AI47">
        <f>((EX47*1.25*10))</f>
        <v>0.375</v>
      </c>
      <c r="AJ47">
        <f t="shared" si="33"/>
        <v>0</v>
      </c>
      <c r="AK47">
        <v>2070.6</v>
      </c>
      <c r="AL47">
        <v>2048.75</v>
      </c>
      <c r="AM47">
        <v>1.21</v>
      </c>
      <c r="AN47">
        <v>0.35</v>
      </c>
      <c r="AO47">
        <v>20.64</v>
      </c>
      <c r="AP47">
        <v>0</v>
      </c>
      <c r="AQ47">
        <v>2.42</v>
      </c>
      <c r="AR47">
        <v>0.03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7.7</v>
      </c>
      <c r="BA47">
        <v>7.7</v>
      </c>
      <c r="BB47">
        <v>7.7</v>
      </c>
      <c r="BC47">
        <v>7.7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67</v>
      </c>
      <c r="BM47">
        <v>11001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7.7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510</v>
      </c>
      <c r="CO47">
        <v>0</v>
      </c>
      <c r="CP47">
        <f t="shared" si="34"/>
        <v>1295788.6399999999</v>
      </c>
      <c r="CQ47">
        <f t="shared" si="35"/>
        <v>157753.75</v>
      </c>
      <c r="CR47">
        <f t="shared" si="36"/>
        <v>116.46250000000001</v>
      </c>
      <c r="CS47">
        <f t="shared" si="37"/>
        <v>33.6875</v>
      </c>
      <c r="CT47">
        <f t="shared" si="38"/>
        <v>1827.6720000000003</v>
      </c>
      <c r="CU47">
        <f t="shared" si="39"/>
        <v>0</v>
      </c>
      <c r="CV47">
        <f t="shared" si="40"/>
        <v>27.83</v>
      </c>
      <c r="CW47">
        <f t="shared" si="41"/>
        <v>0.375</v>
      </c>
      <c r="CX47">
        <f t="shared" si="42"/>
        <v>0</v>
      </c>
      <c r="CY47">
        <f t="shared" si="43"/>
        <v>16764.4077</v>
      </c>
      <c r="CZ47">
        <f t="shared" si="44"/>
        <v>9665.9647999999997</v>
      </c>
      <c r="DC47" t="s">
        <v>6</v>
      </c>
      <c r="DD47" t="s">
        <v>68</v>
      </c>
      <c r="DE47" t="s">
        <v>69</v>
      </c>
      <c r="DF47" t="s">
        <v>69</v>
      </c>
      <c r="DG47" t="s">
        <v>70</v>
      </c>
      <c r="DH47" t="s">
        <v>6</v>
      </c>
      <c r="DI47" t="s">
        <v>70</v>
      </c>
      <c r="DJ47" t="s">
        <v>69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16</v>
      </c>
      <c r="DW47" t="s">
        <v>16</v>
      </c>
      <c r="DX47">
        <v>100</v>
      </c>
      <c r="EE47">
        <v>26549061</v>
      </c>
      <c r="EF47">
        <v>2</v>
      </c>
      <c r="EG47" t="s">
        <v>42</v>
      </c>
      <c r="EH47">
        <v>0</v>
      </c>
      <c r="EI47" t="s">
        <v>6</v>
      </c>
      <c r="EJ47">
        <v>1</v>
      </c>
      <c r="EK47">
        <v>11001</v>
      </c>
      <c r="EL47" t="s">
        <v>19</v>
      </c>
      <c r="EM47" t="s">
        <v>43</v>
      </c>
      <c r="EO47" t="s">
        <v>44</v>
      </c>
      <c r="EQ47">
        <v>0</v>
      </c>
      <c r="ER47">
        <v>2070.6</v>
      </c>
      <c r="ES47">
        <v>2048.75</v>
      </c>
      <c r="ET47">
        <v>1.21</v>
      </c>
      <c r="EU47">
        <v>0.35</v>
      </c>
      <c r="EV47">
        <v>20.64</v>
      </c>
      <c r="EW47">
        <v>2.42</v>
      </c>
      <c r="EX47">
        <v>0.03</v>
      </c>
      <c r="EY47">
        <v>0</v>
      </c>
      <c r="FQ47">
        <v>0</v>
      </c>
      <c r="FR47">
        <f t="shared" si="45"/>
        <v>0</v>
      </c>
      <c r="FS47">
        <v>0</v>
      </c>
      <c r="FT47" t="s">
        <v>45</v>
      </c>
      <c r="FU47" t="s">
        <v>46</v>
      </c>
      <c r="FX47">
        <v>110.7</v>
      </c>
      <c r="FY47">
        <v>63.75</v>
      </c>
      <c r="GA47" t="s">
        <v>6</v>
      </c>
      <c r="GD47">
        <v>0</v>
      </c>
      <c r="GF47">
        <v>337317905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6"/>
        <v>0</v>
      </c>
      <c r="GM47">
        <f t="shared" si="47"/>
        <v>1322219.01</v>
      </c>
      <c r="GN47">
        <f t="shared" si="48"/>
        <v>1322219.01</v>
      </c>
      <c r="GO47">
        <f t="shared" si="49"/>
        <v>0</v>
      </c>
      <c r="GP47">
        <f t="shared" si="50"/>
        <v>0</v>
      </c>
      <c r="GR47">
        <v>0</v>
      </c>
      <c r="GS47">
        <v>3</v>
      </c>
      <c r="GT47">
        <v>0</v>
      </c>
      <c r="GU47" t="s">
        <v>6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ROW(SmtRes!A76)</f>
        <v>76</v>
      </c>
      <c r="D48" s="2">
        <f>ROW(EtalonRes!A74)</f>
        <v>74</v>
      </c>
      <c r="E48" s="2" t="s">
        <v>6</v>
      </c>
      <c r="F48" s="2" t="s">
        <v>71</v>
      </c>
      <c r="G48" s="2" t="s">
        <v>72</v>
      </c>
      <c r="H48" s="2" t="s">
        <v>16</v>
      </c>
      <c r="I48" s="2">
        <f>ROUND(811.4/100,9)</f>
        <v>8.1140000000000008</v>
      </c>
      <c r="J48" s="2">
        <v>0</v>
      </c>
      <c r="K48" s="2"/>
      <c r="L48" s="2"/>
      <c r="M48" s="2"/>
      <c r="N48" s="2"/>
      <c r="O48" s="2">
        <f t="shared" si="14"/>
        <v>3445.25</v>
      </c>
      <c r="P48" s="2">
        <f t="shared" si="15"/>
        <v>69.290000000000006</v>
      </c>
      <c r="Q48" s="2">
        <f t="shared" si="16"/>
        <v>448.7</v>
      </c>
      <c r="R48" s="2">
        <f t="shared" si="17"/>
        <v>173.94</v>
      </c>
      <c r="S48" s="2">
        <f t="shared" si="18"/>
        <v>2927.26</v>
      </c>
      <c r="T48" s="2">
        <f t="shared" si="19"/>
        <v>0</v>
      </c>
      <c r="U48" s="2">
        <f t="shared" si="20"/>
        <v>368.671761</v>
      </c>
      <c r="V48" s="2">
        <f t="shared" si="21"/>
        <v>12.880975000000001</v>
      </c>
      <c r="W48" s="2">
        <f t="shared" si="22"/>
        <v>0</v>
      </c>
      <c r="X48" s="2">
        <f t="shared" si="23"/>
        <v>3442.33</v>
      </c>
      <c r="Y48" s="2">
        <f t="shared" si="24"/>
        <v>1984.77</v>
      </c>
      <c r="Z48" s="2"/>
      <c r="AA48" s="2">
        <v>-1</v>
      </c>
      <c r="AB48" s="2">
        <f t="shared" si="25"/>
        <v>424.60649999999998</v>
      </c>
      <c r="AC48" s="2">
        <f t="shared" ref="AC48:AC79" si="56">ROUND((ES48),6)</f>
        <v>8.5399999999999991</v>
      </c>
      <c r="AD48" s="2">
        <f>ROUND(((((ET48*1.25))-((EU48*1.25)))+AE48),6)</f>
        <v>55.3</v>
      </c>
      <c r="AE48" s="2">
        <f>ROUND(((EU48*1.25)),6)</f>
        <v>21.4375</v>
      </c>
      <c r="AF48" s="2">
        <f>ROUND(((EV48*1.15)),6)</f>
        <v>360.76650000000001</v>
      </c>
      <c r="AG48" s="2">
        <f t="shared" si="30"/>
        <v>0</v>
      </c>
      <c r="AH48" s="2">
        <f>((EW48*1.15))</f>
        <v>45.436499999999995</v>
      </c>
      <c r="AI48" s="2">
        <f>((EX48*1.25))</f>
        <v>1.5874999999999999</v>
      </c>
      <c r="AJ48" s="2">
        <f t="shared" si="33"/>
        <v>0</v>
      </c>
      <c r="AK48" s="2">
        <v>366.49</v>
      </c>
      <c r="AL48" s="2">
        <v>8.5399999999999991</v>
      </c>
      <c r="AM48" s="2">
        <v>44.24</v>
      </c>
      <c r="AN48" s="2">
        <v>17.149999999999999</v>
      </c>
      <c r="AO48" s="2">
        <v>313.70999999999998</v>
      </c>
      <c r="AP48" s="2">
        <v>0</v>
      </c>
      <c r="AQ48" s="2">
        <v>39.51</v>
      </c>
      <c r="AR48" s="2">
        <v>1.27</v>
      </c>
      <c r="AS48" s="2">
        <v>0</v>
      </c>
      <c r="AT48" s="2">
        <v>111</v>
      </c>
      <c r="AU48" s="2">
        <v>64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73</v>
      </c>
      <c r="BK48" s="2"/>
      <c r="BL48" s="2"/>
      <c r="BM48" s="2">
        <v>11001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123</v>
      </c>
      <c r="CA48" s="2">
        <v>75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510</v>
      </c>
      <c r="CO48" s="2">
        <v>0</v>
      </c>
      <c r="CP48" s="2">
        <f t="shared" si="34"/>
        <v>3445.25</v>
      </c>
      <c r="CQ48" s="2">
        <f t="shared" si="35"/>
        <v>8.5399999999999991</v>
      </c>
      <c r="CR48" s="2">
        <f t="shared" si="36"/>
        <v>55.3</v>
      </c>
      <c r="CS48" s="2">
        <f t="shared" si="37"/>
        <v>21.4375</v>
      </c>
      <c r="CT48" s="2">
        <f t="shared" si="38"/>
        <v>360.76650000000001</v>
      </c>
      <c r="CU48" s="2">
        <f t="shared" si="39"/>
        <v>0</v>
      </c>
      <c r="CV48" s="2">
        <f t="shared" si="40"/>
        <v>45.436499999999995</v>
      </c>
      <c r="CW48" s="2">
        <f t="shared" si="41"/>
        <v>1.5874999999999999</v>
      </c>
      <c r="CX48" s="2">
        <f t="shared" si="42"/>
        <v>0</v>
      </c>
      <c r="CY48" s="2">
        <f t="shared" si="43"/>
        <v>3442.3320000000003</v>
      </c>
      <c r="CZ48" s="2">
        <f t="shared" si="44"/>
        <v>1984.7680000000003</v>
      </c>
      <c r="DA48" s="2"/>
      <c r="DB48" s="2"/>
      <c r="DC48" s="2" t="s">
        <v>6</v>
      </c>
      <c r="DD48" s="2" t="s">
        <v>6</v>
      </c>
      <c r="DE48" s="2" t="s">
        <v>40</v>
      </c>
      <c r="DF48" s="2" t="s">
        <v>40</v>
      </c>
      <c r="DG48" s="2" t="s">
        <v>41</v>
      </c>
      <c r="DH48" s="2" t="s">
        <v>6</v>
      </c>
      <c r="DI48" s="2" t="s">
        <v>41</v>
      </c>
      <c r="DJ48" s="2" t="s">
        <v>40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16</v>
      </c>
      <c r="DW48" s="2" t="s">
        <v>16</v>
      </c>
      <c r="DX48" s="2">
        <v>100</v>
      </c>
      <c r="DY48" s="2"/>
      <c r="DZ48" s="2"/>
      <c r="EA48" s="2"/>
      <c r="EB48" s="2"/>
      <c r="EC48" s="2"/>
      <c r="ED48" s="2"/>
      <c r="EE48" s="2">
        <v>26549061</v>
      </c>
      <c r="EF48" s="2">
        <v>2</v>
      </c>
      <c r="EG48" s="2" t="s">
        <v>42</v>
      </c>
      <c r="EH48" s="2">
        <v>0</v>
      </c>
      <c r="EI48" s="2" t="s">
        <v>6</v>
      </c>
      <c r="EJ48" s="2">
        <v>1</v>
      </c>
      <c r="EK48" s="2">
        <v>11001</v>
      </c>
      <c r="EL48" s="2" t="s">
        <v>19</v>
      </c>
      <c r="EM48" s="2" t="s">
        <v>43</v>
      </c>
      <c r="EN48" s="2"/>
      <c r="EO48" s="2" t="s">
        <v>44</v>
      </c>
      <c r="EP48" s="2"/>
      <c r="EQ48" s="2">
        <v>1024</v>
      </c>
      <c r="ER48" s="2">
        <v>366.49</v>
      </c>
      <c r="ES48" s="2">
        <v>8.5399999999999991</v>
      </c>
      <c r="ET48" s="2">
        <v>44.24</v>
      </c>
      <c r="EU48" s="2">
        <v>17.149999999999999</v>
      </c>
      <c r="EV48" s="2">
        <v>313.70999999999998</v>
      </c>
      <c r="EW48" s="2">
        <v>39.51</v>
      </c>
      <c r="EX48" s="2">
        <v>1.27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5"/>
        <v>0</v>
      </c>
      <c r="FS48" s="2">
        <v>0</v>
      </c>
      <c r="FT48" s="2" t="s">
        <v>45</v>
      </c>
      <c r="FU48" s="2" t="s">
        <v>46</v>
      </c>
      <c r="FV48" s="2"/>
      <c r="FW48" s="2"/>
      <c r="FX48" s="2">
        <v>110.7</v>
      </c>
      <c r="FY48" s="2">
        <v>63.75</v>
      </c>
      <c r="FZ48" s="2"/>
      <c r="GA48" s="2" t="s">
        <v>6</v>
      </c>
      <c r="GB48" s="2"/>
      <c r="GC48" s="2"/>
      <c r="GD48" s="2">
        <v>0</v>
      </c>
      <c r="GE48" s="2"/>
      <c r="GF48" s="2">
        <v>192743499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6"/>
        <v>0</v>
      </c>
      <c r="GM48" s="2">
        <f t="shared" si="47"/>
        <v>8872.35</v>
      </c>
      <c r="GN48" s="2">
        <f t="shared" si="48"/>
        <v>8872.35</v>
      </c>
      <c r="GO48" s="2">
        <f t="shared" si="49"/>
        <v>0</v>
      </c>
      <c r="GP48" s="2">
        <f t="shared" si="50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1"/>
        <v>0</v>
      </c>
      <c r="GW48" s="2">
        <v>1</v>
      </c>
      <c r="GX48" s="2">
        <f t="shared" si="52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ROW(SmtRes!A82)</f>
        <v>82</v>
      </c>
      <c r="D49">
        <f>ROW(EtalonRes!A80)</f>
        <v>80</v>
      </c>
      <c r="E49" t="s">
        <v>6</v>
      </c>
      <c r="F49" t="s">
        <v>71</v>
      </c>
      <c r="G49" t="s">
        <v>72</v>
      </c>
      <c r="H49" t="s">
        <v>16</v>
      </c>
      <c r="I49">
        <f>ROUND(811.4/100,9)</f>
        <v>8.1140000000000008</v>
      </c>
      <c r="J49">
        <v>0</v>
      </c>
      <c r="O49">
        <f t="shared" si="14"/>
        <v>26528.48</v>
      </c>
      <c r="P49">
        <f t="shared" si="15"/>
        <v>533.55999999999995</v>
      </c>
      <c r="Q49">
        <f t="shared" si="16"/>
        <v>3455.02</v>
      </c>
      <c r="R49">
        <f t="shared" si="17"/>
        <v>1339.37</v>
      </c>
      <c r="S49">
        <f t="shared" si="18"/>
        <v>22539.9</v>
      </c>
      <c r="T49">
        <f t="shared" si="19"/>
        <v>0</v>
      </c>
      <c r="U49">
        <f t="shared" si="20"/>
        <v>368.671761</v>
      </c>
      <c r="V49">
        <f t="shared" si="21"/>
        <v>12.880975000000001</v>
      </c>
      <c r="W49">
        <f t="shared" si="22"/>
        <v>0</v>
      </c>
      <c r="X49">
        <f t="shared" si="23"/>
        <v>26505.99</v>
      </c>
      <c r="Y49">
        <f t="shared" si="24"/>
        <v>15282.73</v>
      </c>
      <c r="AA49">
        <v>-1</v>
      </c>
      <c r="AB49">
        <f t="shared" si="25"/>
        <v>424.60649999999998</v>
      </c>
      <c r="AC49">
        <f t="shared" si="56"/>
        <v>8.5399999999999991</v>
      </c>
      <c r="AD49">
        <f>ROUND(((((ET49*1.25))-((EU49*1.25)))+AE49),6)</f>
        <v>55.3</v>
      </c>
      <c r="AE49">
        <f>ROUND(((EU49*1.25)),6)</f>
        <v>21.4375</v>
      </c>
      <c r="AF49">
        <f>ROUND(((EV49*1.15)),6)</f>
        <v>360.76650000000001</v>
      </c>
      <c r="AG49">
        <f t="shared" si="30"/>
        <v>0</v>
      </c>
      <c r="AH49">
        <f>((EW49*1.15))</f>
        <v>45.436499999999995</v>
      </c>
      <c r="AI49">
        <f>((EX49*1.25))</f>
        <v>1.5874999999999999</v>
      </c>
      <c r="AJ49">
        <f t="shared" si="33"/>
        <v>0</v>
      </c>
      <c r="AK49">
        <v>366.49</v>
      </c>
      <c r="AL49">
        <v>8.5399999999999991</v>
      </c>
      <c r="AM49">
        <v>44.24</v>
      </c>
      <c r="AN49">
        <v>17.149999999999999</v>
      </c>
      <c r="AO49">
        <v>313.70999999999998</v>
      </c>
      <c r="AP49">
        <v>0</v>
      </c>
      <c r="AQ49">
        <v>39.51</v>
      </c>
      <c r="AR49">
        <v>1.27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7.7</v>
      </c>
      <c r="BA49">
        <v>7.7</v>
      </c>
      <c r="BB49">
        <v>7.7</v>
      </c>
      <c r="BC49">
        <v>7.7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73</v>
      </c>
      <c r="BM49">
        <v>11001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7.7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510</v>
      </c>
      <c r="CO49">
        <v>0</v>
      </c>
      <c r="CP49">
        <f t="shared" si="34"/>
        <v>26528.480000000003</v>
      </c>
      <c r="CQ49">
        <f t="shared" si="35"/>
        <v>65.757999999999996</v>
      </c>
      <c r="CR49">
        <f t="shared" si="36"/>
        <v>425.81</v>
      </c>
      <c r="CS49">
        <f t="shared" si="37"/>
        <v>165.06874999999999</v>
      </c>
      <c r="CT49">
        <f t="shared" si="38"/>
        <v>2777.9020500000001</v>
      </c>
      <c r="CU49">
        <f t="shared" si="39"/>
        <v>0</v>
      </c>
      <c r="CV49">
        <f t="shared" si="40"/>
        <v>45.436499999999995</v>
      </c>
      <c r="CW49">
        <f t="shared" si="41"/>
        <v>1.5874999999999999</v>
      </c>
      <c r="CX49">
        <f t="shared" si="42"/>
        <v>0</v>
      </c>
      <c r="CY49">
        <f t="shared" si="43"/>
        <v>26505.989700000002</v>
      </c>
      <c r="CZ49">
        <f t="shared" si="44"/>
        <v>15282.7328</v>
      </c>
      <c r="DC49" t="s">
        <v>6</v>
      </c>
      <c r="DD49" t="s">
        <v>6</v>
      </c>
      <c r="DE49" t="s">
        <v>40</v>
      </c>
      <c r="DF49" t="s">
        <v>40</v>
      </c>
      <c r="DG49" t="s">
        <v>41</v>
      </c>
      <c r="DH49" t="s">
        <v>6</v>
      </c>
      <c r="DI49" t="s">
        <v>41</v>
      </c>
      <c r="DJ49" t="s">
        <v>40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16</v>
      </c>
      <c r="DW49" t="s">
        <v>16</v>
      </c>
      <c r="DX49">
        <v>100</v>
      </c>
      <c r="EE49">
        <v>26549061</v>
      </c>
      <c r="EF49">
        <v>2</v>
      </c>
      <c r="EG49" t="s">
        <v>42</v>
      </c>
      <c r="EH49">
        <v>0</v>
      </c>
      <c r="EI49" t="s">
        <v>6</v>
      </c>
      <c r="EJ49">
        <v>1</v>
      </c>
      <c r="EK49">
        <v>11001</v>
      </c>
      <c r="EL49" t="s">
        <v>19</v>
      </c>
      <c r="EM49" t="s">
        <v>43</v>
      </c>
      <c r="EO49" t="s">
        <v>44</v>
      </c>
      <c r="EQ49">
        <v>1024</v>
      </c>
      <c r="ER49">
        <v>366.49</v>
      </c>
      <c r="ES49">
        <v>8.5399999999999991</v>
      </c>
      <c r="ET49">
        <v>44.24</v>
      </c>
      <c r="EU49">
        <v>17.149999999999999</v>
      </c>
      <c r="EV49">
        <v>313.70999999999998</v>
      </c>
      <c r="EW49">
        <v>39.51</v>
      </c>
      <c r="EX49">
        <v>1.27</v>
      </c>
      <c r="EY49">
        <v>0</v>
      </c>
      <c r="FQ49">
        <v>0</v>
      </c>
      <c r="FR49">
        <f t="shared" si="45"/>
        <v>0</v>
      </c>
      <c r="FS49">
        <v>0</v>
      </c>
      <c r="FT49" t="s">
        <v>45</v>
      </c>
      <c r="FU49" t="s">
        <v>46</v>
      </c>
      <c r="FX49">
        <v>110.7</v>
      </c>
      <c r="FY49">
        <v>63.75</v>
      </c>
      <c r="GA49" t="s">
        <v>6</v>
      </c>
      <c r="GD49">
        <v>0</v>
      </c>
      <c r="GF49">
        <v>192743499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6"/>
        <v>0</v>
      </c>
      <c r="GM49">
        <f t="shared" si="47"/>
        <v>68317.2</v>
      </c>
      <c r="GN49">
        <f t="shared" si="48"/>
        <v>68317.2</v>
      </c>
      <c r="GO49">
        <f t="shared" si="49"/>
        <v>0</v>
      </c>
      <c r="GP49">
        <f t="shared" si="50"/>
        <v>0</v>
      </c>
      <c r="GR49">
        <v>0</v>
      </c>
      <c r="GS49">
        <v>3</v>
      </c>
      <c r="GT49">
        <v>0</v>
      </c>
      <c r="GU49" t="s">
        <v>6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76</v>
      </c>
      <c r="D50" s="2"/>
      <c r="E50" s="2" t="s">
        <v>6</v>
      </c>
      <c r="F50" s="2" t="s">
        <v>74</v>
      </c>
      <c r="G50" s="2" t="s">
        <v>75</v>
      </c>
      <c r="H50" s="2" t="s">
        <v>76</v>
      </c>
      <c r="I50" s="2">
        <f>I48*J50</f>
        <v>16.55256</v>
      </c>
      <c r="J50" s="2">
        <v>2.0399999999999996</v>
      </c>
      <c r="K50" s="2"/>
      <c r="L50" s="2"/>
      <c r="M50" s="2"/>
      <c r="N50" s="2"/>
      <c r="O50" s="2">
        <f t="shared" si="14"/>
        <v>0</v>
      </c>
      <c r="P50" s="2">
        <f t="shared" si="15"/>
        <v>0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-1</v>
      </c>
      <c r="AB50" s="2">
        <f t="shared" si="25"/>
        <v>0</v>
      </c>
      <c r="AC50" s="2">
        <f t="shared" si="56"/>
        <v>0</v>
      </c>
      <c r="AD50" s="2">
        <f>ROUND((((ET50)-(EU50))+AE50),6)</f>
        <v>0</v>
      </c>
      <c r="AE50" s="2">
        <f>ROUND((EU50),6)</f>
        <v>0</v>
      </c>
      <c r="AF50" s="2">
        <f>ROUND((EV50),6)</f>
        <v>0</v>
      </c>
      <c r="AG50" s="2">
        <f t="shared" si="30"/>
        <v>0</v>
      </c>
      <c r="AH50" s="2">
        <f>(EW50)</f>
        <v>0</v>
      </c>
      <c r="AI50" s="2">
        <f>(EX50)</f>
        <v>0</v>
      </c>
      <c r="AJ50" s="2">
        <f t="shared" si="33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111</v>
      </c>
      <c r="AU50" s="2">
        <v>64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6</v>
      </c>
      <c r="BK50" s="2"/>
      <c r="BL50" s="2"/>
      <c r="BM50" s="2">
        <v>11001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123</v>
      </c>
      <c r="CA50" s="2">
        <v>75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4"/>
        <v>0</v>
      </c>
      <c r="CQ50" s="2">
        <f t="shared" si="35"/>
        <v>0</v>
      </c>
      <c r="CR50" s="2">
        <f t="shared" si="36"/>
        <v>0</v>
      </c>
      <c r="CS50" s="2">
        <f t="shared" si="37"/>
        <v>0</v>
      </c>
      <c r="CT50" s="2">
        <f t="shared" si="38"/>
        <v>0</v>
      </c>
      <c r="CU50" s="2">
        <f t="shared" si="39"/>
        <v>0</v>
      </c>
      <c r="CV50" s="2">
        <f t="shared" si="40"/>
        <v>0</v>
      </c>
      <c r="CW50" s="2">
        <f t="shared" si="41"/>
        <v>0</v>
      </c>
      <c r="CX50" s="2">
        <f t="shared" si="42"/>
        <v>0</v>
      </c>
      <c r="CY50" s="2">
        <f t="shared" si="43"/>
        <v>0</v>
      </c>
      <c r="CZ50" s="2">
        <f t="shared" si="44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1007</v>
      </c>
      <c r="DV50" s="2" t="s">
        <v>76</v>
      </c>
      <c r="DW50" s="2" t="s">
        <v>76</v>
      </c>
      <c r="DX50" s="2">
        <v>1</v>
      </c>
      <c r="DY50" s="2"/>
      <c r="DZ50" s="2"/>
      <c r="EA50" s="2"/>
      <c r="EB50" s="2"/>
      <c r="EC50" s="2"/>
      <c r="ED50" s="2"/>
      <c r="EE50" s="2">
        <v>26549061</v>
      </c>
      <c r="EF50" s="2">
        <v>2</v>
      </c>
      <c r="EG50" s="2" t="s">
        <v>42</v>
      </c>
      <c r="EH50" s="2">
        <v>0</v>
      </c>
      <c r="EI50" s="2" t="s">
        <v>6</v>
      </c>
      <c r="EJ50" s="2">
        <v>1</v>
      </c>
      <c r="EK50" s="2">
        <v>11001</v>
      </c>
      <c r="EL50" s="2" t="s">
        <v>19</v>
      </c>
      <c r="EM50" s="2" t="s">
        <v>43</v>
      </c>
      <c r="EN50" s="2"/>
      <c r="EO50" s="2" t="s">
        <v>6</v>
      </c>
      <c r="EP50" s="2"/>
      <c r="EQ50" s="2">
        <v>1024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5"/>
        <v>0</v>
      </c>
      <c r="FS50" s="2">
        <v>0</v>
      </c>
      <c r="FT50" s="2" t="s">
        <v>45</v>
      </c>
      <c r="FU50" s="2" t="s">
        <v>46</v>
      </c>
      <c r="FV50" s="2"/>
      <c r="FW50" s="2"/>
      <c r="FX50" s="2">
        <v>110.7</v>
      </c>
      <c r="FY50" s="2">
        <v>63.75</v>
      </c>
      <c r="FZ50" s="2"/>
      <c r="GA50" s="2" t="s">
        <v>6</v>
      </c>
      <c r="GB50" s="2"/>
      <c r="GC50" s="2"/>
      <c r="GD50" s="2">
        <v>0</v>
      </c>
      <c r="GE50" s="2"/>
      <c r="GF50" s="2">
        <v>-2113302258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6"/>
        <v>0</v>
      </c>
      <c r="GM50" s="2">
        <f t="shared" si="47"/>
        <v>0</v>
      </c>
      <c r="GN50" s="2">
        <f t="shared" si="48"/>
        <v>0</v>
      </c>
      <c r="GO50" s="2">
        <f t="shared" si="49"/>
        <v>0</v>
      </c>
      <c r="GP50" s="2">
        <f t="shared" si="50"/>
        <v>0</v>
      </c>
      <c r="GQ50" s="2"/>
      <c r="GR50" s="2">
        <v>0</v>
      </c>
      <c r="GS50" s="2">
        <v>0</v>
      </c>
      <c r="GT50" s="2">
        <v>0</v>
      </c>
      <c r="GU50" s="2" t="s">
        <v>6</v>
      </c>
      <c r="GV50" s="2">
        <f t="shared" si="51"/>
        <v>0</v>
      </c>
      <c r="GW50" s="2">
        <v>1</v>
      </c>
      <c r="GX50" s="2">
        <f t="shared" si="52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82</v>
      </c>
      <c r="E51" t="s">
        <v>6</v>
      </c>
      <c r="F51" t="s">
        <v>74</v>
      </c>
      <c r="G51" t="s">
        <v>75</v>
      </c>
      <c r="H51" t="s">
        <v>76</v>
      </c>
      <c r="I51">
        <f>I49*J51</f>
        <v>16.55256</v>
      </c>
      <c r="J51">
        <v>2.0399999999999996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-1</v>
      </c>
      <c r="AB51">
        <f t="shared" si="25"/>
        <v>0</v>
      </c>
      <c r="AC51">
        <f t="shared" si="56"/>
        <v>0</v>
      </c>
      <c r="AD51">
        <f>ROUND((((ET51)-(EU51))+AE51),6)</f>
        <v>0</v>
      </c>
      <c r="AE51">
        <f>ROUND((EU51),6)</f>
        <v>0</v>
      </c>
      <c r="AF51">
        <f>ROUND((EV51),6)</f>
        <v>0</v>
      </c>
      <c r="AG51">
        <f t="shared" si="30"/>
        <v>0</v>
      </c>
      <c r="AH51">
        <f>(EW51)</f>
        <v>0</v>
      </c>
      <c r="AI51">
        <f>(EX51)</f>
        <v>0</v>
      </c>
      <c r="AJ51">
        <f t="shared" si="33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7.7</v>
      </c>
      <c r="BA51">
        <v>1</v>
      </c>
      <c r="BB51">
        <v>1</v>
      </c>
      <c r="BC51">
        <v>7.7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6</v>
      </c>
      <c r="BM51">
        <v>11001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4"/>
        <v>0</v>
      </c>
      <c r="CQ51">
        <f t="shared" si="35"/>
        <v>0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1007</v>
      </c>
      <c r="DV51" t="s">
        <v>76</v>
      </c>
      <c r="DW51" t="s">
        <v>76</v>
      </c>
      <c r="DX51">
        <v>1</v>
      </c>
      <c r="EE51">
        <v>26549061</v>
      </c>
      <c r="EF51">
        <v>2</v>
      </c>
      <c r="EG51" t="s">
        <v>42</v>
      </c>
      <c r="EH51">
        <v>0</v>
      </c>
      <c r="EI51" t="s">
        <v>6</v>
      </c>
      <c r="EJ51">
        <v>1</v>
      </c>
      <c r="EK51">
        <v>11001</v>
      </c>
      <c r="EL51" t="s">
        <v>19</v>
      </c>
      <c r="EM51" t="s">
        <v>43</v>
      </c>
      <c r="EO51" t="s">
        <v>6</v>
      </c>
      <c r="EQ51">
        <v>1024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T51" t="s">
        <v>45</v>
      </c>
      <c r="FU51" t="s">
        <v>46</v>
      </c>
      <c r="FX51">
        <v>110.7</v>
      </c>
      <c r="FY51">
        <v>63.75</v>
      </c>
      <c r="GA51" t="s">
        <v>6</v>
      </c>
      <c r="GD51">
        <v>0</v>
      </c>
      <c r="GF51">
        <v>-2113302258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6"/>
        <v>0</v>
      </c>
      <c r="GM51">
        <f t="shared" si="47"/>
        <v>0</v>
      </c>
      <c r="GN51">
        <f t="shared" si="48"/>
        <v>0</v>
      </c>
      <c r="GO51">
        <f t="shared" si="49"/>
        <v>0</v>
      </c>
      <c r="GP51">
        <f t="shared" si="50"/>
        <v>0</v>
      </c>
      <c r="GR51">
        <v>0</v>
      </c>
      <c r="GS51">
        <v>0</v>
      </c>
      <c r="GT51">
        <v>0</v>
      </c>
      <c r="GU51" t="s">
        <v>6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ROW(SmtRes!A87)</f>
        <v>87</v>
      </c>
      <c r="D52" s="2">
        <f>ROW(EtalonRes!A85)</f>
        <v>85</v>
      </c>
      <c r="E52" s="2" t="s">
        <v>6</v>
      </c>
      <c r="F52" s="2" t="s">
        <v>77</v>
      </c>
      <c r="G52" s="2" t="s">
        <v>78</v>
      </c>
      <c r="H52" s="2" t="s">
        <v>16</v>
      </c>
      <c r="I52" s="2">
        <f>ROUND(811.4/100,9)</f>
        <v>8.1140000000000008</v>
      </c>
      <c r="J52" s="2">
        <v>0</v>
      </c>
      <c r="K52" s="2"/>
      <c r="L52" s="2"/>
      <c r="M52" s="2"/>
      <c r="N52" s="2"/>
      <c r="O52" s="2">
        <f t="shared" si="14"/>
        <v>115.34</v>
      </c>
      <c r="P52" s="2">
        <f t="shared" si="15"/>
        <v>0</v>
      </c>
      <c r="Q52" s="2">
        <f t="shared" si="16"/>
        <v>78.3</v>
      </c>
      <c r="R52" s="2">
        <f t="shared" si="17"/>
        <v>28.8</v>
      </c>
      <c r="S52" s="2">
        <f t="shared" si="18"/>
        <v>37.04</v>
      </c>
      <c r="T52" s="2">
        <f t="shared" si="19"/>
        <v>0</v>
      </c>
      <c r="U52" s="2">
        <f t="shared" si="20"/>
        <v>4.6655499999999996</v>
      </c>
      <c r="V52" s="2">
        <f t="shared" si="21"/>
        <v>2.1299250000000005</v>
      </c>
      <c r="W52" s="2">
        <f t="shared" si="22"/>
        <v>0</v>
      </c>
      <c r="X52" s="2">
        <f t="shared" si="23"/>
        <v>73.08</v>
      </c>
      <c r="Y52" s="2">
        <f t="shared" si="24"/>
        <v>42.14</v>
      </c>
      <c r="Z52" s="2"/>
      <c r="AA52" s="2">
        <v>-1</v>
      </c>
      <c r="AB52" s="2">
        <f t="shared" si="25"/>
        <v>14.2155</v>
      </c>
      <c r="AC52" s="2">
        <f t="shared" si="56"/>
        <v>0</v>
      </c>
      <c r="AD52" s="2">
        <f>ROUND(((((ET52*1.25))-((EU52*1.25)))+AE52),6)</f>
        <v>9.65</v>
      </c>
      <c r="AE52" s="2">
        <f>ROUND(((EU52*1.25)),6)</f>
        <v>3.55</v>
      </c>
      <c r="AF52" s="2">
        <f>ROUND(((EV52*1.15)),6)</f>
        <v>4.5655000000000001</v>
      </c>
      <c r="AG52" s="2">
        <f t="shared" si="30"/>
        <v>0</v>
      </c>
      <c r="AH52" s="2">
        <f>((EW52*1.15))</f>
        <v>0.57499999999999996</v>
      </c>
      <c r="AI52" s="2">
        <f>((EX52*1.25))</f>
        <v>0.26250000000000001</v>
      </c>
      <c r="AJ52" s="2">
        <f t="shared" si="33"/>
        <v>0</v>
      </c>
      <c r="AK52" s="2">
        <v>11.69</v>
      </c>
      <c r="AL52" s="2">
        <v>0</v>
      </c>
      <c r="AM52" s="2">
        <v>7.72</v>
      </c>
      <c r="AN52" s="2">
        <v>2.84</v>
      </c>
      <c r="AO52" s="2">
        <v>3.97</v>
      </c>
      <c r="AP52" s="2">
        <v>0</v>
      </c>
      <c r="AQ52" s="2">
        <v>0.5</v>
      </c>
      <c r="AR52" s="2">
        <v>0.21</v>
      </c>
      <c r="AS52" s="2">
        <v>0</v>
      </c>
      <c r="AT52" s="2">
        <v>111</v>
      </c>
      <c r="AU52" s="2">
        <v>64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79</v>
      </c>
      <c r="BK52" s="2"/>
      <c r="BL52" s="2"/>
      <c r="BM52" s="2">
        <v>11001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123</v>
      </c>
      <c r="CA52" s="2">
        <v>75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510</v>
      </c>
      <c r="CO52" s="2">
        <v>0</v>
      </c>
      <c r="CP52" s="2">
        <f t="shared" si="34"/>
        <v>115.34</v>
      </c>
      <c r="CQ52" s="2">
        <f t="shared" si="35"/>
        <v>0</v>
      </c>
      <c r="CR52" s="2">
        <f t="shared" si="36"/>
        <v>9.65</v>
      </c>
      <c r="CS52" s="2">
        <f t="shared" si="37"/>
        <v>3.55</v>
      </c>
      <c r="CT52" s="2">
        <f t="shared" si="38"/>
        <v>4.5655000000000001</v>
      </c>
      <c r="CU52" s="2">
        <f t="shared" si="39"/>
        <v>0</v>
      </c>
      <c r="CV52" s="2">
        <f t="shared" si="40"/>
        <v>0.57499999999999996</v>
      </c>
      <c r="CW52" s="2">
        <f t="shared" si="41"/>
        <v>0.26250000000000001</v>
      </c>
      <c r="CX52" s="2">
        <f t="shared" si="42"/>
        <v>0</v>
      </c>
      <c r="CY52" s="2">
        <f t="shared" si="43"/>
        <v>73.082400000000007</v>
      </c>
      <c r="CZ52" s="2">
        <f t="shared" si="44"/>
        <v>42.137599999999999</v>
      </c>
      <c r="DA52" s="2"/>
      <c r="DB52" s="2"/>
      <c r="DC52" s="2" t="s">
        <v>6</v>
      </c>
      <c r="DD52" s="2" t="s">
        <v>6</v>
      </c>
      <c r="DE52" s="2" t="s">
        <v>40</v>
      </c>
      <c r="DF52" s="2" t="s">
        <v>40</v>
      </c>
      <c r="DG52" s="2" t="s">
        <v>41</v>
      </c>
      <c r="DH52" s="2" t="s">
        <v>6</v>
      </c>
      <c r="DI52" s="2" t="s">
        <v>41</v>
      </c>
      <c r="DJ52" s="2" t="s">
        <v>40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16</v>
      </c>
      <c r="DW52" s="2" t="s">
        <v>16</v>
      </c>
      <c r="DX52" s="2">
        <v>100</v>
      </c>
      <c r="DY52" s="2"/>
      <c r="DZ52" s="2"/>
      <c r="EA52" s="2"/>
      <c r="EB52" s="2"/>
      <c r="EC52" s="2"/>
      <c r="ED52" s="2"/>
      <c r="EE52" s="2">
        <v>26549061</v>
      </c>
      <c r="EF52" s="2">
        <v>2</v>
      </c>
      <c r="EG52" s="2" t="s">
        <v>42</v>
      </c>
      <c r="EH52" s="2">
        <v>0</v>
      </c>
      <c r="EI52" s="2" t="s">
        <v>6</v>
      </c>
      <c r="EJ52" s="2">
        <v>1</v>
      </c>
      <c r="EK52" s="2">
        <v>11001</v>
      </c>
      <c r="EL52" s="2" t="s">
        <v>19</v>
      </c>
      <c r="EM52" s="2" t="s">
        <v>43</v>
      </c>
      <c r="EN52" s="2"/>
      <c r="EO52" s="2" t="s">
        <v>44</v>
      </c>
      <c r="EP52" s="2"/>
      <c r="EQ52" s="2">
        <v>1024</v>
      </c>
      <c r="ER52" s="2">
        <v>11.69</v>
      </c>
      <c r="ES52" s="2">
        <v>0</v>
      </c>
      <c r="ET52" s="2">
        <v>7.72</v>
      </c>
      <c r="EU52" s="2">
        <v>2.84</v>
      </c>
      <c r="EV52" s="2">
        <v>3.97</v>
      </c>
      <c r="EW52" s="2">
        <v>0.5</v>
      </c>
      <c r="EX52" s="2">
        <v>0.21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5"/>
        <v>0</v>
      </c>
      <c r="FS52" s="2">
        <v>0</v>
      </c>
      <c r="FT52" s="2" t="s">
        <v>45</v>
      </c>
      <c r="FU52" s="2" t="s">
        <v>46</v>
      </c>
      <c r="FV52" s="2"/>
      <c r="FW52" s="2"/>
      <c r="FX52" s="2">
        <v>110.7</v>
      </c>
      <c r="FY52" s="2">
        <v>63.75</v>
      </c>
      <c r="FZ52" s="2"/>
      <c r="GA52" s="2" t="s">
        <v>6</v>
      </c>
      <c r="GB52" s="2"/>
      <c r="GC52" s="2"/>
      <c r="GD52" s="2">
        <v>0</v>
      </c>
      <c r="GE52" s="2"/>
      <c r="GF52" s="2">
        <v>-869721543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6"/>
        <v>0</v>
      </c>
      <c r="GM52" s="2">
        <f t="shared" si="47"/>
        <v>230.56</v>
      </c>
      <c r="GN52" s="2">
        <f t="shared" si="48"/>
        <v>230.56</v>
      </c>
      <c r="GO52" s="2">
        <f t="shared" si="49"/>
        <v>0</v>
      </c>
      <c r="GP52" s="2">
        <f t="shared" si="50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1"/>
        <v>0</v>
      </c>
      <c r="GW52" s="2">
        <v>1</v>
      </c>
      <c r="GX52" s="2">
        <f t="shared" si="52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ROW(SmtRes!A92)</f>
        <v>92</v>
      </c>
      <c r="D53">
        <f>ROW(EtalonRes!A90)</f>
        <v>90</v>
      </c>
      <c r="E53" t="s">
        <v>6</v>
      </c>
      <c r="F53" t="s">
        <v>77</v>
      </c>
      <c r="G53" t="s">
        <v>78</v>
      </c>
      <c r="H53" t="s">
        <v>16</v>
      </c>
      <c r="I53">
        <f>ROUND(811.4/100,9)</f>
        <v>8.1140000000000008</v>
      </c>
      <c r="J53">
        <v>0</v>
      </c>
      <c r="O53">
        <f t="shared" si="14"/>
        <v>888.15</v>
      </c>
      <c r="P53">
        <f t="shared" si="15"/>
        <v>0</v>
      </c>
      <c r="Q53">
        <f t="shared" si="16"/>
        <v>602.91</v>
      </c>
      <c r="R53">
        <f t="shared" si="17"/>
        <v>221.8</v>
      </c>
      <c r="S53">
        <f t="shared" si="18"/>
        <v>285.24</v>
      </c>
      <c r="T53">
        <f t="shared" si="19"/>
        <v>0</v>
      </c>
      <c r="U53">
        <f t="shared" si="20"/>
        <v>4.6655499999999996</v>
      </c>
      <c r="V53">
        <f t="shared" si="21"/>
        <v>2.1299250000000005</v>
      </c>
      <c r="W53">
        <f t="shared" si="22"/>
        <v>0</v>
      </c>
      <c r="X53">
        <f t="shared" si="23"/>
        <v>562.80999999999995</v>
      </c>
      <c r="Y53">
        <f t="shared" si="24"/>
        <v>324.51</v>
      </c>
      <c r="AA53">
        <v>-1</v>
      </c>
      <c r="AB53">
        <f t="shared" si="25"/>
        <v>14.2155</v>
      </c>
      <c r="AC53">
        <f t="shared" si="56"/>
        <v>0</v>
      </c>
      <c r="AD53">
        <f>ROUND(((((ET53*1.25))-((EU53*1.25)))+AE53),6)</f>
        <v>9.65</v>
      </c>
      <c r="AE53">
        <f>ROUND(((EU53*1.25)),6)</f>
        <v>3.55</v>
      </c>
      <c r="AF53">
        <f>ROUND(((EV53*1.15)),6)</f>
        <v>4.5655000000000001</v>
      </c>
      <c r="AG53">
        <f t="shared" si="30"/>
        <v>0</v>
      </c>
      <c r="AH53">
        <f>((EW53*1.15))</f>
        <v>0.57499999999999996</v>
      </c>
      <c r="AI53">
        <f>((EX53*1.25))</f>
        <v>0.26250000000000001</v>
      </c>
      <c r="AJ53">
        <f t="shared" si="33"/>
        <v>0</v>
      </c>
      <c r="AK53">
        <v>11.69</v>
      </c>
      <c r="AL53">
        <v>0</v>
      </c>
      <c r="AM53">
        <v>7.72</v>
      </c>
      <c r="AN53">
        <v>2.84</v>
      </c>
      <c r="AO53">
        <v>3.97</v>
      </c>
      <c r="AP53">
        <v>0</v>
      </c>
      <c r="AQ53">
        <v>0.5</v>
      </c>
      <c r="AR53">
        <v>0.21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7.7</v>
      </c>
      <c r="BA53">
        <v>7.7</v>
      </c>
      <c r="BB53">
        <v>7.7</v>
      </c>
      <c r="BC53">
        <v>7.7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79</v>
      </c>
      <c r="BM53">
        <v>11001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7.7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510</v>
      </c>
      <c r="CO53">
        <v>0</v>
      </c>
      <c r="CP53">
        <f t="shared" si="34"/>
        <v>888.15</v>
      </c>
      <c r="CQ53">
        <f t="shared" si="35"/>
        <v>0</v>
      </c>
      <c r="CR53">
        <f t="shared" si="36"/>
        <v>74.305000000000007</v>
      </c>
      <c r="CS53">
        <f t="shared" si="37"/>
        <v>27.335000000000001</v>
      </c>
      <c r="CT53">
        <f t="shared" si="38"/>
        <v>35.154350000000001</v>
      </c>
      <c r="CU53">
        <f t="shared" si="39"/>
        <v>0</v>
      </c>
      <c r="CV53">
        <f t="shared" si="40"/>
        <v>0.57499999999999996</v>
      </c>
      <c r="CW53">
        <f t="shared" si="41"/>
        <v>0.26250000000000001</v>
      </c>
      <c r="CX53">
        <f t="shared" si="42"/>
        <v>0</v>
      </c>
      <c r="CY53">
        <f t="shared" si="43"/>
        <v>562.81439999999998</v>
      </c>
      <c r="CZ53">
        <f t="shared" si="44"/>
        <v>324.50560000000002</v>
      </c>
      <c r="DC53" t="s">
        <v>6</v>
      </c>
      <c r="DD53" t="s">
        <v>6</v>
      </c>
      <c r="DE53" t="s">
        <v>40</v>
      </c>
      <c r="DF53" t="s">
        <v>40</v>
      </c>
      <c r="DG53" t="s">
        <v>41</v>
      </c>
      <c r="DH53" t="s">
        <v>6</v>
      </c>
      <c r="DI53" t="s">
        <v>41</v>
      </c>
      <c r="DJ53" t="s">
        <v>40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16</v>
      </c>
      <c r="DW53" t="s">
        <v>16</v>
      </c>
      <c r="DX53">
        <v>100</v>
      </c>
      <c r="EE53">
        <v>26549061</v>
      </c>
      <c r="EF53">
        <v>2</v>
      </c>
      <c r="EG53" t="s">
        <v>42</v>
      </c>
      <c r="EH53">
        <v>0</v>
      </c>
      <c r="EI53" t="s">
        <v>6</v>
      </c>
      <c r="EJ53">
        <v>1</v>
      </c>
      <c r="EK53">
        <v>11001</v>
      </c>
      <c r="EL53" t="s">
        <v>19</v>
      </c>
      <c r="EM53" t="s">
        <v>43</v>
      </c>
      <c r="EO53" t="s">
        <v>44</v>
      </c>
      <c r="EQ53">
        <v>1024</v>
      </c>
      <c r="ER53">
        <v>11.69</v>
      </c>
      <c r="ES53">
        <v>0</v>
      </c>
      <c r="ET53">
        <v>7.72</v>
      </c>
      <c r="EU53">
        <v>2.84</v>
      </c>
      <c r="EV53">
        <v>3.97</v>
      </c>
      <c r="EW53">
        <v>0.5</v>
      </c>
      <c r="EX53">
        <v>0.21</v>
      </c>
      <c r="EY53">
        <v>0</v>
      </c>
      <c r="FQ53">
        <v>0</v>
      </c>
      <c r="FR53">
        <f t="shared" si="45"/>
        <v>0</v>
      </c>
      <c r="FS53">
        <v>0</v>
      </c>
      <c r="FT53" t="s">
        <v>45</v>
      </c>
      <c r="FU53" t="s">
        <v>46</v>
      </c>
      <c r="FX53">
        <v>110.7</v>
      </c>
      <c r="FY53">
        <v>63.75</v>
      </c>
      <c r="GA53" t="s">
        <v>6</v>
      </c>
      <c r="GD53">
        <v>0</v>
      </c>
      <c r="GF53">
        <v>-869721543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6"/>
        <v>0</v>
      </c>
      <c r="GM53">
        <f t="shared" si="47"/>
        <v>1775.47</v>
      </c>
      <c r="GN53">
        <f t="shared" si="48"/>
        <v>1775.47</v>
      </c>
      <c r="GO53">
        <f t="shared" si="49"/>
        <v>0</v>
      </c>
      <c r="GP53">
        <f t="shared" si="50"/>
        <v>0</v>
      </c>
      <c r="GR53">
        <v>0</v>
      </c>
      <c r="GS53">
        <v>3</v>
      </c>
      <c r="GT53">
        <v>0</v>
      </c>
      <c r="GU53" t="s">
        <v>6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87</v>
      </c>
      <c r="D54" s="2"/>
      <c r="E54" s="2" t="s">
        <v>6</v>
      </c>
      <c r="F54" s="2" t="s">
        <v>74</v>
      </c>
      <c r="G54" s="2" t="s">
        <v>75</v>
      </c>
      <c r="H54" s="2" t="s">
        <v>76</v>
      </c>
      <c r="I54" s="2">
        <f>I52*J54</f>
        <v>4.1381399999999999</v>
      </c>
      <c r="J54" s="2">
        <v>0.5099999999999999</v>
      </c>
      <c r="K54" s="2"/>
      <c r="L54" s="2"/>
      <c r="M54" s="2"/>
      <c r="N54" s="2"/>
      <c r="O54" s="2">
        <f t="shared" si="14"/>
        <v>0</v>
      </c>
      <c r="P54" s="2">
        <f t="shared" si="15"/>
        <v>0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-1</v>
      </c>
      <c r="AB54" s="2">
        <f t="shared" si="25"/>
        <v>0</v>
      </c>
      <c r="AC54" s="2">
        <f t="shared" si="56"/>
        <v>0</v>
      </c>
      <c r="AD54" s="2">
        <f>ROUND((((ET54)-(EU54))+AE54),6)</f>
        <v>0</v>
      </c>
      <c r="AE54" s="2">
        <f>ROUND((EU54),6)</f>
        <v>0</v>
      </c>
      <c r="AF54" s="2">
        <f>ROUND((EV54),6)</f>
        <v>0</v>
      </c>
      <c r="AG54" s="2">
        <f t="shared" si="30"/>
        <v>0</v>
      </c>
      <c r="AH54" s="2">
        <f>(EW54)</f>
        <v>0</v>
      </c>
      <c r="AI54" s="2">
        <f>(EX54)</f>
        <v>0</v>
      </c>
      <c r="AJ54" s="2">
        <f t="shared" si="33"/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111</v>
      </c>
      <c r="AU54" s="2">
        <v>64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6</v>
      </c>
      <c r="BK54" s="2"/>
      <c r="BL54" s="2"/>
      <c r="BM54" s="2">
        <v>11001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123</v>
      </c>
      <c r="CA54" s="2">
        <v>75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4"/>
        <v>0</v>
      </c>
      <c r="CQ54" s="2">
        <f t="shared" si="35"/>
        <v>0</v>
      </c>
      <c r="CR54" s="2">
        <f t="shared" si="36"/>
        <v>0</v>
      </c>
      <c r="CS54" s="2">
        <f t="shared" si="37"/>
        <v>0</v>
      </c>
      <c r="CT54" s="2">
        <f t="shared" si="38"/>
        <v>0</v>
      </c>
      <c r="CU54" s="2">
        <f t="shared" si="39"/>
        <v>0</v>
      </c>
      <c r="CV54" s="2">
        <f t="shared" si="40"/>
        <v>0</v>
      </c>
      <c r="CW54" s="2">
        <f t="shared" si="41"/>
        <v>0</v>
      </c>
      <c r="CX54" s="2">
        <f t="shared" si="42"/>
        <v>0</v>
      </c>
      <c r="CY54" s="2">
        <f t="shared" si="43"/>
        <v>0</v>
      </c>
      <c r="CZ54" s="2">
        <f t="shared" si="44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1007</v>
      </c>
      <c r="DV54" s="2" t="s">
        <v>76</v>
      </c>
      <c r="DW54" s="2" t="s">
        <v>76</v>
      </c>
      <c r="DX54" s="2">
        <v>1</v>
      </c>
      <c r="DY54" s="2"/>
      <c r="DZ54" s="2"/>
      <c r="EA54" s="2"/>
      <c r="EB54" s="2"/>
      <c r="EC54" s="2"/>
      <c r="ED54" s="2"/>
      <c r="EE54" s="2">
        <v>26549061</v>
      </c>
      <c r="EF54" s="2">
        <v>2</v>
      </c>
      <c r="EG54" s="2" t="s">
        <v>42</v>
      </c>
      <c r="EH54" s="2">
        <v>0</v>
      </c>
      <c r="EI54" s="2" t="s">
        <v>6</v>
      </c>
      <c r="EJ54" s="2">
        <v>1</v>
      </c>
      <c r="EK54" s="2">
        <v>11001</v>
      </c>
      <c r="EL54" s="2" t="s">
        <v>19</v>
      </c>
      <c r="EM54" s="2" t="s">
        <v>43</v>
      </c>
      <c r="EN54" s="2"/>
      <c r="EO54" s="2" t="s">
        <v>6</v>
      </c>
      <c r="EP54" s="2"/>
      <c r="EQ54" s="2">
        <v>1024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5"/>
        <v>0</v>
      </c>
      <c r="FS54" s="2">
        <v>0</v>
      </c>
      <c r="FT54" s="2" t="s">
        <v>45</v>
      </c>
      <c r="FU54" s="2" t="s">
        <v>46</v>
      </c>
      <c r="FV54" s="2"/>
      <c r="FW54" s="2"/>
      <c r="FX54" s="2">
        <v>110.7</v>
      </c>
      <c r="FY54" s="2">
        <v>63.75</v>
      </c>
      <c r="FZ54" s="2"/>
      <c r="GA54" s="2" t="s">
        <v>6</v>
      </c>
      <c r="GB54" s="2"/>
      <c r="GC54" s="2"/>
      <c r="GD54" s="2">
        <v>0</v>
      </c>
      <c r="GE54" s="2"/>
      <c r="GF54" s="2">
        <v>-2113302258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6"/>
        <v>0</v>
      </c>
      <c r="GM54" s="2">
        <f t="shared" si="47"/>
        <v>0</v>
      </c>
      <c r="GN54" s="2">
        <f t="shared" si="48"/>
        <v>0</v>
      </c>
      <c r="GO54" s="2">
        <f t="shared" si="49"/>
        <v>0</v>
      </c>
      <c r="GP54" s="2">
        <f t="shared" si="50"/>
        <v>0</v>
      </c>
      <c r="GQ54" s="2"/>
      <c r="GR54" s="2">
        <v>0</v>
      </c>
      <c r="GS54" s="2">
        <v>0</v>
      </c>
      <c r="GT54" s="2">
        <v>0</v>
      </c>
      <c r="GU54" s="2" t="s">
        <v>6</v>
      </c>
      <c r="GV54" s="2">
        <f t="shared" si="51"/>
        <v>0</v>
      </c>
      <c r="GW54" s="2">
        <v>1</v>
      </c>
      <c r="GX54" s="2">
        <f t="shared" si="52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92</v>
      </c>
      <c r="E55" t="s">
        <v>6</v>
      </c>
      <c r="F55" t="s">
        <v>74</v>
      </c>
      <c r="G55" t="s">
        <v>75</v>
      </c>
      <c r="H55" t="s">
        <v>76</v>
      </c>
      <c r="I55">
        <f>I53*J55</f>
        <v>4.1381399999999999</v>
      </c>
      <c r="J55">
        <v>0.5099999999999999</v>
      </c>
      <c r="O55">
        <f t="shared" si="14"/>
        <v>0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-1</v>
      </c>
      <c r="AB55">
        <f t="shared" si="25"/>
        <v>0</v>
      </c>
      <c r="AC55">
        <f t="shared" si="56"/>
        <v>0</v>
      </c>
      <c r="AD55">
        <f>ROUND((((ET55)-(EU55))+AE55),6)</f>
        <v>0</v>
      </c>
      <c r="AE55">
        <f>ROUND((EU55),6)</f>
        <v>0</v>
      </c>
      <c r="AF55">
        <f>ROUND((EV55),6)</f>
        <v>0</v>
      </c>
      <c r="AG55">
        <f t="shared" si="30"/>
        <v>0</v>
      </c>
      <c r="AH55">
        <f>(EW55)</f>
        <v>0</v>
      </c>
      <c r="AI55">
        <f>(EX55)</f>
        <v>0</v>
      </c>
      <c r="AJ55">
        <f t="shared" si="33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7.7</v>
      </c>
      <c r="BA55">
        <v>1</v>
      </c>
      <c r="BB55">
        <v>1</v>
      </c>
      <c r="BC55">
        <v>7.7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6</v>
      </c>
      <c r="BM55">
        <v>11001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4"/>
        <v>0</v>
      </c>
      <c r="CQ55">
        <f t="shared" si="35"/>
        <v>0</v>
      </c>
      <c r="CR55">
        <f t="shared" si="36"/>
        <v>0</v>
      </c>
      <c r="CS55">
        <f t="shared" si="37"/>
        <v>0</v>
      </c>
      <c r="CT55">
        <f t="shared" si="38"/>
        <v>0</v>
      </c>
      <c r="CU55">
        <f t="shared" si="39"/>
        <v>0</v>
      </c>
      <c r="CV55">
        <f t="shared" si="40"/>
        <v>0</v>
      </c>
      <c r="CW55">
        <f t="shared" si="41"/>
        <v>0</v>
      </c>
      <c r="CX55">
        <f t="shared" si="42"/>
        <v>0</v>
      </c>
      <c r="CY55">
        <f t="shared" si="43"/>
        <v>0</v>
      </c>
      <c r="CZ55">
        <f t="shared" si="44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1007</v>
      </c>
      <c r="DV55" t="s">
        <v>76</v>
      </c>
      <c r="DW55" t="s">
        <v>76</v>
      </c>
      <c r="DX55">
        <v>1</v>
      </c>
      <c r="EE55">
        <v>26549061</v>
      </c>
      <c r="EF55">
        <v>2</v>
      </c>
      <c r="EG55" t="s">
        <v>42</v>
      </c>
      <c r="EH55">
        <v>0</v>
      </c>
      <c r="EI55" t="s">
        <v>6</v>
      </c>
      <c r="EJ55">
        <v>1</v>
      </c>
      <c r="EK55">
        <v>11001</v>
      </c>
      <c r="EL55" t="s">
        <v>19</v>
      </c>
      <c r="EM55" t="s">
        <v>43</v>
      </c>
      <c r="EO55" t="s">
        <v>6</v>
      </c>
      <c r="EQ55">
        <v>1024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5"/>
        <v>0</v>
      </c>
      <c r="FS55">
        <v>0</v>
      </c>
      <c r="FT55" t="s">
        <v>45</v>
      </c>
      <c r="FU55" t="s">
        <v>46</v>
      </c>
      <c r="FX55">
        <v>110.7</v>
      </c>
      <c r="FY55">
        <v>63.75</v>
      </c>
      <c r="GA55" t="s">
        <v>6</v>
      </c>
      <c r="GD55">
        <v>0</v>
      </c>
      <c r="GF55">
        <v>-2113302258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6"/>
        <v>0</v>
      </c>
      <c r="GM55">
        <f t="shared" si="47"/>
        <v>0</v>
      </c>
      <c r="GN55">
        <f t="shared" si="48"/>
        <v>0</v>
      </c>
      <c r="GO55">
        <f t="shared" si="49"/>
        <v>0</v>
      </c>
      <c r="GP55">
        <f t="shared" si="50"/>
        <v>0</v>
      </c>
      <c r="GR55">
        <v>0</v>
      </c>
      <c r="GS55">
        <v>0</v>
      </c>
      <c r="GT55">
        <v>0</v>
      </c>
      <c r="GU55" t="s">
        <v>6</v>
      </c>
      <c r="GV55">
        <f t="shared" si="51"/>
        <v>0</v>
      </c>
      <c r="GW55">
        <v>1</v>
      </c>
      <c r="GX55">
        <f t="shared" si="52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ROW(SmtRes!A104)</f>
        <v>104</v>
      </c>
      <c r="D56" s="2">
        <f>ROW(EtalonRes!A102)</f>
        <v>102</v>
      </c>
      <c r="E56" s="2" t="s">
        <v>80</v>
      </c>
      <c r="F56" s="2" t="s">
        <v>81</v>
      </c>
      <c r="G56" s="2" t="s">
        <v>82</v>
      </c>
      <c r="H56" s="2" t="s">
        <v>16</v>
      </c>
      <c r="I56" s="2">
        <f>ROUND(811.4/100,9)</f>
        <v>8.1140000000000008</v>
      </c>
      <c r="J56" s="2">
        <v>0</v>
      </c>
      <c r="K56" s="2"/>
      <c r="L56" s="2"/>
      <c r="M56" s="2"/>
      <c r="N56" s="2"/>
      <c r="O56" s="2">
        <f t="shared" ref="O56:O87" si="57">ROUND(CP56,2)</f>
        <v>178425.71</v>
      </c>
      <c r="P56" s="2">
        <f t="shared" ref="P56:P87" si="58">ROUND(CQ56*I56,2)</f>
        <v>152864.84</v>
      </c>
      <c r="Q56" s="2">
        <f t="shared" ref="Q56:Q87" si="59">ROUND(CR56*I56,2)</f>
        <v>244.94</v>
      </c>
      <c r="R56" s="2">
        <f t="shared" ref="R56:R87" si="60">ROUND(CS56*I56,2)</f>
        <v>177.6</v>
      </c>
      <c r="S56" s="2">
        <f t="shared" ref="S56:S87" si="61">ROUND(CT56*I56,2)</f>
        <v>25315.93</v>
      </c>
      <c r="T56" s="2">
        <f t="shared" ref="T56:T87" si="62">ROUND(CU56*I56,2)</f>
        <v>0</v>
      </c>
      <c r="U56" s="2">
        <f t="shared" ref="U56:U87" si="63">CV56*I56</f>
        <v>2896.5600620000005</v>
      </c>
      <c r="V56" s="2">
        <f t="shared" ref="V56:V87" si="64">CW56*I56</f>
        <v>17.546525000000003</v>
      </c>
      <c r="W56" s="2">
        <f t="shared" ref="W56:W87" si="65">ROUND(CX56*I56,2)</f>
        <v>0</v>
      </c>
      <c r="X56" s="2">
        <f t="shared" ref="X56:X87" si="66">ROUND(CY56,2)</f>
        <v>28297.82</v>
      </c>
      <c r="Y56" s="2">
        <f t="shared" ref="Y56:Y87" si="67">ROUND(CZ56,2)</f>
        <v>16315.86</v>
      </c>
      <c r="Z56" s="2"/>
      <c r="AA56" s="2">
        <v>26914188</v>
      </c>
      <c r="AB56" s="2">
        <f t="shared" ref="AB56:AB87" si="68">ROUND((AC56+AD56+AF56),6)</f>
        <v>21989.858</v>
      </c>
      <c r="AC56" s="2">
        <f t="shared" si="56"/>
        <v>18839.64</v>
      </c>
      <c r="AD56" s="2">
        <f>ROUND(((((ET56*1.25))-((EU56*1.25)))+AE56),6)</f>
        <v>30.1875</v>
      </c>
      <c r="AE56" s="2">
        <f>ROUND(((EU56*1.25)),6)</f>
        <v>21.887499999999999</v>
      </c>
      <c r="AF56" s="2">
        <f>ROUND(((EV56*1.15)),6)</f>
        <v>3120.0304999999998</v>
      </c>
      <c r="AG56" s="2">
        <f t="shared" ref="AG56:AG87" si="69">ROUND((AP56),6)</f>
        <v>0</v>
      </c>
      <c r="AH56" s="2">
        <f>((EW56*1.15))</f>
        <v>356.983</v>
      </c>
      <c r="AI56" s="2">
        <f>((EX56*1.25))</f>
        <v>2.1625000000000001</v>
      </c>
      <c r="AJ56" s="2">
        <f t="shared" ref="AJ56:AJ87" si="70">ROUND((AS56),6)</f>
        <v>0</v>
      </c>
      <c r="AK56" s="2">
        <v>21576.86</v>
      </c>
      <c r="AL56" s="2">
        <v>18839.64</v>
      </c>
      <c r="AM56" s="2">
        <v>24.15</v>
      </c>
      <c r="AN56" s="2">
        <v>17.510000000000002</v>
      </c>
      <c r="AO56" s="2">
        <v>2713.07</v>
      </c>
      <c r="AP56" s="2">
        <v>0</v>
      </c>
      <c r="AQ56" s="2">
        <v>310.42</v>
      </c>
      <c r="AR56" s="2">
        <v>1.73</v>
      </c>
      <c r="AS56" s="2">
        <v>0</v>
      </c>
      <c r="AT56" s="2">
        <v>111</v>
      </c>
      <c r="AU56" s="2">
        <v>64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83</v>
      </c>
      <c r="BK56" s="2"/>
      <c r="BL56" s="2"/>
      <c r="BM56" s="2">
        <v>11001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123</v>
      </c>
      <c r="CA56" s="2">
        <v>75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510</v>
      </c>
      <c r="CO56" s="2">
        <v>0</v>
      </c>
      <c r="CP56" s="2">
        <f t="shared" ref="CP56:CP87" si="71">(P56+Q56+S56)</f>
        <v>178425.71</v>
      </c>
      <c r="CQ56" s="2">
        <f t="shared" ref="CQ56:CQ87" si="72">AC56*BC56</f>
        <v>18839.64</v>
      </c>
      <c r="CR56" s="2">
        <f t="shared" ref="CR56:CR87" si="73">AD56*BB56</f>
        <v>30.1875</v>
      </c>
      <c r="CS56" s="2">
        <f t="shared" ref="CS56:CS87" si="74">AE56*BS56</f>
        <v>21.887499999999999</v>
      </c>
      <c r="CT56" s="2">
        <f t="shared" ref="CT56:CT87" si="75">AF56*BA56</f>
        <v>3120.0304999999998</v>
      </c>
      <c r="CU56" s="2">
        <f t="shared" ref="CU56:CU87" si="76">AG56</f>
        <v>0</v>
      </c>
      <c r="CV56" s="2">
        <f t="shared" ref="CV56:CV87" si="77">AH56</f>
        <v>356.983</v>
      </c>
      <c r="CW56" s="2">
        <f t="shared" ref="CW56:CW87" si="78">AI56</f>
        <v>2.1625000000000001</v>
      </c>
      <c r="CX56" s="2">
        <f t="shared" ref="CX56:CX87" si="79">AJ56</f>
        <v>0</v>
      </c>
      <c r="CY56" s="2">
        <f t="shared" ref="CY56:CY87" si="80">(((S56+R56)*AT56)/100)</f>
        <v>28297.818299999999</v>
      </c>
      <c r="CZ56" s="2">
        <f t="shared" ref="CZ56:CZ87" si="81">(((S56+R56)*AU56)/100)</f>
        <v>16315.859199999999</v>
      </c>
      <c r="DA56" s="2"/>
      <c r="DB56" s="2"/>
      <c r="DC56" s="2" t="s">
        <v>6</v>
      </c>
      <c r="DD56" s="2" t="s">
        <v>6</v>
      </c>
      <c r="DE56" s="2" t="s">
        <v>40</v>
      </c>
      <c r="DF56" s="2" t="s">
        <v>40</v>
      </c>
      <c r="DG56" s="2" t="s">
        <v>41</v>
      </c>
      <c r="DH56" s="2" t="s">
        <v>6</v>
      </c>
      <c r="DI56" s="2" t="s">
        <v>41</v>
      </c>
      <c r="DJ56" s="2" t="s">
        <v>40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16</v>
      </c>
      <c r="DW56" s="2" t="s">
        <v>16</v>
      </c>
      <c r="DX56" s="2">
        <v>100</v>
      </c>
      <c r="DY56" s="2"/>
      <c r="DZ56" s="2"/>
      <c r="EA56" s="2"/>
      <c r="EB56" s="2"/>
      <c r="EC56" s="2"/>
      <c r="ED56" s="2"/>
      <c r="EE56" s="2">
        <v>26549061</v>
      </c>
      <c r="EF56" s="2">
        <v>2</v>
      </c>
      <c r="EG56" s="2" t="s">
        <v>42</v>
      </c>
      <c r="EH56" s="2">
        <v>0</v>
      </c>
      <c r="EI56" s="2" t="s">
        <v>6</v>
      </c>
      <c r="EJ56" s="2">
        <v>1</v>
      </c>
      <c r="EK56" s="2">
        <v>11001</v>
      </c>
      <c r="EL56" s="2" t="s">
        <v>19</v>
      </c>
      <c r="EM56" s="2" t="s">
        <v>43</v>
      </c>
      <c r="EN56" s="2"/>
      <c r="EO56" s="2" t="s">
        <v>44</v>
      </c>
      <c r="EP56" s="2"/>
      <c r="EQ56" s="2">
        <v>0</v>
      </c>
      <c r="ER56" s="2">
        <v>21576.86</v>
      </c>
      <c r="ES56" s="2">
        <v>18839.64</v>
      </c>
      <c r="ET56" s="2">
        <v>24.15</v>
      </c>
      <c r="EU56" s="2">
        <v>17.510000000000002</v>
      </c>
      <c r="EV56" s="2">
        <v>2713.07</v>
      </c>
      <c r="EW56" s="2">
        <v>310.42</v>
      </c>
      <c r="EX56" s="2">
        <v>1.73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2">ROUND(IF(AND(BH56=3,BI56=3),P56,0),2)</f>
        <v>0</v>
      </c>
      <c r="FS56" s="2">
        <v>0</v>
      </c>
      <c r="FT56" s="2" t="s">
        <v>45</v>
      </c>
      <c r="FU56" s="2" t="s">
        <v>46</v>
      </c>
      <c r="FV56" s="2"/>
      <c r="FW56" s="2"/>
      <c r="FX56" s="2">
        <v>110.7</v>
      </c>
      <c r="FY56" s="2">
        <v>63.75</v>
      </c>
      <c r="FZ56" s="2"/>
      <c r="GA56" s="2" t="s">
        <v>6</v>
      </c>
      <c r="GB56" s="2"/>
      <c r="GC56" s="2"/>
      <c r="GD56" s="2">
        <v>0</v>
      </c>
      <c r="GE56" s="2"/>
      <c r="GF56" s="2">
        <v>-957353104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83">ROUND(IF(AND(BH56=3,BI56=3,FS56&lt;&gt;0),P56,0),2)</f>
        <v>0</v>
      </c>
      <c r="GM56" s="2">
        <f t="shared" ref="GM56:GM87" si="84">ROUND(O56+X56+Y56+GK56,2)+GX56</f>
        <v>223039.39</v>
      </c>
      <c r="GN56" s="2">
        <f t="shared" ref="GN56:GN87" si="85">IF(OR(BI56=0,BI56=1),ROUND(O56+X56+Y56+GK56,2),0)</f>
        <v>223039.39</v>
      </c>
      <c r="GO56" s="2">
        <f t="shared" ref="GO56:GO87" si="86">IF(BI56=2,ROUND(O56+X56+Y56+GK56,2),0)</f>
        <v>0</v>
      </c>
      <c r="GP56" s="2">
        <f t="shared" ref="GP56:GP87" si="87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87" si="88">ROUND(GT56,6)</f>
        <v>0</v>
      </c>
      <c r="GW56" s="2">
        <v>1</v>
      </c>
      <c r="GX56" s="2">
        <f t="shared" ref="GX56:GX87" si="89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ROW(SmtRes!A116)</f>
        <v>116</v>
      </c>
      <c r="D57">
        <f>ROW(EtalonRes!A114)</f>
        <v>114</v>
      </c>
      <c r="E57" t="s">
        <v>80</v>
      </c>
      <c r="F57" t="s">
        <v>81</v>
      </c>
      <c r="G57" t="s">
        <v>82</v>
      </c>
      <c r="H57" t="s">
        <v>16</v>
      </c>
      <c r="I57">
        <f>ROUND(811.4/100,9)</f>
        <v>8.1140000000000008</v>
      </c>
      <c r="J57">
        <v>0</v>
      </c>
      <c r="O57">
        <f t="shared" si="57"/>
        <v>1373877.95</v>
      </c>
      <c r="P57">
        <f t="shared" si="58"/>
        <v>1177059.26</v>
      </c>
      <c r="Q57">
        <f t="shared" si="59"/>
        <v>1886.05</v>
      </c>
      <c r="R57">
        <f t="shared" si="60"/>
        <v>1367.48</v>
      </c>
      <c r="S57">
        <f t="shared" si="61"/>
        <v>194932.64</v>
      </c>
      <c r="T57">
        <f t="shared" si="62"/>
        <v>0</v>
      </c>
      <c r="U57">
        <f t="shared" si="63"/>
        <v>2896.5600620000005</v>
      </c>
      <c r="V57">
        <f t="shared" si="64"/>
        <v>17.546525000000003</v>
      </c>
      <c r="W57">
        <f t="shared" si="65"/>
        <v>0</v>
      </c>
      <c r="X57">
        <f t="shared" si="66"/>
        <v>217893.13</v>
      </c>
      <c r="Y57">
        <f t="shared" si="67"/>
        <v>125632.08</v>
      </c>
      <c r="AA57">
        <v>26914189</v>
      </c>
      <c r="AB57">
        <f t="shared" si="68"/>
        <v>21989.858</v>
      </c>
      <c r="AC57">
        <f t="shared" si="56"/>
        <v>18839.64</v>
      </c>
      <c r="AD57">
        <f>ROUND(((((ET57*1.25))-((EU57*1.25)))+AE57),6)</f>
        <v>30.1875</v>
      </c>
      <c r="AE57">
        <f>ROUND(((EU57*1.25)),6)</f>
        <v>21.887499999999999</v>
      </c>
      <c r="AF57">
        <f>ROUND(((EV57*1.15)),6)</f>
        <v>3120.0304999999998</v>
      </c>
      <c r="AG57">
        <f t="shared" si="69"/>
        <v>0</v>
      </c>
      <c r="AH57">
        <f>((EW57*1.15))</f>
        <v>356.983</v>
      </c>
      <c r="AI57">
        <f>((EX57*1.25))</f>
        <v>2.1625000000000001</v>
      </c>
      <c r="AJ57">
        <f t="shared" si="70"/>
        <v>0</v>
      </c>
      <c r="AK57">
        <v>21576.86</v>
      </c>
      <c r="AL57">
        <v>18839.64</v>
      </c>
      <c r="AM57">
        <v>24.15</v>
      </c>
      <c r="AN57">
        <v>17.510000000000002</v>
      </c>
      <c r="AO57">
        <v>2713.07</v>
      </c>
      <c r="AP57">
        <v>0</v>
      </c>
      <c r="AQ57">
        <v>310.42</v>
      </c>
      <c r="AR57">
        <v>1.73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7.7</v>
      </c>
      <c r="BA57">
        <v>7.7</v>
      </c>
      <c r="BB57">
        <v>7.7</v>
      </c>
      <c r="BC57">
        <v>7.7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83</v>
      </c>
      <c r="BM57">
        <v>11001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7.7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510</v>
      </c>
      <c r="CO57">
        <v>0</v>
      </c>
      <c r="CP57">
        <f t="shared" si="71"/>
        <v>1373877.9500000002</v>
      </c>
      <c r="CQ57">
        <f t="shared" si="72"/>
        <v>145065.228</v>
      </c>
      <c r="CR57">
        <f t="shared" si="73"/>
        <v>232.44374999999999</v>
      </c>
      <c r="CS57">
        <f t="shared" si="74"/>
        <v>168.53375</v>
      </c>
      <c r="CT57">
        <f t="shared" si="75"/>
        <v>24024.234850000001</v>
      </c>
      <c r="CU57">
        <f t="shared" si="76"/>
        <v>0</v>
      </c>
      <c r="CV57">
        <f t="shared" si="77"/>
        <v>356.983</v>
      </c>
      <c r="CW57">
        <f t="shared" si="78"/>
        <v>2.1625000000000001</v>
      </c>
      <c r="CX57">
        <f t="shared" si="79"/>
        <v>0</v>
      </c>
      <c r="CY57">
        <f t="shared" si="80"/>
        <v>217893.13320000004</v>
      </c>
      <c r="CZ57">
        <f t="shared" si="81"/>
        <v>125632.07680000001</v>
      </c>
      <c r="DC57" t="s">
        <v>6</v>
      </c>
      <c r="DD57" t="s">
        <v>6</v>
      </c>
      <c r="DE57" t="s">
        <v>40</v>
      </c>
      <c r="DF57" t="s">
        <v>40</v>
      </c>
      <c r="DG57" t="s">
        <v>41</v>
      </c>
      <c r="DH57" t="s">
        <v>6</v>
      </c>
      <c r="DI57" t="s">
        <v>41</v>
      </c>
      <c r="DJ57" t="s">
        <v>40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16</v>
      </c>
      <c r="DW57" t="s">
        <v>16</v>
      </c>
      <c r="DX57">
        <v>100</v>
      </c>
      <c r="EE57">
        <v>26549061</v>
      </c>
      <c r="EF57">
        <v>2</v>
      </c>
      <c r="EG57" t="s">
        <v>42</v>
      </c>
      <c r="EH57">
        <v>0</v>
      </c>
      <c r="EI57" t="s">
        <v>6</v>
      </c>
      <c r="EJ57">
        <v>1</v>
      </c>
      <c r="EK57">
        <v>11001</v>
      </c>
      <c r="EL57" t="s">
        <v>19</v>
      </c>
      <c r="EM57" t="s">
        <v>43</v>
      </c>
      <c r="EO57" t="s">
        <v>44</v>
      </c>
      <c r="EQ57">
        <v>0</v>
      </c>
      <c r="ER57">
        <v>21576.86</v>
      </c>
      <c r="ES57">
        <v>18839.64</v>
      </c>
      <c r="ET57">
        <v>24.15</v>
      </c>
      <c r="EU57">
        <v>17.510000000000002</v>
      </c>
      <c r="EV57">
        <v>2713.07</v>
      </c>
      <c r="EW57">
        <v>310.42</v>
      </c>
      <c r="EX57">
        <v>1.73</v>
      </c>
      <c r="EY57">
        <v>0</v>
      </c>
      <c r="FQ57">
        <v>0</v>
      </c>
      <c r="FR57">
        <f t="shared" si="82"/>
        <v>0</v>
      </c>
      <c r="FS57">
        <v>0</v>
      </c>
      <c r="FT57" t="s">
        <v>45</v>
      </c>
      <c r="FU57" t="s">
        <v>46</v>
      </c>
      <c r="FX57">
        <v>110.7</v>
      </c>
      <c r="FY57">
        <v>63.75</v>
      </c>
      <c r="GA57" t="s">
        <v>6</v>
      </c>
      <c r="GD57">
        <v>0</v>
      </c>
      <c r="GF57">
        <v>-957353104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3"/>
        <v>0</v>
      </c>
      <c r="GM57">
        <f t="shared" si="84"/>
        <v>1717403.16</v>
      </c>
      <c r="GN57">
        <f t="shared" si="85"/>
        <v>1717403.16</v>
      </c>
      <c r="GO57">
        <f t="shared" si="86"/>
        <v>0</v>
      </c>
      <c r="GP57">
        <f t="shared" si="87"/>
        <v>0</v>
      </c>
      <c r="GR57">
        <v>0</v>
      </c>
      <c r="GS57">
        <v>3</v>
      </c>
      <c r="GT57">
        <v>0</v>
      </c>
      <c r="GU57" t="s">
        <v>6</v>
      </c>
      <c r="GV57">
        <f t="shared" si="88"/>
        <v>0</v>
      </c>
      <c r="GW57">
        <v>1</v>
      </c>
      <c r="GX57">
        <f t="shared" si="89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104</v>
      </c>
      <c r="D58" s="2"/>
      <c r="E58" s="2" t="s">
        <v>84</v>
      </c>
      <c r="F58" s="2" t="s">
        <v>85</v>
      </c>
      <c r="G58" s="2" t="s">
        <v>86</v>
      </c>
      <c r="H58" s="2" t="s">
        <v>87</v>
      </c>
      <c r="I58" s="2">
        <f>I56*J58</f>
        <v>162.28000000000003</v>
      </c>
      <c r="J58" s="2">
        <v>20</v>
      </c>
      <c r="K58" s="2"/>
      <c r="L58" s="2"/>
      <c r="M58" s="2"/>
      <c r="N58" s="2"/>
      <c r="O58" s="2">
        <f t="shared" si="57"/>
        <v>1483.24</v>
      </c>
      <c r="P58" s="2">
        <f t="shared" si="58"/>
        <v>1483.24</v>
      </c>
      <c r="Q58" s="2">
        <f t="shared" si="59"/>
        <v>0</v>
      </c>
      <c r="R58" s="2">
        <f t="shared" si="60"/>
        <v>0</v>
      </c>
      <c r="S58" s="2">
        <f t="shared" si="61"/>
        <v>0</v>
      </c>
      <c r="T58" s="2">
        <f t="shared" si="62"/>
        <v>0</v>
      </c>
      <c r="U58" s="2">
        <f t="shared" si="63"/>
        <v>0</v>
      </c>
      <c r="V58" s="2">
        <f t="shared" si="64"/>
        <v>0</v>
      </c>
      <c r="W58" s="2">
        <f t="shared" si="65"/>
        <v>0</v>
      </c>
      <c r="X58" s="2">
        <f t="shared" si="66"/>
        <v>0</v>
      </c>
      <c r="Y58" s="2">
        <f t="shared" si="67"/>
        <v>0</v>
      </c>
      <c r="Z58" s="2"/>
      <c r="AA58" s="2">
        <v>26914188</v>
      </c>
      <c r="AB58" s="2">
        <f t="shared" si="68"/>
        <v>9.14</v>
      </c>
      <c r="AC58" s="2">
        <f t="shared" si="56"/>
        <v>9.14</v>
      </c>
      <c r="AD58" s="2">
        <f t="shared" ref="AD58:AD63" si="90">ROUND((((ET58)-(EU58))+AE58),6)</f>
        <v>0</v>
      </c>
      <c r="AE58" s="2">
        <f t="shared" ref="AE58:AF63" si="91">ROUND((EU58),6)</f>
        <v>0</v>
      </c>
      <c r="AF58" s="2">
        <f t="shared" si="91"/>
        <v>0</v>
      </c>
      <c r="AG58" s="2">
        <f t="shared" si="69"/>
        <v>0</v>
      </c>
      <c r="AH58" s="2">
        <f t="shared" ref="AH58:AI63" si="92">(EW58)</f>
        <v>0</v>
      </c>
      <c r="AI58" s="2">
        <f t="shared" si="92"/>
        <v>0</v>
      </c>
      <c r="AJ58" s="2">
        <f t="shared" si="70"/>
        <v>0</v>
      </c>
      <c r="AK58" s="2">
        <v>9.14</v>
      </c>
      <c r="AL58" s="2">
        <v>9.14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111</v>
      </c>
      <c r="AU58" s="2">
        <v>64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88</v>
      </c>
      <c r="BK58" s="2"/>
      <c r="BL58" s="2"/>
      <c r="BM58" s="2">
        <v>11001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123</v>
      </c>
      <c r="CA58" s="2">
        <v>75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71"/>
        <v>1483.24</v>
      </c>
      <c r="CQ58" s="2">
        <f t="shared" si="72"/>
        <v>9.14</v>
      </c>
      <c r="CR58" s="2">
        <f t="shared" si="73"/>
        <v>0</v>
      </c>
      <c r="CS58" s="2">
        <f t="shared" si="74"/>
        <v>0</v>
      </c>
      <c r="CT58" s="2">
        <f t="shared" si="75"/>
        <v>0</v>
      </c>
      <c r="CU58" s="2">
        <f t="shared" si="76"/>
        <v>0</v>
      </c>
      <c r="CV58" s="2">
        <f t="shared" si="77"/>
        <v>0</v>
      </c>
      <c r="CW58" s="2">
        <f t="shared" si="78"/>
        <v>0</v>
      </c>
      <c r="CX58" s="2">
        <f t="shared" si="79"/>
        <v>0</v>
      </c>
      <c r="CY58" s="2">
        <f t="shared" si="80"/>
        <v>0</v>
      </c>
      <c r="CZ58" s="2">
        <f t="shared" si="81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1002</v>
      </c>
      <c r="DV58" s="2" t="s">
        <v>87</v>
      </c>
      <c r="DW58" s="2" t="s">
        <v>87</v>
      </c>
      <c r="DX58" s="2">
        <v>1</v>
      </c>
      <c r="DY58" s="2"/>
      <c r="DZ58" s="2"/>
      <c r="EA58" s="2"/>
      <c r="EB58" s="2"/>
      <c r="EC58" s="2"/>
      <c r="ED58" s="2"/>
      <c r="EE58" s="2">
        <v>26549061</v>
      </c>
      <c r="EF58" s="2">
        <v>2</v>
      </c>
      <c r="EG58" s="2" t="s">
        <v>42</v>
      </c>
      <c r="EH58" s="2">
        <v>0</v>
      </c>
      <c r="EI58" s="2" t="s">
        <v>6</v>
      </c>
      <c r="EJ58" s="2">
        <v>1</v>
      </c>
      <c r="EK58" s="2">
        <v>11001</v>
      </c>
      <c r="EL58" s="2" t="s">
        <v>19</v>
      </c>
      <c r="EM58" s="2" t="s">
        <v>43</v>
      </c>
      <c r="EN58" s="2"/>
      <c r="EO58" s="2" t="s">
        <v>6</v>
      </c>
      <c r="EP58" s="2"/>
      <c r="EQ58" s="2">
        <v>0</v>
      </c>
      <c r="ER58" s="2">
        <v>9.14</v>
      </c>
      <c r="ES58" s="2">
        <v>9.14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2"/>
        <v>0</v>
      </c>
      <c r="FS58" s="2">
        <v>0</v>
      </c>
      <c r="FT58" s="2" t="s">
        <v>45</v>
      </c>
      <c r="FU58" s="2" t="s">
        <v>46</v>
      </c>
      <c r="FV58" s="2"/>
      <c r="FW58" s="2"/>
      <c r="FX58" s="2">
        <v>110.7</v>
      </c>
      <c r="FY58" s="2">
        <v>63.75</v>
      </c>
      <c r="FZ58" s="2"/>
      <c r="GA58" s="2" t="s">
        <v>6</v>
      </c>
      <c r="GB58" s="2"/>
      <c r="GC58" s="2"/>
      <c r="GD58" s="2">
        <v>0</v>
      </c>
      <c r="GE58" s="2"/>
      <c r="GF58" s="2">
        <v>-972933126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3"/>
        <v>0</v>
      </c>
      <c r="GM58" s="2">
        <f t="shared" si="84"/>
        <v>1483.24</v>
      </c>
      <c r="GN58" s="2">
        <f t="shared" si="85"/>
        <v>1483.24</v>
      </c>
      <c r="GO58" s="2">
        <f t="shared" si="86"/>
        <v>0</v>
      </c>
      <c r="GP58" s="2">
        <f t="shared" si="87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8"/>
        <v>0</v>
      </c>
      <c r="GW58" s="2">
        <v>1</v>
      </c>
      <c r="GX58" s="2">
        <f t="shared" si="89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116</v>
      </c>
      <c r="E59" t="s">
        <v>84</v>
      </c>
      <c r="F59" t="s">
        <v>85</v>
      </c>
      <c r="G59" t="s">
        <v>86</v>
      </c>
      <c r="H59" t="s">
        <v>87</v>
      </c>
      <c r="I59">
        <f>I57*J59</f>
        <v>162.28000000000003</v>
      </c>
      <c r="J59">
        <v>20</v>
      </c>
      <c r="O59">
        <f t="shared" si="57"/>
        <v>11420.94</v>
      </c>
      <c r="P59">
        <f t="shared" si="58"/>
        <v>11420.94</v>
      </c>
      <c r="Q59">
        <f t="shared" si="59"/>
        <v>0</v>
      </c>
      <c r="R59">
        <f t="shared" si="60"/>
        <v>0</v>
      </c>
      <c r="S59">
        <f t="shared" si="61"/>
        <v>0</v>
      </c>
      <c r="T59">
        <f t="shared" si="62"/>
        <v>0</v>
      </c>
      <c r="U59">
        <f t="shared" si="63"/>
        <v>0</v>
      </c>
      <c r="V59">
        <f t="shared" si="64"/>
        <v>0</v>
      </c>
      <c r="W59">
        <f t="shared" si="65"/>
        <v>0</v>
      </c>
      <c r="X59">
        <f t="shared" si="66"/>
        <v>0</v>
      </c>
      <c r="Y59">
        <f t="shared" si="67"/>
        <v>0</v>
      </c>
      <c r="AA59">
        <v>26914189</v>
      </c>
      <c r="AB59">
        <f t="shared" si="68"/>
        <v>9.14</v>
      </c>
      <c r="AC59">
        <f t="shared" si="56"/>
        <v>9.14</v>
      </c>
      <c r="AD59">
        <f t="shared" si="90"/>
        <v>0</v>
      </c>
      <c r="AE59">
        <f t="shared" si="91"/>
        <v>0</v>
      </c>
      <c r="AF59">
        <f t="shared" si="91"/>
        <v>0</v>
      </c>
      <c r="AG59">
        <f t="shared" si="69"/>
        <v>0</v>
      </c>
      <c r="AH59">
        <f t="shared" si="92"/>
        <v>0</v>
      </c>
      <c r="AI59">
        <f t="shared" si="92"/>
        <v>0</v>
      </c>
      <c r="AJ59">
        <f t="shared" si="70"/>
        <v>0</v>
      </c>
      <c r="AK59">
        <v>9.14</v>
      </c>
      <c r="AL59">
        <v>9.14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7.7</v>
      </c>
      <c r="BA59">
        <v>1</v>
      </c>
      <c r="BB59">
        <v>1</v>
      </c>
      <c r="BC59">
        <v>7.7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88</v>
      </c>
      <c r="BM59">
        <v>11001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123</v>
      </c>
      <c r="CA59">
        <v>75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71"/>
        <v>11420.94</v>
      </c>
      <c r="CQ59">
        <f t="shared" si="72"/>
        <v>70.378</v>
      </c>
      <c r="CR59">
        <f t="shared" si="73"/>
        <v>0</v>
      </c>
      <c r="CS59">
        <f t="shared" si="74"/>
        <v>0</v>
      </c>
      <c r="CT59">
        <f t="shared" si="75"/>
        <v>0</v>
      </c>
      <c r="CU59">
        <f t="shared" si="76"/>
        <v>0</v>
      </c>
      <c r="CV59">
        <f t="shared" si="77"/>
        <v>0</v>
      </c>
      <c r="CW59">
        <f t="shared" si="78"/>
        <v>0</v>
      </c>
      <c r="CX59">
        <f t="shared" si="79"/>
        <v>0</v>
      </c>
      <c r="CY59">
        <f t="shared" si="80"/>
        <v>0</v>
      </c>
      <c r="CZ59">
        <f t="shared" si="81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1002</v>
      </c>
      <c r="DV59" t="s">
        <v>87</v>
      </c>
      <c r="DW59" t="s">
        <v>87</v>
      </c>
      <c r="DX59">
        <v>1</v>
      </c>
      <c r="EE59">
        <v>26549061</v>
      </c>
      <c r="EF59">
        <v>2</v>
      </c>
      <c r="EG59" t="s">
        <v>42</v>
      </c>
      <c r="EH59">
        <v>0</v>
      </c>
      <c r="EI59" t="s">
        <v>6</v>
      </c>
      <c r="EJ59">
        <v>1</v>
      </c>
      <c r="EK59">
        <v>11001</v>
      </c>
      <c r="EL59" t="s">
        <v>19</v>
      </c>
      <c r="EM59" t="s">
        <v>43</v>
      </c>
      <c r="EO59" t="s">
        <v>6</v>
      </c>
      <c r="EQ59">
        <v>0</v>
      </c>
      <c r="ER59">
        <v>9.14</v>
      </c>
      <c r="ES59">
        <v>9.14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2"/>
        <v>0</v>
      </c>
      <c r="FS59">
        <v>0</v>
      </c>
      <c r="FT59" t="s">
        <v>45</v>
      </c>
      <c r="FU59" t="s">
        <v>46</v>
      </c>
      <c r="FX59">
        <v>110.7</v>
      </c>
      <c r="FY59">
        <v>63.75</v>
      </c>
      <c r="GA59" t="s">
        <v>6</v>
      </c>
      <c r="GD59">
        <v>0</v>
      </c>
      <c r="GF59">
        <v>-972933126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3"/>
        <v>0</v>
      </c>
      <c r="GM59">
        <f t="shared" si="84"/>
        <v>11420.94</v>
      </c>
      <c r="GN59">
        <f t="shared" si="85"/>
        <v>11420.94</v>
      </c>
      <c r="GO59">
        <f t="shared" si="86"/>
        <v>0</v>
      </c>
      <c r="GP59">
        <f t="shared" si="87"/>
        <v>0</v>
      </c>
      <c r="GR59">
        <v>0</v>
      </c>
      <c r="GS59">
        <v>3</v>
      </c>
      <c r="GT59">
        <v>0</v>
      </c>
      <c r="GU59" t="s">
        <v>6</v>
      </c>
      <c r="GV59">
        <f t="shared" si="88"/>
        <v>0</v>
      </c>
      <c r="GW59">
        <v>1</v>
      </c>
      <c r="GX59">
        <f t="shared" si="89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101</v>
      </c>
      <c r="D60" s="2"/>
      <c r="E60" s="2" t="s">
        <v>89</v>
      </c>
      <c r="F60" s="2" t="s">
        <v>90</v>
      </c>
      <c r="G60" s="2" t="s">
        <v>91</v>
      </c>
      <c r="H60" s="2" t="s">
        <v>92</v>
      </c>
      <c r="I60" s="2">
        <f>I56*J60</f>
        <v>-827.62800000000004</v>
      </c>
      <c r="J60" s="2">
        <v>-102</v>
      </c>
      <c r="K60" s="2"/>
      <c r="L60" s="2"/>
      <c r="M60" s="2"/>
      <c r="N60" s="2"/>
      <c r="O60" s="2">
        <f t="shared" si="57"/>
        <v>-116240.35</v>
      </c>
      <c r="P60" s="2">
        <f t="shared" si="58"/>
        <v>-116240.35</v>
      </c>
      <c r="Q60" s="2">
        <f t="shared" si="59"/>
        <v>0</v>
      </c>
      <c r="R60" s="2">
        <f t="shared" si="60"/>
        <v>0</v>
      </c>
      <c r="S60" s="2">
        <f t="shared" si="61"/>
        <v>0</v>
      </c>
      <c r="T60" s="2">
        <f t="shared" si="62"/>
        <v>0</v>
      </c>
      <c r="U60" s="2">
        <f t="shared" si="63"/>
        <v>0</v>
      </c>
      <c r="V60" s="2">
        <f t="shared" si="64"/>
        <v>0</v>
      </c>
      <c r="W60" s="2">
        <f t="shared" si="65"/>
        <v>0</v>
      </c>
      <c r="X60" s="2">
        <f t="shared" si="66"/>
        <v>0</v>
      </c>
      <c r="Y60" s="2">
        <f t="shared" si="67"/>
        <v>0</v>
      </c>
      <c r="Z60" s="2"/>
      <c r="AA60" s="2">
        <v>26914188</v>
      </c>
      <c r="AB60" s="2">
        <f t="shared" si="68"/>
        <v>140.44999999999999</v>
      </c>
      <c r="AC60" s="2">
        <f t="shared" si="56"/>
        <v>140.44999999999999</v>
      </c>
      <c r="AD60" s="2">
        <f t="shared" si="90"/>
        <v>0</v>
      </c>
      <c r="AE60" s="2">
        <f t="shared" si="91"/>
        <v>0</v>
      </c>
      <c r="AF60" s="2">
        <f t="shared" si="91"/>
        <v>0</v>
      </c>
      <c r="AG60" s="2">
        <f t="shared" si="69"/>
        <v>0</v>
      </c>
      <c r="AH60" s="2">
        <f t="shared" si="92"/>
        <v>0</v>
      </c>
      <c r="AI60" s="2">
        <f t="shared" si="92"/>
        <v>0</v>
      </c>
      <c r="AJ60" s="2">
        <f t="shared" si="70"/>
        <v>0</v>
      </c>
      <c r="AK60" s="2">
        <v>140.44999999999999</v>
      </c>
      <c r="AL60" s="2">
        <v>140.44999999999999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111</v>
      </c>
      <c r="AU60" s="2">
        <v>64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93</v>
      </c>
      <c r="BK60" s="2"/>
      <c r="BL60" s="2"/>
      <c r="BM60" s="2">
        <v>11001</v>
      </c>
      <c r="BN60" s="2">
        <v>0</v>
      </c>
      <c r="BO60" s="2" t="s">
        <v>6</v>
      </c>
      <c r="BP60" s="2">
        <v>0</v>
      </c>
      <c r="BQ60" s="2">
        <v>2</v>
      </c>
      <c r="BR60" s="2">
        <v>1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123</v>
      </c>
      <c r="CA60" s="2">
        <v>75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71"/>
        <v>-116240.35</v>
      </c>
      <c r="CQ60" s="2">
        <f t="shared" si="72"/>
        <v>140.44999999999999</v>
      </c>
      <c r="CR60" s="2">
        <f t="shared" si="73"/>
        <v>0</v>
      </c>
      <c r="CS60" s="2">
        <f t="shared" si="74"/>
        <v>0</v>
      </c>
      <c r="CT60" s="2">
        <f t="shared" si="75"/>
        <v>0</v>
      </c>
      <c r="CU60" s="2">
        <f t="shared" si="76"/>
        <v>0</v>
      </c>
      <c r="CV60" s="2">
        <f t="shared" si="77"/>
        <v>0</v>
      </c>
      <c r="CW60" s="2">
        <f t="shared" si="78"/>
        <v>0</v>
      </c>
      <c r="CX60" s="2">
        <f t="shared" si="79"/>
        <v>0</v>
      </c>
      <c r="CY60" s="2">
        <f t="shared" si="80"/>
        <v>0</v>
      </c>
      <c r="CZ60" s="2">
        <f t="shared" si="81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92</v>
      </c>
      <c r="DW60" s="2" t="s">
        <v>92</v>
      </c>
      <c r="DX60" s="2">
        <v>1</v>
      </c>
      <c r="DY60" s="2"/>
      <c r="DZ60" s="2"/>
      <c r="EA60" s="2"/>
      <c r="EB60" s="2"/>
      <c r="EC60" s="2"/>
      <c r="ED60" s="2"/>
      <c r="EE60" s="2">
        <v>26549061</v>
      </c>
      <c r="EF60" s="2">
        <v>2</v>
      </c>
      <c r="EG60" s="2" t="s">
        <v>42</v>
      </c>
      <c r="EH60" s="2">
        <v>0</v>
      </c>
      <c r="EI60" s="2" t="s">
        <v>6</v>
      </c>
      <c r="EJ60" s="2">
        <v>1</v>
      </c>
      <c r="EK60" s="2">
        <v>11001</v>
      </c>
      <c r="EL60" s="2" t="s">
        <v>19</v>
      </c>
      <c r="EM60" s="2" t="s">
        <v>43</v>
      </c>
      <c r="EN60" s="2"/>
      <c r="EO60" s="2" t="s">
        <v>6</v>
      </c>
      <c r="EP60" s="2"/>
      <c r="EQ60" s="2">
        <v>0</v>
      </c>
      <c r="ER60" s="2">
        <v>140.44999999999999</v>
      </c>
      <c r="ES60" s="2">
        <v>140.44999999999999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2"/>
        <v>0</v>
      </c>
      <c r="FS60" s="2">
        <v>0</v>
      </c>
      <c r="FT60" s="2" t="s">
        <v>45</v>
      </c>
      <c r="FU60" s="2" t="s">
        <v>46</v>
      </c>
      <c r="FV60" s="2"/>
      <c r="FW60" s="2"/>
      <c r="FX60" s="2">
        <v>110.7</v>
      </c>
      <c r="FY60" s="2">
        <v>63.75</v>
      </c>
      <c r="FZ60" s="2"/>
      <c r="GA60" s="2" t="s">
        <v>6</v>
      </c>
      <c r="GB60" s="2"/>
      <c r="GC60" s="2"/>
      <c r="GD60" s="2">
        <v>0</v>
      </c>
      <c r="GE60" s="2"/>
      <c r="GF60" s="2">
        <v>2046761779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3"/>
        <v>0</v>
      </c>
      <c r="GM60" s="2">
        <f t="shared" si="84"/>
        <v>-116240.35</v>
      </c>
      <c r="GN60" s="2">
        <f t="shared" si="85"/>
        <v>-116240.35</v>
      </c>
      <c r="GO60" s="2">
        <f t="shared" si="86"/>
        <v>0</v>
      </c>
      <c r="GP60" s="2">
        <f t="shared" si="87"/>
        <v>0</v>
      </c>
      <c r="GQ60" s="2"/>
      <c r="GR60" s="2">
        <v>0</v>
      </c>
      <c r="GS60" s="2">
        <v>0</v>
      </c>
      <c r="GT60" s="2">
        <v>0</v>
      </c>
      <c r="GU60" s="2" t="s">
        <v>6</v>
      </c>
      <c r="GV60" s="2">
        <f t="shared" si="88"/>
        <v>0</v>
      </c>
      <c r="GW60" s="2">
        <v>1</v>
      </c>
      <c r="GX60" s="2">
        <f t="shared" si="89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113</v>
      </c>
      <c r="E61" t="s">
        <v>89</v>
      </c>
      <c r="F61" t="s">
        <v>90</v>
      </c>
      <c r="G61" t="s">
        <v>91</v>
      </c>
      <c r="H61" t="s">
        <v>92</v>
      </c>
      <c r="I61">
        <f>I57*J61</f>
        <v>-827.62800000000004</v>
      </c>
      <c r="J61">
        <v>-102</v>
      </c>
      <c r="O61">
        <f t="shared" si="57"/>
        <v>-895050.72</v>
      </c>
      <c r="P61">
        <f t="shared" si="58"/>
        <v>-895050.72</v>
      </c>
      <c r="Q61">
        <f t="shared" si="59"/>
        <v>0</v>
      </c>
      <c r="R61">
        <f t="shared" si="60"/>
        <v>0</v>
      </c>
      <c r="S61">
        <f t="shared" si="61"/>
        <v>0</v>
      </c>
      <c r="T61">
        <f t="shared" si="62"/>
        <v>0</v>
      </c>
      <c r="U61">
        <f t="shared" si="63"/>
        <v>0</v>
      </c>
      <c r="V61">
        <f t="shared" si="64"/>
        <v>0</v>
      </c>
      <c r="W61">
        <f t="shared" si="65"/>
        <v>0</v>
      </c>
      <c r="X61">
        <f t="shared" si="66"/>
        <v>0</v>
      </c>
      <c r="Y61">
        <f t="shared" si="67"/>
        <v>0</v>
      </c>
      <c r="AA61">
        <v>26914189</v>
      </c>
      <c r="AB61">
        <f t="shared" si="68"/>
        <v>140.44999999999999</v>
      </c>
      <c r="AC61">
        <f t="shared" si="56"/>
        <v>140.44999999999999</v>
      </c>
      <c r="AD61">
        <f t="shared" si="90"/>
        <v>0</v>
      </c>
      <c r="AE61">
        <f t="shared" si="91"/>
        <v>0</v>
      </c>
      <c r="AF61">
        <f t="shared" si="91"/>
        <v>0</v>
      </c>
      <c r="AG61">
        <f t="shared" si="69"/>
        <v>0</v>
      </c>
      <c r="AH61">
        <f t="shared" si="92"/>
        <v>0</v>
      </c>
      <c r="AI61">
        <f t="shared" si="92"/>
        <v>0</v>
      </c>
      <c r="AJ61">
        <f t="shared" si="70"/>
        <v>0</v>
      </c>
      <c r="AK61">
        <v>140.44999999999999</v>
      </c>
      <c r="AL61">
        <v>140.44999999999999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7.7</v>
      </c>
      <c r="BA61">
        <v>1</v>
      </c>
      <c r="BB61">
        <v>1</v>
      </c>
      <c r="BC61">
        <v>7.7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93</v>
      </c>
      <c r="BM61">
        <v>11001</v>
      </c>
      <c r="BN61">
        <v>0</v>
      </c>
      <c r="BO61" t="s">
        <v>6</v>
      </c>
      <c r="BP61">
        <v>0</v>
      </c>
      <c r="BQ61">
        <v>2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123</v>
      </c>
      <c r="CA61">
        <v>75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1"/>
        <v>-895050.72</v>
      </c>
      <c r="CQ61">
        <f t="shared" si="72"/>
        <v>1081.4649999999999</v>
      </c>
      <c r="CR61">
        <f t="shared" si="73"/>
        <v>0</v>
      </c>
      <c r="CS61">
        <f t="shared" si="74"/>
        <v>0</v>
      </c>
      <c r="CT61">
        <f t="shared" si="75"/>
        <v>0</v>
      </c>
      <c r="CU61">
        <f t="shared" si="76"/>
        <v>0</v>
      </c>
      <c r="CV61">
        <f t="shared" si="77"/>
        <v>0</v>
      </c>
      <c r="CW61">
        <f t="shared" si="78"/>
        <v>0</v>
      </c>
      <c r="CX61">
        <f t="shared" si="79"/>
        <v>0</v>
      </c>
      <c r="CY61">
        <f t="shared" si="80"/>
        <v>0</v>
      </c>
      <c r="CZ61">
        <f t="shared" si="81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92</v>
      </c>
      <c r="DW61" t="s">
        <v>92</v>
      </c>
      <c r="DX61">
        <v>1</v>
      </c>
      <c r="EE61">
        <v>26549061</v>
      </c>
      <c r="EF61">
        <v>2</v>
      </c>
      <c r="EG61" t="s">
        <v>42</v>
      </c>
      <c r="EH61">
        <v>0</v>
      </c>
      <c r="EI61" t="s">
        <v>6</v>
      </c>
      <c r="EJ61">
        <v>1</v>
      </c>
      <c r="EK61">
        <v>11001</v>
      </c>
      <c r="EL61" t="s">
        <v>19</v>
      </c>
      <c r="EM61" t="s">
        <v>43</v>
      </c>
      <c r="EO61" t="s">
        <v>6</v>
      </c>
      <c r="EQ61">
        <v>0</v>
      </c>
      <c r="ER61">
        <v>140.44999999999999</v>
      </c>
      <c r="ES61">
        <v>140.44999999999999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2"/>
        <v>0</v>
      </c>
      <c r="FS61">
        <v>0</v>
      </c>
      <c r="FT61" t="s">
        <v>45</v>
      </c>
      <c r="FU61" t="s">
        <v>46</v>
      </c>
      <c r="FX61">
        <v>110.7</v>
      </c>
      <c r="FY61">
        <v>63.75</v>
      </c>
      <c r="GA61" t="s">
        <v>6</v>
      </c>
      <c r="GD61">
        <v>0</v>
      </c>
      <c r="GF61">
        <v>2046761779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3"/>
        <v>0</v>
      </c>
      <c r="GM61">
        <f t="shared" si="84"/>
        <v>-895050.72</v>
      </c>
      <c r="GN61">
        <f t="shared" si="85"/>
        <v>-895050.72</v>
      </c>
      <c r="GO61">
        <f t="shared" si="86"/>
        <v>0</v>
      </c>
      <c r="GP61">
        <f t="shared" si="87"/>
        <v>0</v>
      </c>
      <c r="GR61">
        <v>0</v>
      </c>
      <c r="GS61">
        <v>0</v>
      </c>
      <c r="GT61">
        <v>0</v>
      </c>
      <c r="GU61" t="s">
        <v>6</v>
      </c>
      <c r="GV61">
        <f t="shared" si="88"/>
        <v>0</v>
      </c>
      <c r="GW61">
        <v>1</v>
      </c>
      <c r="GX61">
        <f t="shared" si="89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102</v>
      </c>
      <c r="D62" s="2"/>
      <c r="E62" s="2" t="s">
        <v>94</v>
      </c>
      <c r="F62" s="2" t="s">
        <v>95</v>
      </c>
      <c r="G62" s="2" t="s">
        <v>542</v>
      </c>
      <c r="H62" s="2" t="s">
        <v>92</v>
      </c>
      <c r="I62" s="2">
        <f>I56*J62</f>
        <v>827.62800000000004</v>
      </c>
      <c r="J62" s="2">
        <v>102</v>
      </c>
      <c r="K62" s="2"/>
      <c r="L62" s="2"/>
      <c r="M62" s="2"/>
      <c r="N62" s="2"/>
      <c r="O62" s="2">
        <f t="shared" si="57"/>
        <v>46612.01</v>
      </c>
      <c r="P62" s="2">
        <f t="shared" si="58"/>
        <v>46612.01</v>
      </c>
      <c r="Q62" s="2">
        <f t="shared" si="59"/>
        <v>0</v>
      </c>
      <c r="R62" s="2">
        <f t="shared" si="60"/>
        <v>0</v>
      </c>
      <c r="S62" s="2">
        <f t="shared" si="61"/>
        <v>0</v>
      </c>
      <c r="T62" s="2">
        <f t="shared" si="62"/>
        <v>0</v>
      </c>
      <c r="U62" s="2">
        <f t="shared" si="63"/>
        <v>0</v>
      </c>
      <c r="V62" s="2">
        <f t="shared" si="64"/>
        <v>0</v>
      </c>
      <c r="W62" s="2">
        <f t="shared" si="65"/>
        <v>0</v>
      </c>
      <c r="X62" s="2">
        <f t="shared" si="66"/>
        <v>0</v>
      </c>
      <c r="Y62" s="2">
        <f t="shared" si="67"/>
        <v>0</v>
      </c>
      <c r="Z62" s="2"/>
      <c r="AA62" s="2">
        <v>26914188</v>
      </c>
      <c r="AB62" s="2">
        <f t="shared" si="68"/>
        <v>56.32</v>
      </c>
      <c r="AC62" s="2">
        <f t="shared" si="56"/>
        <v>56.32</v>
      </c>
      <c r="AD62" s="2">
        <f t="shared" si="90"/>
        <v>0</v>
      </c>
      <c r="AE62" s="2">
        <f t="shared" si="91"/>
        <v>0</v>
      </c>
      <c r="AF62" s="2">
        <f t="shared" si="91"/>
        <v>0</v>
      </c>
      <c r="AG62" s="2">
        <f t="shared" si="69"/>
        <v>0</v>
      </c>
      <c r="AH62" s="2">
        <f t="shared" si="92"/>
        <v>0</v>
      </c>
      <c r="AI62" s="2">
        <f t="shared" si="92"/>
        <v>0</v>
      </c>
      <c r="AJ62" s="2">
        <f t="shared" si="70"/>
        <v>0</v>
      </c>
      <c r="AK62" s="2">
        <v>56.32</v>
      </c>
      <c r="AL62" s="2">
        <v>56.32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111</v>
      </c>
      <c r="AU62" s="2">
        <v>64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97</v>
      </c>
      <c r="BK62" s="2"/>
      <c r="BL62" s="2"/>
      <c r="BM62" s="2">
        <v>11001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123</v>
      </c>
      <c r="CA62" s="2">
        <v>75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71"/>
        <v>46612.01</v>
      </c>
      <c r="CQ62" s="2">
        <f t="shared" si="72"/>
        <v>56.32</v>
      </c>
      <c r="CR62" s="2">
        <f t="shared" si="73"/>
        <v>0</v>
      </c>
      <c r="CS62" s="2">
        <f t="shared" si="74"/>
        <v>0</v>
      </c>
      <c r="CT62" s="2">
        <f t="shared" si="75"/>
        <v>0</v>
      </c>
      <c r="CU62" s="2">
        <f t="shared" si="76"/>
        <v>0</v>
      </c>
      <c r="CV62" s="2">
        <f t="shared" si="77"/>
        <v>0</v>
      </c>
      <c r="CW62" s="2">
        <f t="shared" si="78"/>
        <v>0</v>
      </c>
      <c r="CX62" s="2">
        <f t="shared" si="79"/>
        <v>0</v>
      </c>
      <c r="CY62" s="2">
        <f t="shared" si="80"/>
        <v>0</v>
      </c>
      <c r="CZ62" s="2">
        <f t="shared" si="81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92</v>
      </c>
      <c r="DW62" s="2" t="s">
        <v>92</v>
      </c>
      <c r="DX62" s="2">
        <v>1</v>
      </c>
      <c r="DY62" s="2"/>
      <c r="DZ62" s="2"/>
      <c r="EA62" s="2"/>
      <c r="EB62" s="2"/>
      <c r="EC62" s="2"/>
      <c r="ED62" s="2"/>
      <c r="EE62" s="2">
        <v>26549061</v>
      </c>
      <c r="EF62" s="2">
        <v>2</v>
      </c>
      <c r="EG62" s="2" t="s">
        <v>42</v>
      </c>
      <c r="EH62" s="2">
        <v>0</v>
      </c>
      <c r="EI62" s="2" t="s">
        <v>6</v>
      </c>
      <c r="EJ62" s="2">
        <v>1</v>
      </c>
      <c r="EK62" s="2">
        <v>11001</v>
      </c>
      <c r="EL62" s="2" t="s">
        <v>19</v>
      </c>
      <c r="EM62" s="2" t="s">
        <v>43</v>
      </c>
      <c r="EN62" s="2"/>
      <c r="EO62" s="2" t="s">
        <v>6</v>
      </c>
      <c r="EP62" s="2"/>
      <c r="EQ62" s="2">
        <v>0</v>
      </c>
      <c r="ER62" s="2">
        <v>56.32</v>
      </c>
      <c r="ES62" s="2">
        <v>56.32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2"/>
        <v>0</v>
      </c>
      <c r="FS62" s="2">
        <v>0</v>
      </c>
      <c r="FT62" s="2" t="s">
        <v>45</v>
      </c>
      <c r="FU62" s="2" t="s">
        <v>46</v>
      </c>
      <c r="FV62" s="2"/>
      <c r="FW62" s="2"/>
      <c r="FX62" s="2">
        <v>110.7</v>
      </c>
      <c r="FY62" s="2">
        <v>63.75</v>
      </c>
      <c r="FZ62" s="2"/>
      <c r="GA62" s="2" t="s">
        <v>6</v>
      </c>
      <c r="GB62" s="2"/>
      <c r="GC62" s="2"/>
      <c r="GD62" s="2">
        <v>0</v>
      </c>
      <c r="GE62" s="2"/>
      <c r="GF62" s="2">
        <v>579238719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3"/>
        <v>0</v>
      </c>
      <c r="GM62" s="2">
        <f t="shared" si="84"/>
        <v>46612.01</v>
      </c>
      <c r="GN62" s="2">
        <f t="shared" si="85"/>
        <v>46612.01</v>
      </c>
      <c r="GO62" s="2">
        <f t="shared" si="86"/>
        <v>0</v>
      </c>
      <c r="GP62" s="2">
        <f t="shared" si="87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8"/>
        <v>0</v>
      </c>
      <c r="GW62" s="2">
        <v>1</v>
      </c>
      <c r="GX62" s="2">
        <f t="shared" si="89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114</v>
      </c>
      <c r="E63" t="s">
        <v>94</v>
      </c>
      <c r="F63" t="s">
        <v>95</v>
      </c>
      <c r="G63" t="s">
        <v>542</v>
      </c>
      <c r="H63" t="s">
        <v>92</v>
      </c>
      <c r="I63">
        <f>I57*J63</f>
        <v>827.62800000000004</v>
      </c>
      <c r="J63">
        <v>102</v>
      </c>
      <c r="O63">
        <f t="shared" si="57"/>
        <v>358912.47</v>
      </c>
      <c r="P63">
        <f t="shared" si="58"/>
        <v>358912.47</v>
      </c>
      <c r="Q63">
        <f t="shared" si="59"/>
        <v>0</v>
      </c>
      <c r="R63">
        <f t="shared" si="60"/>
        <v>0</v>
      </c>
      <c r="S63">
        <f t="shared" si="61"/>
        <v>0</v>
      </c>
      <c r="T63">
        <f t="shared" si="62"/>
        <v>0</v>
      </c>
      <c r="U63">
        <f t="shared" si="63"/>
        <v>0</v>
      </c>
      <c r="V63">
        <f t="shared" si="64"/>
        <v>0</v>
      </c>
      <c r="W63">
        <f t="shared" si="65"/>
        <v>0</v>
      </c>
      <c r="X63">
        <f t="shared" si="66"/>
        <v>0</v>
      </c>
      <c r="Y63">
        <f t="shared" si="67"/>
        <v>0</v>
      </c>
      <c r="AA63">
        <v>26914189</v>
      </c>
      <c r="AB63">
        <f t="shared" si="68"/>
        <v>56.32</v>
      </c>
      <c r="AC63">
        <f t="shared" si="56"/>
        <v>56.32</v>
      </c>
      <c r="AD63">
        <f t="shared" si="90"/>
        <v>0</v>
      </c>
      <c r="AE63">
        <f t="shared" si="91"/>
        <v>0</v>
      </c>
      <c r="AF63">
        <f t="shared" si="91"/>
        <v>0</v>
      </c>
      <c r="AG63">
        <f t="shared" si="69"/>
        <v>0</v>
      </c>
      <c r="AH63">
        <f t="shared" si="92"/>
        <v>0</v>
      </c>
      <c r="AI63">
        <f t="shared" si="92"/>
        <v>0</v>
      </c>
      <c r="AJ63">
        <f t="shared" si="70"/>
        <v>0</v>
      </c>
      <c r="AK63">
        <v>56.32</v>
      </c>
      <c r="AL63">
        <v>56.32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7.7</v>
      </c>
      <c r="BA63">
        <v>1</v>
      </c>
      <c r="BB63">
        <v>1</v>
      </c>
      <c r="BC63">
        <v>7.7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97</v>
      </c>
      <c r="BM63">
        <v>11001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71"/>
        <v>358912.47</v>
      </c>
      <c r="CQ63">
        <f t="shared" si="72"/>
        <v>433.66399999999999</v>
      </c>
      <c r="CR63">
        <f t="shared" si="73"/>
        <v>0</v>
      </c>
      <c r="CS63">
        <f t="shared" si="74"/>
        <v>0</v>
      </c>
      <c r="CT63">
        <f t="shared" si="75"/>
        <v>0</v>
      </c>
      <c r="CU63">
        <f t="shared" si="76"/>
        <v>0</v>
      </c>
      <c r="CV63">
        <f t="shared" si="77"/>
        <v>0</v>
      </c>
      <c r="CW63">
        <f t="shared" si="78"/>
        <v>0</v>
      </c>
      <c r="CX63">
        <f t="shared" si="79"/>
        <v>0</v>
      </c>
      <c r="CY63">
        <f t="shared" si="80"/>
        <v>0</v>
      </c>
      <c r="CZ63">
        <f t="shared" si="81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92</v>
      </c>
      <c r="DW63" t="s">
        <v>92</v>
      </c>
      <c r="DX63">
        <v>1</v>
      </c>
      <c r="EE63">
        <v>26549061</v>
      </c>
      <c r="EF63">
        <v>2</v>
      </c>
      <c r="EG63" t="s">
        <v>42</v>
      </c>
      <c r="EH63">
        <v>0</v>
      </c>
      <c r="EI63" t="s">
        <v>6</v>
      </c>
      <c r="EJ63">
        <v>1</v>
      </c>
      <c r="EK63">
        <v>11001</v>
      </c>
      <c r="EL63" t="s">
        <v>19</v>
      </c>
      <c r="EM63" t="s">
        <v>43</v>
      </c>
      <c r="EO63" t="s">
        <v>6</v>
      </c>
      <c r="EQ63">
        <v>0</v>
      </c>
      <c r="ER63">
        <v>56.32</v>
      </c>
      <c r="ES63">
        <v>56.32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2"/>
        <v>0</v>
      </c>
      <c r="FS63">
        <v>0</v>
      </c>
      <c r="FT63" t="s">
        <v>45</v>
      </c>
      <c r="FU63" t="s">
        <v>46</v>
      </c>
      <c r="FX63">
        <v>110.7</v>
      </c>
      <c r="FY63">
        <v>63.75</v>
      </c>
      <c r="GA63" t="s">
        <v>6</v>
      </c>
      <c r="GD63">
        <v>0</v>
      </c>
      <c r="GF63">
        <v>579238719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3"/>
        <v>0</v>
      </c>
      <c r="GM63">
        <f t="shared" si="84"/>
        <v>358912.47</v>
      </c>
      <c r="GN63">
        <f t="shared" si="85"/>
        <v>358912.47</v>
      </c>
      <c r="GO63">
        <f t="shared" si="86"/>
        <v>0</v>
      </c>
      <c r="GP63">
        <f t="shared" si="87"/>
        <v>0</v>
      </c>
      <c r="GR63">
        <v>0</v>
      </c>
      <c r="GS63">
        <v>3</v>
      </c>
      <c r="GT63">
        <v>0</v>
      </c>
      <c r="GU63" t="s">
        <v>6</v>
      </c>
      <c r="GV63">
        <f t="shared" si="88"/>
        <v>0</v>
      </c>
      <c r="GW63">
        <v>1</v>
      </c>
      <c r="GX63">
        <f t="shared" si="89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ROW(SmtRes!A122)</f>
        <v>122</v>
      </c>
      <c r="D64" s="2">
        <f>ROW(EtalonRes!A120)</f>
        <v>120</v>
      </c>
      <c r="E64" s="2" t="s">
        <v>98</v>
      </c>
      <c r="F64" s="2" t="s">
        <v>99</v>
      </c>
      <c r="G64" s="2" t="s">
        <v>100</v>
      </c>
      <c r="H64" s="2" t="s">
        <v>28</v>
      </c>
      <c r="I64" s="2">
        <f>ROUND(585.6/100,9)</f>
        <v>5.8559999999999999</v>
      </c>
      <c r="J64" s="2">
        <v>0</v>
      </c>
      <c r="K64" s="2"/>
      <c r="L64" s="2"/>
      <c r="M64" s="2"/>
      <c r="N64" s="2"/>
      <c r="O64" s="2">
        <f t="shared" si="57"/>
        <v>1565.8</v>
      </c>
      <c r="P64" s="2">
        <f t="shared" si="58"/>
        <v>0</v>
      </c>
      <c r="Q64" s="2">
        <f t="shared" si="59"/>
        <v>40.26</v>
      </c>
      <c r="R64" s="2">
        <f t="shared" si="60"/>
        <v>10.1</v>
      </c>
      <c r="S64" s="2">
        <f t="shared" si="61"/>
        <v>1525.54</v>
      </c>
      <c r="T64" s="2">
        <f t="shared" si="62"/>
        <v>0</v>
      </c>
      <c r="U64" s="2">
        <f t="shared" si="63"/>
        <v>160.41340799999998</v>
      </c>
      <c r="V64" s="2">
        <f t="shared" si="64"/>
        <v>0.80520000000000003</v>
      </c>
      <c r="W64" s="2">
        <f t="shared" si="65"/>
        <v>0</v>
      </c>
      <c r="X64" s="2">
        <f t="shared" si="66"/>
        <v>1704.56</v>
      </c>
      <c r="Y64" s="2">
        <f t="shared" si="67"/>
        <v>982.81</v>
      </c>
      <c r="Z64" s="2"/>
      <c r="AA64" s="2">
        <v>26914188</v>
      </c>
      <c r="AB64" s="2">
        <f t="shared" si="68"/>
        <v>267.3845</v>
      </c>
      <c r="AC64" s="2">
        <f t="shared" si="56"/>
        <v>0</v>
      </c>
      <c r="AD64" s="2">
        <f>ROUND(((((ET64*1.25))-((EU64*1.25)))+AE64),6)</f>
        <v>6.875</v>
      </c>
      <c r="AE64" s="2">
        <f>ROUND(((EU64*1.25)),6)</f>
        <v>1.7250000000000001</v>
      </c>
      <c r="AF64" s="2">
        <f>ROUND(((EV64*1.15)),6)</f>
        <v>260.5095</v>
      </c>
      <c r="AG64" s="2">
        <f t="shared" si="69"/>
        <v>0</v>
      </c>
      <c r="AH64" s="2">
        <f>((EW64*1.15))</f>
        <v>27.392999999999997</v>
      </c>
      <c r="AI64" s="2">
        <f>((EX64*1.25))</f>
        <v>0.13750000000000001</v>
      </c>
      <c r="AJ64" s="2">
        <f t="shared" si="70"/>
        <v>0</v>
      </c>
      <c r="AK64" s="2">
        <v>232.03</v>
      </c>
      <c r="AL64" s="2">
        <v>0</v>
      </c>
      <c r="AM64" s="2">
        <v>5.5</v>
      </c>
      <c r="AN64" s="2">
        <v>1.38</v>
      </c>
      <c r="AO64" s="2">
        <v>226.53</v>
      </c>
      <c r="AP64" s="2">
        <v>0</v>
      </c>
      <c r="AQ64" s="2">
        <v>23.82</v>
      </c>
      <c r="AR64" s="2">
        <v>0.11</v>
      </c>
      <c r="AS64" s="2">
        <v>0</v>
      </c>
      <c r="AT64" s="2">
        <v>111</v>
      </c>
      <c r="AU64" s="2">
        <v>64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101</v>
      </c>
      <c r="BK64" s="2"/>
      <c r="BL64" s="2"/>
      <c r="BM64" s="2">
        <v>11001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123</v>
      </c>
      <c r="CA64" s="2">
        <v>75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510</v>
      </c>
      <c r="CO64" s="2">
        <v>0</v>
      </c>
      <c r="CP64" s="2">
        <f t="shared" si="71"/>
        <v>1565.8</v>
      </c>
      <c r="CQ64" s="2">
        <f t="shared" si="72"/>
        <v>0</v>
      </c>
      <c r="CR64" s="2">
        <f t="shared" si="73"/>
        <v>6.875</v>
      </c>
      <c r="CS64" s="2">
        <f t="shared" si="74"/>
        <v>1.7250000000000001</v>
      </c>
      <c r="CT64" s="2">
        <f t="shared" si="75"/>
        <v>260.5095</v>
      </c>
      <c r="CU64" s="2">
        <f t="shared" si="76"/>
        <v>0</v>
      </c>
      <c r="CV64" s="2">
        <f t="shared" si="77"/>
        <v>27.392999999999997</v>
      </c>
      <c r="CW64" s="2">
        <f t="shared" si="78"/>
        <v>0.13750000000000001</v>
      </c>
      <c r="CX64" s="2">
        <f t="shared" si="79"/>
        <v>0</v>
      </c>
      <c r="CY64" s="2">
        <f t="shared" si="80"/>
        <v>1704.5603999999998</v>
      </c>
      <c r="CZ64" s="2">
        <f t="shared" si="81"/>
        <v>982.80959999999993</v>
      </c>
      <c r="DA64" s="2"/>
      <c r="DB64" s="2"/>
      <c r="DC64" s="2" t="s">
        <v>6</v>
      </c>
      <c r="DD64" s="2" t="s">
        <v>6</v>
      </c>
      <c r="DE64" s="2" t="s">
        <v>40</v>
      </c>
      <c r="DF64" s="2" t="s">
        <v>40</v>
      </c>
      <c r="DG64" s="2" t="s">
        <v>41</v>
      </c>
      <c r="DH64" s="2" t="s">
        <v>6</v>
      </c>
      <c r="DI64" s="2" t="s">
        <v>41</v>
      </c>
      <c r="DJ64" s="2" t="s">
        <v>40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1003</v>
      </c>
      <c r="DV64" s="2" t="s">
        <v>28</v>
      </c>
      <c r="DW64" s="2" t="s">
        <v>28</v>
      </c>
      <c r="DX64" s="2">
        <v>100</v>
      </c>
      <c r="DY64" s="2"/>
      <c r="DZ64" s="2"/>
      <c r="EA64" s="2"/>
      <c r="EB64" s="2"/>
      <c r="EC64" s="2"/>
      <c r="ED64" s="2"/>
      <c r="EE64" s="2">
        <v>26549061</v>
      </c>
      <c r="EF64" s="2">
        <v>2</v>
      </c>
      <c r="EG64" s="2" t="s">
        <v>42</v>
      </c>
      <c r="EH64" s="2">
        <v>0</v>
      </c>
      <c r="EI64" s="2" t="s">
        <v>6</v>
      </c>
      <c r="EJ64" s="2">
        <v>1</v>
      </c>
      <c r="EK64" s="2">
        <v>11001</v>
      </c>
      <c r="EL64" s="2" t="s">
        <v>19</v>
      </c>
      <c r="EM64" s="2" t="s">
        <v>43</v>
      </c>
      <c r="EN64" s="2"/>
      <c r="EO64" s="2" t="s">
        <v>44</v>
      </c>
      <c r="EP64" s="2"/>
      <c r="EQ64" s="2">
        <v>0</v>
      </c>
      <c r="ER64" s="2">
        <v>232.03</v>
      </c>
      <c r="ES64" s="2">
        <v>0</v>
      </c>
      <c r="ET64" s="2">
        <v>5.5</v>
      </c>
      <c r="EU64" s="2">
        <v>1.38</v>
      </c>
      <c r="EV64" s="2">
        <v>226.53</v>
      </c>
      <c r="EW64" s="2">
        <v>23.82</v>
      </c>
      <c r="EX64" s="2">
        <v>0.11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2"/>
        <v>0</v>
      </c>
      <c r="FS64" s="2">
        <v>0</v>
      </c>
      <c r="FT64" s="2" t="s">
        <v>45</v>
      </c>
      <c r="FU64" s="2" t="s">
        <v>46</v>
      </c>
      <c r="FV64" s="2"/>
      <c r="FW64" s="2"/>
      <c r="FX64" s="2">
        <v>110.7</v>
      </c>
      <c r="FY64" s="2">
        <v>63.75</v>
      </c>
      <c r="FZ64" s="2"/>
      <c r="GA64" s="2" t="s">
        <v>6</v>
      </c>
      <c r="GB64" s="2"/>
      <c r="GC64" s="2"/>
      <c r="GD64" s="2">
        <v>0</v>
      </c>
      <c r="GE64" s="2"/>
      <c r="GF64" s="2">
        <v>-736606269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3"/>
        <v>0</v>
      </c>
      <c r="GM64" s="2">
        <f t="shared" si="84"/>
        <v>4253.17</v>
      </c>
      <c r="GN64" s="2">
        <f t="shared" si="85"/>
        <v>4253.17</v>
      </c>
      <c r="GO64" s="2">
        <f t="shared" si="86"/>
        <v>0</v>
      </c>
      <c r="GP64" s="2">
        <f t="shared" si="87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8"/>
        <v>0</v>
      </c>
      <c r="GW64" s="2">
        <v>1</v>
      </c>
      <c r="GX64" s="2">
        <f t="shared" si="89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ROW(SmtRes!A128)</f>
        <v>128</v>
      </c>
      <c r="D65">
        <f>ROW(EtalonRes!A126)</f>
        <v>126</v>
      </c>
      <c r="E65" t="s">
        <v>98</v>
      </c>
      <c r="F65" t="s">
        <v>99</v>
      </c>
      <c r="G65" t="s">
        <v>100</v>
      </c>
      <c r="H65" t="s">
        <v>28</v>
      </c>
      <c r="I65">
        <f>ROUND(585.6/100,9)</f>
        <v>5.8559999999999999</v>
      </c>
      <c r="J65">
        <v>0</v>
      </c>
      <c r="O65">
        <f t="shared" si="57"/>
        <v>12056.69</v>
      </c>
      <c r="P65">
        <f t="shared" si="58"/>
        <v>0</v>
      </c>
      <c r="Q65">
        <f t="shared" si="59"/>
        <v>310</v>
      </c>
      <c r="R65">
        <f t="shared" si="60"/>
        <v>77.78</v>
      </c>
      <c r="S65">
        <f t="shared" si="61"/>
        <v>11746.69</v>
      </c>
      <c r="T65">
        <f t="shared" si="62"/>
        <v>0</v>
      </c>
      <c r="U65">
        <f t="shared" si="63"/>
        <v>160.41340799999998</v>
      </c>
      <c r="V65">
        <f t="shared" si="64"/>
        <v>0.80520000000000003</v>
      </c>
      <c r="W65">
        <f t="shared" si="65"/>
        <v>0</v>
      </c>
      <c r="X65">
        <f t="shared" si="66"/>
        <v>13125.16</v>
      </c>
      <c r="Y65">
        <f t="shared" si="67"/>
        <v>7567.66</v>
      </c>
      <c r="AA65">
        <v>26914189</v>
      </c>
      <c r="AB65">
        <f t="shared" si="68"/>
        <v>267.3845</v>
      </c>
      <c r="AC65">
        <f t="shared" si="56"/>
        <v>0</v>
      </c>
      <c r="AD65">
        <f>ROUND(((((ET65*1.25))-((EU65*1.25)))+AE65),6)</f>
        <v>6.875</v>
      </c>
      <c r="AE65">
        <f>ROUND(((EU65*1.25)),6)</f>
        <v>1.7250000000000001</v>
      </c>
      <c r="AF65">
        <f>ROUND(((EV65*1.15)),6)</f>
        <v>260.5095</v>
      </c>
      <c r="AG65">
        <f t="shared" si="69"/>
        <v>0</v>
      </c>
      <c r="AH65">
        <f>((EW65*1.15))</f>
        <v>27.392999999999997</v>
      </c>
      <c r="AI65">
        <f>((EX65*1.25))</f>
        <v>0.13750000000000001</v>
      </c>
      <c r="AJ65">
        <f t="shared" si="70"/>
        <v>0</v>
      </c>
      <c r="AK65">
        <v>232.03</v>
      </c>
      <c r="AL65">
        <v>0</v>
      </c>
      <c r="AM65">
        <v>5.5</v>
      </c>
      <c r="AN65">
        <v>1.38</v>
      </c>
      <c r="AO65">
        <v>226.53</v>
      </c>
      <c r="AP65">
        <v>0</v>
      </c>
      <c r="AQ65">
        <v>23.82</v>
      </c>
      <c r="AR65">
        <v>0.11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7.7</v>
      </c>
      <c r="BA65">
        <v>7.7</v>
      </c>
      <c r="BB65">
        <v>7.7</v>
      </c>
      <c r="BC65">
        <v>7.7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101</v>
      </c>
      <c r="BM65">
        <v>11001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7.7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510</v>
      </c>
      <c r="CO65">
        <v>0</v>
      </c>
      <c r="CP65">
        <f t="shared" si="71"/>
        <v>12056.69</v>
      </c>
      <c r="CQ65">
        <f t="shared" si="72"/>
        <v>0</v>
      </c>
      <c r="CR65">
        <f t="shared" si="73"/>
        <v>52.9375</v>
      </c>
      <c r="CS65">
        <f t="shared" si="74"/>
        <v>13.282500000000001</v>
      </c>
      <c r="CT65">
        <f t="shared" si="75"/>
        <v>2005.9231500000001</v>
      </c>
      <c r="CU65">
        <f t="shared" si="76"/>
        <v>0</v>
      </c>
      <c r="CV65">
        <f t="shared" si="77"/>
        <v>27.392999999999997</v>
      </c>
      <c r="CW65">
        <f t="shared" si="78"/>
        <v>0.13750000000000001</v>
      </c>
      <c r="CX65">
        <f t="shared" si="79"/>
        <v>0</v>
      </c>
      <c r="CY65">
        <f t="shared" si="80"/>
        <v>13125.161700000002</v>
      </c>
      <c r="CZ65">
        <f t="shared" si="81"/>
        <v>7567.6608000000006</v>
      </c>
      <c r="DC65" t="s">
        <v>6</v>
      </c>
      <c r="DD65" t="s">
        <v>6</v>
      </c>
      <c r="DE65" t="s">
        <v>40</v>
      </c>
      <c r="DF65" t="s">
        <v>40</v>
      </c>
      <c r="DG65" t="s">
        <v>41</v>
      </c>
      <c r="DH65" t="s">
        <v>6</v>
      </c>
      <c r="DI65" t="s">
        <v>41</v>
      </c>
      <c r="DJ65" t="s">
        <v>40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28</v>
      </c>
      <c r="DW65" t="s">
        <v>28</v>
      </c>
      <c r="DX65">
        <v>100</v>
      </c>
      <c r="EE65">
        <v>26549061</v>
      </c>
      <c r="EF65">
        <v>2</v>
      </c>
      <c r="EG65" t="s">
        <v>42</v>
      </c>
      <c r="EH65">
        <v>0</v>
      </c>
      <c r="EI65" t="s">
        <v>6</v>
      </c>
      <c r="EJ65">
        <v>1</v>
      </c>
      <c r="EK65">
        <v>11001</v>
      </c>
      <c r="EL65" t="s">
        <v>19</v>
      </c>
      <c r="EM65" t="s">
        <v>43</v>
      </c>
      <c r="EO65" t="s">
        <v>44</v>
      </c>
      <c r="EQ65">
        <v>0</v>
      </c>
      <c r="ER65">
        <v>232.03</v>
      </c>
      <c r="ES65">
        <v>0</v>
      </c>
      <c r="ET65">
        <v>5.5</v>
      </c>
      <c r="EU65">
        <v>1.38</v>
      </c>
      <c r="EV65">
        <v>226.53</v>
      </c>
      <c r="EW65">
        <v>23.82</v>
      </c>
      <c r="EX65">
        <v>0.11</v>
      </c>
      <c r="EY65">
        <v>0</v>
      </c>
      <c r="FQ65">
        <v>0</v>
      </c>
      <c r="FR65">
        <f t="shared" si="82"/>
        <v>0</v>
      </c>
      <c r="FS65">
        <v>0</v>
      </c>
      <c r="FT65" t="s">
        <v>45</v>
      </c>
      <c r="FU65" t="s">
        <v>46</v>
      </c>
      <c r="FX65">
        <v>110.7</v>
      </c>
      <c r="FY65">
        <v>63.75</v>
      </c>
      <c r="GA65" t="s">
        <v>6</v>
      </c>
      <c r="GD65">
        <v>0</v>
      </c>
      <c r="GF65">
        <v>-736606269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3"/>
        <v>0</v>
      </c>
      <c r="GM65">
        <f t="shared" si="84"/>
        <v>32749.51</v>
      </c>
      <c r="GN65">
        <f t="shared" si="85"/>
        <v>32749.51</v>
      </c>
      <c r="GO65">
        <f t="shared" si="86"/>
        <v>0</v>
      </c>
      <c r="GP65">
        <f t="shared" si="87"/>
        <v>0</v>
      </c>
      <c r="GR65">
        <v>0</v>
      </c>
      <c r="GS65">
        <v>3</v>
      </c>
      <c r="GT65">
        <v>0</v>
      </c>
      <c r="GU65" t="s">
        <v>6</v>
      </c>
      <c r="GV65">
        <f t="shared" si="88"/>
        <v>0</v>
      </c>
      <c r="GW65">
        <v>1</v>
      </c>
      <c r="GX65">
        <f t="shared" si="89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121</v>
      </c>
      <c r="D66" s="2"/>
      <c r="E66" s="2" t="s">
        <v>102</v>
      </c>
      <c r="F66" s="2" t="s">
        <v>95</v>
      </c>
      <c r="G66" s="2" t="s">
        <v>542</v>
      </c>
      <c r="H66" s="2" t="s">
        <v>92</v>
      </c>
      <c r="I66" s="2">
        <f>I64*J66</f>
        <v>59.145599999999995</v>
      </c>
      <c r="J66" s="2">
        <v>10.1</v>
      </c>
      <c r="K66" s="2"/>
      <c r="L66" s="2"/>
      <c r="M66" s="2"/>
      <c r="N66" s="2"/>
      <c r="O66" s="2">
        <f t="shared" si="57"/>
        <v>3331.08</v>
      </c>
      <c r="P66" s="2">
        <f t="shared" si="58"/>
        <v>3331.08</v>
      </c>
      <c r="Q66" s="2">
        <f t="shared" si="59"/>
        <v>0</v>
      </c>
      <c r="R66" s="2">
        <f t="shared" si="60"/>
        <v>0</v>
      </c>
      <c r="S66" s="2">
        <f t="shared" si="61"/>
        <v>0</v>
      </c>
      <c r="T66" s="2">
        <f t="shared" si="62"/>
        <v>0</v>
      </c>
      <c r="U66" s="2">
        <f t="shared" si="63"/>
        <v>0</v>
      </c>
      <c r="V66" s="2">
        <f t="shared" si="64"/>
        <v>0</v>
      </c>
      <c r="W66" s="2">
        <f t="shared" si="65"/>
        <v>0</v>
      </c>
      <c r="X66" s="2">
        <f t="shared" si="66"/>
        <v>0</v>
      </c>
      <c r="Y66" s="2">
        <f t="shared" si="67"/>
        <v>0</v>
      </c>
      <c r="Z66" s="2"/>
      <c r="AA66" s="2">
        <v>26914188</v>
      </c>
      <c r="AB66" s="2">
        <f t="shared" si="68"/>
        <v>56.32</v>
      </c>
      <c r="AC66" s="2">
        <f t="shared" si="56"/>
        <v>56.32</v>
      </c>
      <c r="AD66" s="2">
        <f>ROUND((((ET66)-(EU66))+AE66),6)</f>
        <v>0</v>
      </c>
      <c r="AE66" s="2">
        <f t="shared" ref="AE66:AF69" si="93">ROUND((EU66),6)</f>
        <v>0</v>
      </c>
      <c r="AF66" s="2">
        <f t="shared" si="93"/>
        <v>0</v>
      </c>
      <c r="AG66" s="2">
        <f t="shared" si="69"/>
        <v>0</v>
      </c>
      <c r="AH66" s="2">
        <f t="shared" ref="AH66:AI69" si="94">(EW66)</f>
        <v>0</v>
      </c>
      <c r="AI66" s="2">
        <f t="shared" si="94"/>
        <v>0</v>
      </c>
      <c r="AJ66" s="2">
        <f t="shared" si="70"/>
        <v>0</v>
      </c>
      <c r="AK66" s="2">
        <v>56.32</v>
      </c>
      <c r="AL66" s="2">
        <v>56.32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111</v>
      </c>
      <c r="AU66" s="2">
        <v>64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97</v>
      </c>
      <c r="BK66" s="2"/>
      <c r="BL66" s="2"/>
      <c r="BM66" s="2">
        <v>11001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123</v>
      </c>
      <c r="CA66" s="2">
        <v>75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1"/>
        <v>3331.08</v>
      </c>
      <c r="CQ66" s="2">
        <f t="shared" si="72"/>
        <v>56.32</v>
      </c>
      <c r="CR66" s="2">
        <f t="shared" si="73"/>
        <v>0</v>
      </c>
      <c r="CS66" s="2">
        <f t="shared" si="74"/>
        <v>0</v>
      </c>
      <c r="CT66" s="2">
        <f t="shared" si="75"/>
        <v>0</v>
      </c>
      <c r="CU66" s="2">
        <f t="shared" si="76"/>
        <v>0</v>
      </c>
      <c r="CV66" s="2">
        <f t="shared" si="77"/>
        <v>0</v>
      </c>
      <c r="CW66" s="2">
        <f t="shared" si="78"/>
        <v>0</v>
      </c>
      <c r="CX66" s="2">
        <f t="shared" si="79"/>
        <v>0</v>
      </c>
      <c r="CY66" s="2">
        <f t="shared" si="80"/>
        <v>0</v>
      </c>
      <c r="CZ66" s="2">
        <f t="shared" si="81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92</v>
      </c>
      <c r="DW66" s="2" t="s">
        <v>92</v>
      </c>
      <c r="DX66" s="2">
        <v>1</v>
      </c>
      <c r="DY66" s="2"/>
      <c r="DZ66" s="2"/>
      <c r="EA66" s="2"/>
      <c r="EB66" s="2"/>
      <c r="EC66" s="2"/>
      <c r="ED66" s="2"/>
      <c r="EE66" s="2">
        <v>26549061</v>
      </c>
      <c r="EF66" s="2">
        <v>2</v>
      </c>
      <c r="EG66" s="2" t="s">
        <v>42</v>
      </c>
      <c r="EH66" s="2">
        <v>0</v>
      </c>
      <c r="EI66" s="2" t="s">
        <v>6</v>
      </c>
      <c r="EJ66" s="2">
        <v>1</v>
      </c>
      <c r="EK66" s="2">
        <v>11001</v>
      </c>
      <c r="EL66" s="2" t="s">
        <v>19</v>
      </c>
      <c r="EM66" s="2" t="s">
        <v>43</v>
      </c>
      <c r="EN66" s="2"/>
      <c r="EO66" s="2" t="s">
        <v>6</v>
      </c>
      <c r="EP66" s="2"/>
      <c r="EQ66" s="2">
        <v>0</v>
      </c>
      <c r="ER66" s="2">
        <v>56.32</v>
      </c>
      <c r="ES66" s="2">
        <v>56.32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2"/>
        <v>0</v>
      </c>
      <c r="FS66" s="2">
        <v>0</v>
      </c>
      <c r="FT66" s="2" t="s">
        <v>45</v>
      </c>
      <c r="FU66" s="2" t="s">
        <v>46</v>
      </c>
      <c r="FV66" s="2"/>
      <c r="FW66" s="2"/>
      <c r="FX66" s="2">
        <v>110.7</v>
      </c>
      <c r="FY66" s="2">
        <v>63.75</v>
      </c>
      <c r="FZ66" s="2"/>
      <c r="GA66" s="2" t="s">
        <v>6</v>
      </c>
      <c r="GB66" s="2"/>
      <c r="GC66" s="2"/>
      <c r="GD66" s="2">
        <v>0</v>
      </c>
      <c r="GE66" s="2"/>
      <c r="GF66" s="2">
        <v>579238719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3"/>
        <v>0</v>
      </c>
      <c r="GM66" s="2">
        <f t="shared" si="84"/>
        <v>3331.08</v>
      </c>
      <c r="GN66" s="2">
        <f t="shared" si="85"/>
        <v>3331.08</v>
      </c>
      <c r="GO66" s="2">
        <f t="shared" si="86"/>
        <v>0</v>
      </c>
      <c r="GP66" s="2">
        <f t="shared" si="87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88"/>
        <v>0</v>
      </c>
      <c r="GW66" s="2">
        <v>1</v>
      </c>
      <c r="GX66" s="2">
        <f t="shared" si="89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127</v>
      </c>
      <c r="E67" t="s">
        <v>102</v>
      </c>
      <c r="F67" t="s">
        <v>95</v>
      </c>
      <c r="G67" t="s">
        <v>542</v>
      </c>
      <c r="H67" t="s">
        <v>92</v>
      </c>
      <c r="I67">
        <f>I65*J67</f>
        <v>59.145599999999995</v>
      </c>
      <c r="J67">
        <v>10.1</v>
      </c>
      <c r="O67">
        <f t="shared" si="57"/>
        <v>25649.32</v>
      </c>
      <c r="P67">
        <f t="shared" si="58"/>
        <v>25649.32</v>
      </c>
      <c r="Q67">
        <f t="shared" si="59"/>
        <v>0</v>
      </c>
      <c r="R67">
        <f t="shared" si="60"/>
        <v>0</v>
      </c>
      <c r="S67">
        <f t="shared" si="61"/>
        <v>0</v>
      </c>
      <c r="T67">
        <f t="shared" si="62"/>
        <v>0</v>
      </c>
      <c r="U67">
        <f t="shared" si="63"/>
        <v>0</v>
      </c>
      <c r="V67">
        <f t="shared" si="64"/>
        <v>0</v>
      </c>
      <c r="W67">
        <f t="shared" si="65"/>
        <v>0</v>
      </c>
      <c r="X67">
        <f t="shared" si="66"/>
        <v>0</v>
      </c>
      <c r="Y67">
        <f t="shared" si="67"/>
        <v>0</v>
      </c>
      <c r="AA67">
        <v>26914189</v>
      </c>
      <c r="AB67">
        <f t="shared" si="68"/>
        <v>56.32</v>
      </c>
      <c r="AC67">
        <f t="shared" si="56"/>
        <v>56.32</v>
      </c>
      <c r="AD67">
        <f>ROUND((((ET67)-(EU67))+AE67),6)</f>
        <v>0</v>
      </c>
      <c r="AE67">
        <f t="shared" si="93"/>
        <v>0</v>
      </c>
      <c r="AF67">
        <f t="shared" si="93"/>
        <v>0</v>
      </c>
      <c r="AG67">
        <f t="shared" si="69"/>
        <v>0</v>
      </c>
      <c r="AH67">
        <f t="shared" si="94"/>
        <v>0</v>
      </c>
      <c r="AI67">
        <f t="shared" si="94"/>
        <v>0</v>
      </c>
      <c r="AJ67">
        <f t="shared" si="70"/>
        <v>0</v>
      </c>
      <c r="AK67">
        <v>56.32</v>
      </c>
      <c r="AL67">
        <v>56.32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7.7</v>
      </c>
      <c r="BA67">
        <v>1</v>
      </c>
      <c r="BB67">
        <v>1</v>
      </c>
      <c r="BC67">
        <v>7.7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97</v>
      </c>
      <c r="BM67">
        <v>11001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123</v>
      </c>
      <c r="CA67">
        <v>75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1"/>
        <v>25649.32</v>
      </c>
      <c r="CQ67">
        <f t="shared" si="72"/>
        <v>433.66399999999999</v>
      </c>
      <c r="CR67">
        <f t="shared" si="73"/>
        <v>0</v>
      </c>
      <c r="CS67">
        <f t="shared" si="74"/>
        <v>0</v>
      </c>
      <c r="CT67">
        <f t="shared" si="75"/>
        <v>0</v>
      </c>
      <c r="CU67">
        <f t="shared" si="76"/>
        <v>0</v>
      </c>
      <c r="CV67">
        <f t="shared" si="77"/>
        <v>0</v>
      </c>
      <c r="CW67">
        <f t="shared" si="78"/>
        <v>0</v>
      </c>
      <c r="CX67">
        <f t="shared" si="79"/>
        <v>0</v>
      </c>
      <c r="CY67">
        <f t="shared" si="80"/>
        <v>0</v>
      </c>
      <c r="CZ67">
        <f t="shared" si="81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92</v>
      </c>
      <c r="DW67" t="s">
        <v>92</v>
      </c>
      <c r="DX67">
        <v>1</v>
      </c>
      <c r="EE67">
        <v>26549061</v>
      </c>
      <c r="EF67">
        <v>2</v>
      </c>
      <c r="EG67" t="s">
        <v>42</v>
      </c>
      <c r="EH67">
        <v>0</v>
      </c>
      <c r="EI67" t="s">
        <v>6</v>
      </c>
      <c r="EJ67">
        <v>1</v>
      </c>
      <c r="EK67">
        <v>11001</v>
      </c>
      <c r="EL67" t="s">
        <v>19</v>
      </c>
      <c r="EM67" t="s">
        <v>43</v>
      </c>
      <c r="EO67" t="s">
        <v>6</v>
      </c>
      <c r="EQ67">
        <v>0</v>
      </c>
      <c r="ER67">
        <v>56.32</v>
      </c>
      <c r="ES67">
        <v>56.32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2"/>
        <v>0</v>
      </c>
      <c r="FS67">
        <v>0</v>
      </c>
      <c r="FT67" t="s">
        <v>45</v>
      </c>
      <c r="FU67" t="s">
        <v>46</v>
      </c>
      <c r="FX67">
        <v>110.7</v>
      </c>
      <c r="FY67">
        <v>63.75</v>
      </c>
      <c r="GA67" t="s">
        <v>6</v>
      </c>
      <c r="GD67">
        <v>0</v>
      </c>
      <c r="GF67">
        <v>579238719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3"/>
        <v>0</v>
      </c>
      <c r="GM67">
        <f t="shared" si="84"/>
        <v>25649.32</v>
      </c>
      <c r="GN67">
        <f t="shared" si="85"/>
        <v>25649.32</v>
      </c>
      <c r="GO67">
        <f t="shared" si="86"/>
        <v>0</v>
      </c>
      <c r="GP67">
        <f t="shared" si="87"/>
        <v>0</v>
      </c>
      <c r="GR67">
        <v>0</v>
      </c>
      <c r="GS67">
        <v>3</v>
      </c>
      <c r="GT67">
        <v>0</v>
      </c>
      <c r="GU67" t="s">
        <v>6</v>
      </c>
      <c r="GV67">
        <f t="shared" si="88"/>
        <v>0</v>
      </c>
      <c r="GW67">
        <v>1</v>
      </c>
      <c r="GX67">
        <f t="shared" si="89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122</v>
      </c>
      <c r="D68" s="2"/>
      <c r="E68" s="2" t="s">
        <v>103</v>
      </c>
      <c r="F68" s="2" t="s">
        <v>104</v>
      </c>
      <c r="G68" s="2" t="s">
        <v>105</v>
      </c>
      <c r="H68" s="2" t="s">
        <v>50</v>
      </c>
      <c r="I68" s="2">
        <f>I64*J68</f>
        <v>2635.2</v>
      </c>
      <c r="J68" s="2">
        <v>450</v>
      </c>
      <c r="K68" s="2"/>
      <c r="L68" s="2"/>
      <c r="M68" s="2"/>
      <c r="N68" s="2"/>
      <c r="O68" s="2">
        <f t="shared" si="57"/>
        <v>9723.89</v>
      </c>
      <c r="P68" s="2">
        <f t="shared" si="58"/>
        <v>9723.89</v>
      </c>
      <c r="Q68" s="2">
        <f t="shared" si="59"/>
        <v>0</v>
      </c>
      <c r="R68" s="2">
        <f t="shared" si="60"/>
        <v>0</v>
      </c>
      <c r="S68" s="2">
        <f t="shared" si="61"/>
        <v>0</v>
      </c>
      <c r="T68" s="2">
        <f t="shared" si="62"/>
        <v>0</v>
      </c>
      <c r="U68" s="2">
        <f t="shared" si="63"/>
        <v>0</v>
      </c>
      <c r="V68" s="2">
        <f t="shared" si="64"/>
        <v>0</v>
      </c>
      <c r="W68" s="2">
        <f t="shared" si="65"/>
        <v>0</v>
      </c>
      <c r="X68" s="2">
        <f t="shared" si="66"/>
        <v>0</v>
      </c>
      <c r="Y68" s="2">
        <f t="shared" si="67"/>
        <v>0</v>
      </c>
      <c r="Z68" s="2"/>
      <c r="AA68" s="2">
        <v>26914188</v>
      </c>
      <c r="AB68" s="2">
        <f t="shared" si="68"/>
        <v>3.69</v>
      </c>
      <c r="AC68" s="2">
        <f t="shared" si="56"/>
        <v>3.69</v>
      </c>
      <c r="AD68" s="2">
        <f>ROUND((((ET68)-(EU68))+AE68),6)</f>
        <v>0</v>
      </c>
      <c r="AE68" s="2">
        <f t="shared" si="93"/>
        <v>0</v>
      </c>
      <c r="AF68" s="2">
        <f t="shared" si="93"/>
        <v>0</v>
      </c>
      <c r="AG68" s="2">
        <f t="shared" si="69"/>
        <v>0</v>
      </c>
      <c r="AH68" s="2">
        <f t="shared" si="94"/>
        <v>0</v>
      </c>
      <c r="AI68" s="2">
        <f t="shared" si="94"/>
        <v>0</v>
      </c>
      <c r="AJ68" s="2">
        <f t="shared" si="70"/>
        <v>0</v>
      </c>
      <c r="AK68" s="2">
        <v>3.69</v>
      </c>
      <c r="AL68" s="2">
        <v>3.69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111</v>
      </c>
      <c r="AU68" s="2">
        <v>64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106</v>
      </c>
      <c r="BK68" s="2"/>
      <c r="BL68" s="2"/>
      <c r="BM68" s="2">
        <v>11001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123</v>
      </c>
      <c r="CA68" s="2">
        <v>75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71"/>
        <v>9723.89</v>
      </c>
      <c r="CQ68" s="2">
        <f t="shared" si="72"/>
        <v>3.69</v>
      </c>
      <c r="CR68" s="2">
        <f t="shared" si="73"/>
        <v>0</v>
      </c>
      <c r="CS68" s="2">
        <f t="shared" si="74"/>
        <v>0</v>
      </c>
      <c r="CT68" s="2">
        <f t="shared" si="75"/>
        <v>0</v>
      </c>
      <c r="CU68" s="2">
        <f t="shared" si="76"/>
        <v>0</v>
      </c>
      <c r="CV68" s="2">
        <f t="shared" si="77"/>
        <v>0</v>
      </c>
      <c r="CW68" s="2">
        <f t="shared" si="78"/>
        <v>0</v>
      </c>
      <c r="CX68" s="2">
        <f t="shared" si="79"/>
        <v>0</v>
      </c>
      <c r="CY68" s="2">
        <f t="shared" si="80"/>
        <v>0</v>
      </c>
      <c r="CZ68" s="2">
        <f t="shared" si="81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1009</v>
      </c>
      <c r="DV68" s="2" t="s">
        <v>50</v>
      </c>
      <c r="DW68" s="2" t="s">
        <v>50</v>
      </c>
      <c r="DX68" s="2">
        <v>1</v>
      </c>
      <c r="DY68" s="2"/>
      <c r="DZ68" s="2"/>
      <c r="EA68" s="2"/>
      <c r="EB68" s="2"/>
      <c r="EC68" s="2"/>
      <c r="ED68" s="2"/>
      <c r="EE68" s="2">
        <v>26549061</v>
      </c>
      <c r="EF68" s="2">
        <v>2</v>
      </c>
      <c r="EG68" s="2" t="s">
        <v>42</v>
      </c>
      <c r="EH68" s="2">
        <v>0</v>
      </c>
      <c r="EI68" s="2" t="s">
        <v>6</v>
      </c>
      <c r="EJ68" s="2">
        <v>1</v>
      </c>
      <c r="EK68" s="2">
        <v>11001</v>
      </c>
      <c r="EL68" s="2" t="s">
        <v>19</v>
      </c>
      <c r="EM68" s="2" t="s">
        <v>43</v>
      </c>
      <c r="EN68" s="2"/>
      <c r="EO68" s="2" t="s">
        <v>6</v>
      </c>
      <c r="EP68" s="2"/>
      <c r="EQ68" s="2">
        <v>0</v>
      </c>
      <c r="ER68" s="2">
        <v>3.69</v>
      </c>
      <c r="ES68" s="2">
        <v>3.69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2"/>
        <v>0</v>
      </c>
      <c r="FS68" s="2">
        <v>0</v>
      </c>
      <c r="FT68" s="2" t="s">
        <v>45</v>
      </c>
      <c r="FU68" s="2" t="s">
        <v>46</v>
      </c>
      <c r="FV68" s="2"/>
      <c r="FW68" s="2"/>
      <c r="FX68" s="2">
        <v>110.7</v>
      </c>
      <c r="FY68" s="2">
        <v>63.75</v>
      </c>
      <c r="FZ68" s="2"/>
      <c r="GA68" s="2" t="s">
        <v>6</v>
      </c>
      <c r="GB68" s="2"/>
      <c r="GC68" s="2"/>
      <c r="GD68" s="2">
        <v>0</v>
      </c>
      <c r="GE68" s="2"/>
      <c r="GF68" s="2">
        <v>830044740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3"/>
        <v>0</v>
      </c>
      <c r="GM68" s="2">
        <f t="shared" si="84"/>
        <v>9723.89</v>
      </c>
      <c r="GN68" s="2">
        <f t="shared" si="85"/>
        <v>9723.89</v>
      </c>
      <c r="GO68" s="2">
        <f t="shared" si="86"/>
        <v>0</v>
      </c>
      <c r="GP68" s="2">
        <f t="shared" si="87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88"/>
        <v>0</v>
      </c>
      <c r="GW68" s="2">
        <v>1</v>
      </c>
      <c r="GX68" s="2">
        <f t="shared" si="89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128</v>
      </c>
      <c r="E69" t="s">
        <v>103</v>
      </c>
      <c r="F69" t="s">
        <v>104</v>
      </c>
      <c r="G69" t="s">
        <v>105</v>
      </c>
      <c r="H69" t="s">
        <v>50</v>
      </c>
      <c r="I69">
        <f>I65*J69</f>
        <v>2635.2</v>
      </c>
      <c r="J69">
        <v>450</v>
      </c>
      <c r="O69">
        <f t="shared" si="57"/>
        <v>74873.94</v>
      </c>
      <c r="P69">
        <f t="shared" si="58"/>
        <v>74873.94</v>
      </c>
      <c r="Q69">
        <f t="shared" si="59"/>
        <v>0</v>
      </c>
      <c r="R69">
        <f t="shared" si="60"/>
        <v>0</v>
      </c>
      <c r="S69">
        <f t="shared" si="61"/>
        <v>0</v>
      </c>
      <c r="T69">
        <f t="shared" si="62"/>
        <v>0</v>
      </c>
      <c r="U69">
        <f t="shared" si="63"/>
        <v>0</v>
      </c>
      <c r="V69">
        <f t="shared" si="64"/>
        <v>0</v>
      </c>
      <c r="W69">
        <f t="shared" si="65"/>
        <v>0</v>
      </c>
      <c r="X69">
        <f t="shared" si="66"/>
        <v>0</v>
      </c>
      <c r="Y69">
        <f t="shared" si="67"/>
        <v>0</v>
      </c>
      <c r="AA69">
        <v>26914189</v>
      </c>
      <c r="AB69">
        <f t="shared" si="68"/>
        <v>3.69</v>
      </c>
      <c r="AC69">
        <f t="shared" si="56"/>
        <v>3.69</v>
      </c>
      <c r="AD69">
        <f>ROUND((((ET69)-(EU69))+AE69),6)</f>
        <v>0</v>
      </c>
      <c r="AE69">
        <f t="shared" si="93"/>
        <v>0</v>
      </c>
      <c r="AF69">
        <f t="shared" si="93"/>
        <v>0</v>
      </c>
      <c r="AG69">
        <f t="shared" si="69"/>
        <v>0</v>
      </c>
      <c r="AH69">
        <f t="shared" si="94"/>
        <v>0</v>
      </c>
      <c r="AI69">
        <f t="shared" si="94"/>
        <v>0</v>
      </c>
      <c r="AJ69">
        <f t="shared" si="70"/>
        <v>0</v>
      </c>
      <c r="AK69">
        <v>3.69</v>
      </c>
      <c r="AL69">
        <v>3.69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7.7</v>
      </c>
      <c r="BA69">
        <v>1</v>
      </c>
      <c r="BB69">
        <v>1</v>
      </c>
      <c r="BC69">
        <v>7.7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106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71"/>
        <v>74873.94</v>
      </c>
      <c r="CQ69">
        <f t="shared" si="72"/>
        <v>28.413</v>
      </c>
      <c r="CR69">
        <f t="shared" si="73"/>
        <v>0</v>
      </c>
      <c r="CS69">
        <f t="shared" si="74"/>
        <v>0</v>
      </c>
      <c r="CT69">
        <f t="shared" si="75"/>
        <v>0</v>
      </c>
      <c r="CU69">
        <f t="shared" si="76"/>
        <v>0</v>
      </c>
      <c r="CV69">
        <f t="shared" si="77"/>
        <v>0</v>
      </c>
      <c r="CW69">
        <f t="shared" si="78"/>
        <v>0</v>
      </c>
      <c r="CX69">
        <f t="shared" si="79"/>
        <v>0</v>
      </c>
      <c r="CY69">
        <f t="shared" si="80"/>
        <v>0</v>
      </c>
      <c r="CZ69">
        <f t="shared" si="81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50</v>
      </c>
      <c r="DW69" t="s">
        <v>50</v>
      </c>
      <c r="DX69">
        <v>1</v>
      </c>
      <c r="EE69">
        <v>26549061</v>
      </c>
      <c r="EF69">
        <v>2</v>
      </c>
      <c r="EG69" t="s">
        <v>42</v>
      </c>
      <c r="EH69">
        <v>0</v>
      </c>
      <c r="EI69" t="s">
        <v>6</v>
      </c>
      <c r="EJ69">
        <v>1</v>
      </c>
      <c r="EK69">
        <v>11001</v>
      </c>
      <c r="EL69" t="s">
        <v>19</v>
      </c>
      <c r="EM69" t="s">
        <v>43</v>
      </c>
      <c r="EO69" t="s">
        <v>6</v>
      </c>
      <c r="EQ69">
        <v>0</v>
      </c>
      <c r="ER69">
        <v>3.69</v>
      </c>
      <c r="ES69">
        <v>3.69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2"/>
        <v>0</v>
      </c>
      <c r="FS69">
        <v>0</v>
      </c>
      <c r="FT69" t="s">
        <v>45</v>
      </c>
      <c r="FU69" t="s">
        <v>46</v>
      </c>
      <c r="FX69">
        <v>110.7</v>
      </c>
      <c r="FY69">
        <v>63.75</v>
      </c>
      <c r="GA69" t="s">
        <v>6</v>
      </c>
      <c r="GD69">
        <v>0</v>
      </c>
      <c r="GF69">
        <v>830044740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3"/>
        <v>0</v>
      </c>
      <c r="GM69">
        <f t="shared" si="84"/>
        <v>74873.94</v>
      </c>
      <c r="GN69">
        <f t="shared" si="85"/>
        <v>74873.94</v>
      </c>
      <c r="GO69">
        <f t="shared" si="86"/>
        <v>0</v>
      </c>
      <c r="GP69">
        <f t="shared" si="87"/>
        <v>0</v>
      </c>
      <c r="GR69">
        <v>0</v>
      </c>
      <c r="GS69">
        <v>3</v>
      </c>
      <c r="GT69">
        <v>0</v>
      </c>
      <c r="GU69" t="s">
        <v>6</v>
      </c>
      <c r="GV69">
        <f t="shared" si="88"/>
        <v>0</v>
      </c>
      <c r="GW69">
        <v>1</v>
      </c>
      <c r="GX69">
        <f t="shared" si="89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ROW(SmtRes!A147)</f>
        <v>147</v>
      </c>
      <c r="D70" s="2">
        <f>ROW(EtalonRes!A145)</f>
        <v>145</v>
      </c>
      <c r="E70" s="2" t="s">
        <v>107</v>
      </c>
      <c r="F70" s="2" t="s">
        <v>108</v>
      </c>
      <c r="G70" s="2" t="s">
        <v>109</v>
      </c>
      <c r="H70" s="2" t="s">
        <v>16</v>
      </c>
      <c r="I70" s="2">
        <f>ROUND(15/100,9)</f>
        <v>0.15</v>
      </c>
      <c r="J70" s="2">
        <v>0</v>
      </c>
      <c r="K70" s="2"/>
      <c r="L70" s="2"/>
      <c r="M70" s="2"/>
      <c r="N70" s="2"/>
      <c r="O70" s="2">
        <f t="shared" si="57"/>
        <v>2049.5100000000002</v>
      </c>
      <c r="P70" s="2">
        <f t="shared" si="58"/>
        <v>1818.45</v>
      </c>
      <c r="Q70" s="2">
        <f t="shared" si="59"/>
        <v>1.07</v>
      </c>
      <c r="R70" s="2">
        <f t="shared" si="60"/>
        <v>0</v>
      </c>
      <c r="S70" s="2">
        <f t="shared" si="61"/>
        <v>229.99</v>
      </c>
      <c r="T70" s="2">
        <f t="shared" si="62"/>
        <v>0</v>
      </c>
      <c r="U70" s="2">
        <f t="shared" si="63"/>
        <v>25.357499999999998</v>
      </c>
      <c r="V70" s="2">
        <f t="shared" si="64"/>
        <v>0</v>
      </c>
      <c r="W70" s="2">
        <f t="shared" si="65"/>
        <v>0</v>
      </c>
      <c r="X70" s="2">
        <f t="shared" si="66"/>
        <v>243.79</v>
      </c>
      <c r="Y70" s="2">
        <f t="shared" si="67"/>
        <v>124.19</v>
      </c>
      <c r="Z70" s="2"/>
      <c r="AA70" s="2">
        <v>26914188</v>
      </c>
      <c r="AB70" s="2">
        <f t="shared" si="68"/>
        <v>13663.421</v>
      </c>
      <c r="AC70" s="2">
        <f t="shared" si="56"/>
        <v>12123</v>
      </c>
      <c r="AD70" s="2">
        <f>ROUND(((((ET70*1.25))-((EU70*1.25)))+AE70),6)</f>
        <v>7.1375000000000002</v>
      </c>
      <c r="AE70" s="2">
        <f>ROUND(((EU70*1.25)),6)</f>
        <v>0</v>
      </c>
      <c r="AF70" s="2">
        <f>ROUND(((EV70*1.15)),6)</f>
        <v>1533.2835</v>
      </c>
      <c r="AG70" s="2">
        <f t="shared" si="69"/>
        <v>0</v>
      </c>
      <c r="AH70" s="2">
        <f>((EW70*1.15))</f>
        <v>169.04999999999998</v>
      </c>
      <c r="AI70" s="2">
        <f>((EX70*1.25))</f>
        <v>0</v>
      </c>
      <c r="AJ70" s="2">
        <f t="shared" si="70"/>
        <v>0</v>
      </c>
      <c r="AK70" s="2">
        <v>13462</v>
      </c>
      <c r="AL70" s="2">
        <v>12123</v>
      </c>
      <c r="AM70" s="2">
        <v>5.71</v>
      </c>
      <c r="AN70" s="2">
        <v>0</v>
      </c>
      <c r="AO70" s="2">
        <v>1333.29</v>
      </c>
      <c r="AP70" s="2">
        <v>0</v>
      </c>
      <c r="AQ70" s="2">
        <v>147</v>
      </c>
      <c r="AR70" s="2">
        <v>0</v>
      </c>
      <c r="AS70" s="2">
        <v>0</v>
      </c>
      <c r="AT70" s="2">
        <v>106</v>
      </c>
      <c r="AU70" s="2">
        <v>54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110</v>
      </c>
      <c r="BK70" s="2"/>
      <c r="BL70" s="2"/>
      <c r="BM70" s="2">
        <v>10001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118</v>
      </c>
      <c r="CA70" s="2">
        <v>63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510</v>
      </c>
      <c r="CO70" s="2">
        <v>0</v>
      </c>
      <c r="CP70" s="2">
        <f t="shared" si="71"/>
        <v>2049.5100000000002</v>
      </c>
      <c r="CQ70" s="2">
        <f t="shared" si="72"/>
        <v>12123</v>
      </c>
      <c r="CR70" s="2">
        <f t="shared" si="73"/>
        <v>7.1375000000000002</v>
      </c>
      <c r="CS70" s="2">
        <f t="shared" si="74"/>
        <v>0</v>
      </c>
      <c r="CT70" s="2">
        <f t="shared" si="75"/>
        <v>1533.2835</v>
      </c>
      <c r="CU70" s="2">
        <f t="shared" si="76"/>
        <v>0</v>
      </c>
      <c r="CV70" s="2">
        <f t="shared" si="77"/>
        <v>169.04999999999998</v>
      </c>
      <c r="CW70" s="2">
        <f t="shared" si="78"/>
        <v>0</v>
      </c>
      <c r="CX70" s="2">
        <f t="shared" si="79"/>
        <v>0</v>
      </c>
      <c r="CY70" s="2">
        <f t="shared" si="80"/>
        <v>243.78940000000003</v>
      </c>
      <c r="CZ70" s="2">
        <f t="shared" si="81"/>
        <v>124.19460000000001</v>
      </c>
      <c r="DA70" s="2"/>
      <c r="DB70" s="2"/>
      <c r="DC70" s="2" t="s">
        <v>6</v>
      </c>
      <c r="DD70" s="2" t="s">
        <v>6</v>
      </c>
      <c r="DE70" s="2" t="s">
        <v>40</v>
      </c>
      <c r="DF70" s="2" t="s">
        <v>40</v>
      </c>
      <c r="DG70" s="2" t="s">
        <v>41</v>
      </c>
      <c r="DH70" s="2" t="s">
        <v>6</v>
      </c>
      <c r="DI70" s="2" t="s">
        <v>41</v>
      </c>
      <c r="DJ70" s="2" t="s">
        <v>40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16</v>
      </c>
      <c r="DW70" s="2" t="s">
        <v>16</v>
      </c>
      <c r="DX70" s="2">
        <v>100</v>
      </c>
      <c r="DY70" s="2"/>
      <c r="DZ70" s="2"/>
      <c r="EA70" s="2"/>
      <c r="EB70" s="2"/>
      <c r="EC70" s="2"/>
      <c r="ED70" s="2"/>
      <c r="EE70" s="2">
        <v>26549060</v>
      </c>
      <c r="EF70" s="2">
        <v>2</v>
      </c>
      <c r="EG70" s="2" t="s">
        <v>42</v>
      </c>
      <c r="EH70" s="2">
        <v>0</v>
      </c>
      <c r="EI70" s="2" t="s">
        <v>6</v>
      </c>
      <c r="EJ70" s="2">
        <v>1</v>
      </c>
      <c r="EK70" s="2">
        <v>10001</v>
      </c>
      <c r="EL70" s="2" t="s">
        <v>111</v>
      </c>
      <c r="EM70" s="2" t="s">
        <v>112</v>
      </c>
      <c r="EN70" s="2"/>
      <c r="EO70" s="2" t="s">
        <v>44</v>
      </c>
      <c r="EP70" s="2"/>
      <c r="EQ70" s="2">
        <v>0</v>
      </c>
      <c r="ER70" s="2">
        <v>13462</v>
      </c>
      <c r="ES70" s="2">
        <v>12123</v>
      </c>
      <c r="ET70" s="2">
        <v>5.71</v>
      </c>
      <c r="EU70" s="2">
        <v>0</v>
      </c>
      <c r="EV70" s="2">
        <v>1333.29</v>
      </c>
      <c r="EW70" s="2">
        <v>147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2"/>
        <v>0</v>
      </c>
      <c r="FS70" s="2">
        <v>0</v>
      </c>
      <c r="FT70" s="2" t="s">
        <v>45</v>
      </c>
      <c r="FU70" s="2" t="s">
        <v>46</v>
      </c>
      <c r="FV70" s="2"/>
      <c r="FW70" s="2"/>
      <c r="FX70" s="2">
        <v>106.2</v>
      </c>
      <c r="FY70" s="2">
        <v>53.55</v>
      </c>
      <c r="FZ70" s="2"/>
      <c r="GA70" s="2" t="s">
        <v>6</v>
      </c>
      <c r="GB70" s="2"/>
      <c r="GC70" s="2"/>
      <c r="GD70" s="2">
        <v>0</v>
      </c>
      <c r="GE70" s="2"/>
      <c r="GF70" s="2">
        <v>1236979558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3"/>
        <v>0</v>
      </c>
      <c r="GM70" s="2">
        <f t="shared" si="84"/>
        <v>2417.4899999999998</v>
      </c>
      <c r="GN70" s="2">
        <f t="shared" si="85"/>
        <v>2417.4899999999998</v>
      </c>
      <c r="GO70" s="2">
        <f t="shared" si="86"/>
        <v>0</v>
      </c>
      <c r="GP70" s="2">
        <f t="shared" si="87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88"/>
        <v>0</v>
      </c>
      <c r="GW70" s="2">
        <v>1</v>
      </c>
      <c r="GX70" s="2">
        <f t="shared" si="89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ROW(SmtRes!A166)</f>
        <v>166</v>
      </c>
      <c r="D71">
        <f>ROW(EtalonRes!A164)</f>
        <v>164</v>
      </c>
      <c r="E71" t="s">
        <v>107</v>
      </c>
      <c r="F71" t="s">
        <v>108</v>
      </c>
      <c r="G71" t="s">
        <v>109</v>
      </c>
      <c r="H71" t="s">
        <v>16</v>
      </c>
      <c r="I71">
        <f>ROUND(15/100,9)</f>
        <v>0.15</v>
      </c>
      <c r="J71">
        <v>0</v>
      </c>
      <c r="O71">
        <f t="shared" si="57"/>
        <v>15781.25</v>
      </c>
      <c r="P71">
        <f t="shared" si="58"/>
        <v>14002.07</v>
      </c>
      <c r="Q71">
        <f t="shared" si="59"/>
        <v>8.24</v>
      </c>
      <c r="R71">
        <f t="shared" si="60"/>
        <v>0</v>
      </c>
      <c r="S71">
        <f t="shared" si="61"/>
        <v>1770.94</v>
      </c>
      <c r="T71">
        <f t="shared" si="62"/>
        <v>0</v>
      </c>
      <c r="U71">
        <f t="shared" si="63"/>
        <v>25.357499999999998</v>
      </c>
      <c r="V71">
        <f t="shared" si="64"/>
        <v>0</v>
      </c>
      <c r="W71">
        <f t="shared" si="65"/>
        <v>0</v>
      </c>
      <c r="X71">
        <f t="shared" si="66"/>
        <v>1877.2</v>
      </c>
      <c r="Y71">
        <f t="shared" si="67"/>
        <v>956.31</v>
      </c>
      <c r="AA71">
        <v>26914189</v>
      </c>
      <c r="AB71">
        <f t="shared" si="68"/>
        <v>13663.421</v>
      </c>
      <c r="AC71">
        <f t="shared" si="56"/>
        <v>12123</v>
      </c>
      <c r="AD71">
        <f>ROUND(((((ET71*1.25))-((EU71*1.25)))+AE71),6)</f>
        <v>7.1375000000000002</v>
      </c>
      <c r="AE71">
        <f>ROUND(((EU71*1.25)),6)</f>
        <v>0</v>
      </c>
      <c r="AF71">
        <f>ROUND(((EV71*1.15)),6)</f>
        <v>1533.2835</v>
      </c>
      <c r="AG71">
        <f t="shared" si="69"/>
        <v>0</v>
      </c>
      <c r="AH71">
        <f>((EW71*1.15))</f>
        <v>169.04999999999998</v>
      </c>
      <c r="AI71">
        <f>((EX71*1.25))</f>
        <v>0</v>
      </c>
      <c r="AJ71">
        <f t="shared" si="70"/>
        <v>0</v>
      </c>
      <c r="AK71">
        <v>13462</v>
      </c>
      <c r="AL71">
        <v>12123</v>
      </c>
      <c r="AM71">
        <v>5.71</v>
      </c>
      <c r="AN71">
        <v>0</v>
      </c>
      <c r="AO71">
        <v>1333.29</v>
      </c>
      <c r="AP71">
        <v>0</v>
      </c>
      <c r="AQ71">
        <v>147</v>
      </c>
      <c r="AR71">
        <v>0</v>
      </c>
      <c r="AS71">
        <v>0</v>
      </c>
      <c r="AT71">
        <v>106</v>
      </c>
      <c r="AU71">
        <v>54</v>
      </c>
      <c r="AV71">
        <v>1</v>
      </c>
      <c r="AW71">
        <v>1</v>
      </c>
      <c r="AZ71">
        <v>7.7</v>
      </c>
      <c r="BA71">
        <v>7.7</v>
      </c>
      <c r="BB71">
        <v>7.7</v>
      </c>
      <c r="BC71">
        <v>7.7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110</v>
      </c>
      <c r="BM71">
        <v>10001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7.7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118</v>
      </c>
      <c r="CA71">
        <v>63</v>
      </c>
      <c r="CF71">
        <v>0</v>
      </c>
      <c r="CG71">
        <v>0</v>
      </c>
      <c r="CM71">
        <v>0</v>
      </c>
      <c r="CN71" t="s">
        <v>510</v>
      </c>
      <c r="CO71">
        <v>0</v>
      </c>
      <c r="CP71">
        <f t="shared" si="71"/>
        <v>15781.25</v>
      </c>
      <c r="CQ71">
        <f t="shared" si="72"/>
        <v>93347.1</v>
      </c>
      <c r="CR71">
        <f t="shared" si="73"/>
        <v>54.958750000000002</v>
      </c>
      <c r="CS71">
        <f t="shared" si="74"/>
        <v>0</v>
      </c>
      <c r="CT71">
        <f t="shared" si="75"/>
        <v>11806.282950000001</v>
      </c>
      <c r="CU71">
        <f t="shared" si="76"/>
        <v>0</v>
      </c>
      <c r="CV71">
        <f t="shared" si="77"/>
        <v>169.04999999999998</v>
      </c>
      <c r="CW71">
        <f t="shared" si="78"/>
        <v>0</v>
      </c>
      <c r="CX71">
        <f t="shared" si="79"/>
        <v>0</v>
      </c>
      <c r="CY71">
        <f t="shared" si="80"/>
        <v>1877.1964</v>
      </c>
      <c r="CZ71">
        <f t="shared" si="81"/>
        <v>956.30760000000009</v>
      </c>
      <c r="DC71" t="s">
        <v>6</v>
      </c>
      <c r="DD71" t="s">
        <v>6</v>
      </c>
      <c r="DE71" t="s">
        <v>40</v>
      </c>
      <c r="DF71" t="s">
        <v>40</v>
      </c>
      <c r="DG71" t="s">
        <v>41</v>
      </c>
      <c r="DH71" t="s">
        <v>6</v>
      </c>
      <c r="DI71" t="s">
        <v>41</v>
      </c>
      <c r="DJ71" t="s">
        <v>40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16</v>
      </c>
      <c r="DW71" t="s">
        <v>16</v>
      </c>
      <c r="DX71">
        <v>100</v>
      </c>
      <c r="EE71">
        <v>26549060</v>
      </c>
      <c r="EF71">
        <v>2</v>
      </c>
      <c r="EG71" t="s">
        <v>42</v>
      </c>
      <c r="EH71">
        <v>0</v>
      </c>
      <c r="EI71" t="s">
        <v>6</v>
      </c>
      <c r="EJ71">
        <v>1</v>
      </c>
      <c r="EK71">
        <v>10001</v>
      </c>
      <c r="EL71" t="s">
        <v>111</v>
      </c>
      <c r="EM71" t="s">
        <v>112</v>
      </c>
      <c r="EO71" t="s">
        <v>44</v>
      </c>
      <c r="EQ71">
        <v>0</v>
      </c>
      <c r="ER71">
        <v>13462</v>
      </c>
      <c r="ES71">
        <v>12123</v>
      </c>
      <c r="ET71">
        <v>5.71</v>
      </c>
      <c r="EU71">
        <v>0</v>
      </c>
      <c r="EV71">
        <v>1333.29</v>
      </c>
      <c r="EW71">
        <v>147</v>
      </c>
      <c r="EX71">
        <v>0</v>
      </c>
      <c r="EY71">
        <v>0</v>
      </c>
      <c r="FQ71">
        <v>0</v>
      </c>
      <c r="FR71">
        <f t="shared" si="82"/>
        <v>0</v>
      </c>
      <c r="FS71">
        <v>0</v>
      </c>
      <c r="FT71" t="s">
        <v>45</v>
      </c>
      <c r="FU71" t="s">
        <v>46</v>
      </c>
      <c r="FX71">
        <v>106.2</v>
      </c>
      <c r="FY71">
        <v>53.55</v>
      </c>
      <c r="GA71" t="s">
        <v>6</v>
      </c>
      <c r="GD71">
        <v>0</v>
      </c>
      <c r="GF71">
        <v>1236979558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3"/>
        <v>0</v>
      </c>
      <c r="GM71">
        <f t="shared" si="84"/>
        <v>18614.759999999998</v>
      </c>
      <c r="GN71">
        <f t="shared" si="85"/>
        <v>18614.759999999998</v>
      </c>
      <c r="GO71">
        <f t="shared" si="86"/>
        <v>0</v>
      </c>
      <c r="GP71">
        <f t="shared" si="87"/>
        <v>0</v>
      </c>
      <c r="GR71">
        <v>0</v>
      </c>
      <c r="GS71">
        <v>3</v>
      </c>
      <c r="GT71">
        <v>0</v>
      </c>
      <c r="GU71" t="s">
        <v>6</v>
      </c>
      <c r="GV71">
        <f t="shared" si="88"/>
        <v>0</v>
      </c>
      <c r="GW71">
        <v>1</v>
      </c>
      <c r="GX71">
        <f t="shared" si="89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145</v>
      </c>
      <c r="D72" s="2"/>
      <c r="E72" s="2" t="s">
        <v>113</v>
      </c>
      <c r="F72" s="2" t="s">
        <v>114</v>
      </c>
      <c r="G72" s="2" t="s">
        <v>115</v>
      </c>
      <c r="H72" s="2" t="s">
        <v>76</v>
      </c>
      <c r="I72" s="2">
        <f>I70*J72</f>
        <v>0.77250000000000008</v>
      </c>
      <c r="J72" s="2">
        <v>5.15</v>
      </c>
      <c r="K72" s="2"/>
      <c r="L72" s="2"/>
      <c r="M72" s="2"/>
      <c r="N72" s="2"/>
      <c r="O72" s="2">
        <f t="shared" si="57"/>
        <v>131.47</v>
      </c>
      <c r="P72" s="2">
        <f t="shared" si="58"/>
        <v>131.47</v>
      </c>
      <c r="Q72" s="2">
        <f t="shared" si="59"/>
        <v>0</v>
      </c>
      <c r="R72" s="2">
        <f t="shared" si="60"/>
        <v>0</v>
      </c>
      <c r="S72" s="2">
        <f t="shared" si="61"/>
        <v>0</v>
      </c>
      <c r="T72" s="2">
        <f t="shared" si="62"/>
        <v>0</v>
      </c>
      <c r="U72" s="2">
        <f t="shared" si="63"/>
        <v>0</v>
      </c>
      <c r="V72" s="2">
        <f t="shared" si="64"/>
        <v>0</v>
      </c>
      <c r="W72" s="2">
        <f t="shared" si="65"/>
        <v>0</v>
      </c>
      <c r="X72" s="2">
        <f t="shared" si="66"/>
        <v>0</v>
      </c>
      <c r="Y72" s="2">
        <f t="shared" si="67"/>
        <v>0</v>
      </c>
      <c r="Z72" s="2"/>
      <c r="AA72" s="2">
        <v>26914188</v>
      </c>
      <c r="AB72" s="2">
        <f t="shared" si="68"/>
        <v>170.19</v>
      </c>
      <c r="AC72" s="2">
        <f t="shared" si="56"/>
        <v>170.19</v>
      </c>
      <c r="AD72" s="2">
        <f t="shared" ref="AD72:AD87" si="95">ROUND((((ET72)-(EU72))+AE72),6)</f>
        <v>0</v>
      </c>
      <c r="AE72" s="2">
        <f t="shared" ref="AE72:AE87" si="96">ROUND((EU72),6)</f>
        <v>0</v>
      </c>
      <c r="AF72" s="2">
        <f t="shared" ref="AF72:AF87" si="97">ROUND((EV72),6)</f>
        <v>0</v>
      </c>
      <c r="AG72" s="2">
        <f t="shared" si="69"/>
        <v>0</v>
      </c>
      <c r="AH72" s="2">
        <f t="shared" ref="AH72:AH87" si="98">(EW72)</f>
        <v>0</v>
      </c>
      <c r="AI72" s="2">
        <f t="shared" ref="AI72:AI87" si="99">(EX72)</f>
        <v>0</v>
      </c>
      <c r="AJ72" s="2">
        <f t="shared" si="70"/>
        <v>0</v>
      </c>
      <c r="AK72" s="2">
        <v>170.19</v>
      </c>
      <c r="AL72" s="2">
        <v>170.19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116</v>
      </c>
      <c r="BK72" s="2"/>
      <c r="BL72" s="2"/>
      <c r="BM72" s="2">
        <v>10001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118</v>
      </c>
      <c r="CA72" s="2">
        <v>63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1"/>
        <v>131.47</v>
      </c>
      <c r="CQ72" s="2">
        <f t="shared" si="72"/>
        <v>170.19</v>
      </c>
      <c r="CR72" s="2">
        <f t="shared" si="73"/>
        <v>0</v>
      </c>
      <c r="CS72" s="2">
        <f t="shared" si="74"/>
        <v>0</v>
      </c>
      <c r="CT72" s="2">
        <f t="shared" si="75"/>
        <v>0</v>
      </c>
      <c r="CU72" s="2">
        <f t="shared" si="76"/>
        <v>0</v>
      </c>
      <c r="CV72" s="2">
        <f t="shared" si="77"/>
        <v>0</v>
      </c>
      <c r="CW72" s="2">
        <f t="shared" si="78"/>
        <v>0</v>
      </c>
      <c r="CX72" s="2">
        <f t="shared" si="79"/>
        <v>0</v>
      </c>
      <c r="CY72" s="2">
        <f t="shared" si="80"/>
        <v>0</v>
      </c>
      <c r="CZ72" s="2">
        <f t="shared" si="81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1007</v>
      </c>
      <c r="DV72" s="2" t="s">
        <v>76</v>
      </c>
      <c r="DW72" s="2" t="s">
        <v>76</v>
      </c>
      <c r="DX72" s="2">
        <v>1</v>
      </c>
      <c r="DY72" s="2"/>
      <c r="DZ72" s="2"/>
      <c r="EA72" s="2"/>
      <c r="EB72" s="2"/>
      <c r="EC72" s="2"/>
      <c r="ED72" s="2"/>
      <c r="EE72" s="2">
        <v>26549060</v>
      </c>
      <c r="EF72" s="2">
        <v>2</v>
      </c>
      <c r="EG72" s="2" t="s">
        <v>42</v>
      </c>
      <c r="EH72" s="2">
        <v>0</v>
      </c>
      <c r="EI72" s="2" t="s">
        <v>6</v>
      </c>
      <c r="EJ72" s="2">
        <v>1</v>
      </c>
      <c r="EK72" s="2">
        <v>10001</v>
      </c>
      <c r="EL72" s="2" t="s">
        <v>111</v>
      </c>
      <c r="EM72" s="2" t="s">
        <v>112</v>
      </c>
      <c r="EN72" s="2"/>
      <c r="EO72" s="2" t="s">
        <v>6</v>
      </c>
      <c r="EP72" s="2"/>
      <c r="EQ72" s="2">
        <v>0</v>
      </c>
      <c r="ER72" s="2">
        <v>170.19</v>
      </c>
      <c r="ES72" s="2">
        <v>170.19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2"/>
        <v>0</v>
      </c>
      <c r="FS72" s="2">
        <v>0</v>
      </c>
      <c r="FT72" s="2" t="s">
        <v>45</v>
      </c>
      <c r="FU72" s="2" t="s">
        <v>46</v>
      </c>
      <c r="FV72" s="2"/>
      <c r="FW72" s="2"/>
      <c r="FX72" s="2">
        <v>106.2</v>
      </c>
      <c r="FY72" s="2">
        <v>53.55</v>
      </c>
      <c r="FZ72" s="2"/>
      <c r="GA72" s="2" t="s">
        <v>6</v>
      </c>
      <c r="GB72" s="2"/>
      <c r="GC72" s="2"/>
      <c r="GD72" s="2">
        <v>0</v>
      </c>
      <c r="GE72" s="2"/>
      <c r="GF72" s="2">
        <v>2013777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3"/>
        <v>0</v>
      </c>
      <c r="GM72" s="2">
        <f t="shared" si="84"/>
        <v>131.47</v>
      </c>
      <c r="GN72" s="2">
        <f t="shared" si="85"/>
        <v>131.47</v>
      </c>
      <c r="GO72" s="2">
        <f t="shared" si="86"/>
        <v>0</v>
      </c>
      <c r="GP72" s="2">
        <f t="shared" si="87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88"/>
        <v>0</v>
      </c>
      <c r="GW72" s="2">
        <v>1</v>
      </c>
      <c r="GX72" s="2">
        <f t="shared" si="89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164</v>
      </c>
      <c r="E73" t="s">
        <v>113</v>
      </c>
      <c r="F73" t="s">
        <v>114</v>
      </c>
      <c r="G73" t="s">
        <v>115</v>
      </c>
      <c r="H73" t="s">
        <v>76</v>
      </c>
      <c r="I73">
        <f>I71*J73</f>
        <v>0.77250000000000008</v>
      </c>
      <c r="J73">
        <v>5.15</v>
      </c>
      <c r="O73">
        <f t="shared" si="57"/>
        <v>1012.33</v>
      </c>
      <c r="P73">
        <f t="shared" si="58"/>
        <v>1012.33</v>
      </c>
      <c r="Q73">
        <f t="shared" si="59"/>
        <v>0</v>
      </c>
      <c r="R73">
        <f t="shared" si="60"/>
        <v>0</v>
      </c>
      <c r="S73">
        <f t="shared" si="61"/>
        <v>0</v>
      </c>
      <c r="T73">
        <f t="shared" si="62"/>
        <v>0</v>
      </c>
      <c r="U73">
        <f t="shared" si="63"/>
        <v>0</v>
      </c>
      <c r="V73">
        <f t="shared" si="64"/>
        <v>0</v>
      </c>
      <c r="W73">
        <f t="shared" si="65"/>
        <v>0</v>
      </c>
      <c r="X73">
        <f t="shared" si="66"/>
        <v>0</v>
      </c>
      <c r="Y73">
        <f t="shared" si="67"/>
        <v>0</v>
      </c>
      <c r="AA73">
        <v>26914189</v>
      </c>
      <c r="AB73">
        <f t="shared" si="68"/>
        <v>170.19</v>
      </c>
      <c r="AC73">
        <f t="shared" si="56"/>
        <v>170.19</v>
      </c>
      <c r="AD73">
        <f t="shared" si="95"/>
        <v>0</v>
      </c>
      <c r="AE73">
        <f t="shared" si="96"/>
        <v>0</v>
      </c>
      <c r="AF73">
        <f t="shared" si="97"/>
        <v>0</v>
      </c>
      <c r="AG73">
        <f t="shared" si="69"/>
        <v>0</v>
      </c>
      <c r="AH73">
        <f t="shared" si="98"/>
        <v>0</v>
      </c>
      <c r="AI73">
        <f t="shared" si="99"/>
        <v>0</v>
      </c>
      <c r="AJ73">
        <f t="shared" si="70"/>
        <v>0</v>
      </c>
      <c r="AK73">
        <v>170.19</v>
      </c>
      <c r="AL73">
        <v>170.19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7.7</v>
      </c>
      <c r="BA73">
        <v>1</v>
      </c>
      <c r="BB73">
        <v>1</v>
      </c>
      <c r="BC73">
        <v>7.7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116</v>
      </c>
      <c r="BM73">
        <v>10001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1"/>
        <v>1012.33</v>
      </c>
      <c r="CQ73">
        <f t="shared" si="72"/>
        <v>1310.463</v>
      </c>
      <c r="CR73">
        <f t="shared" si="73"/>
        <v>0</v>
      </c>
      <c r="CS73">
        <f t="shared" si="74"/>
        <v>0</v>
      </c>
      <c r="CT73">
        <f t="shared" si="75"/>
        <v>0</v>
      </c>
      <c r="CU73">
        <f t="shared" si="76"/>
        <v>0</v>
      </c>
      <c r="CV73">
        <f t="shared" si="77"/>
        <v>0</v>
      </c>
      <c r="CW73">
        <f t="shared" si="78"/>
        <v>0</v>
      </c>
      <c r="CX73">
        <f t="shared" si="79"/>
        <v>0</v>
      </c>
      <c r="CY73">
        <f t="shared" si="80"/>
        <v>0</v>
      </c>
      <c r="CZ73">
        <f t="shared" si="81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76</v>
      </c>
      <c r="DW73" t="s">
        <v>76</v>
      </c>
      <c r="DX73">
        <v>1</v>
      </c>
      <c r="EE73">
        <v>26549060</v>
      </c>
      <c r="EF73">
        <v>2</v>
      </c>
      <c r="EG73" t="s">
        <v>42</v>
      </c>
      <c r="EH73">
        <v>0</v>
      </c>
      <c r="EI73" t="s">
        <v>6</v>
      </c>
      <c r="EJ73">
        <v>1</v>
      </c>
      <c r="EK73">
        <v>10001</v>
      </c>
      <c r="EL73" t="s">
        <v>111</v>
      </c>
      <c r="EM73" t="s">
        <v>112</v>
      </c>
      <c r="EO73" t="s">
        <v>6</v>
      </c>
      <c r="EQ73">
        <v>0</v>
      </c>
      <c r="ER73">
        <v>170.19</v>
      </c>
      <c r="ES73">
        <v>170.19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2"/>
        <v>0</v>
      </c>
      <c r="FS73">
        <v>0</v>
      </c>
      <c r="FT73" t="s">
        <v>45</v>
      </c>
      <c r="FU73" t="s">
        <v>46</v>
      </c>
      <c r="FX73">
        <v>106.2</v>
      </c>
      <c r="FY73">
        <v>53.55</v>
      </c>
      <c r="GA73" t="s">
        <v>6</v>
      </c>
      <c r="GD73">
        <v>0</v>
      </c>
      <c r="GF73">
        <v>2013777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3"/>
        <v>0</v>
      </c>
      <c r="GM73">
        <f t="shared" si="84"/>
        <v>1012.33</v>
      </c>
      <c r="GN73">
        <f t="shared" si="85"/>
        <v>1012.33</v>
      </c>
      <c r="GO73">
        <f t="shared" si="86"/>
        <v>0</v>
      </c>
      <c r="GP73">
        <f t="shared" si="87"/>
        <v>0</v>
      </c>
      <c r="GR73">
        <v>0</v>
      </c>
      <c r="GS73">
        <v>3</v>
      </c>
      <c r="GT73">
        <v>0</v>
      </c>
      <c r="GU73" t="s">
        <v>6</v>
      </c>
      <c r="GV73">
        <f t="shared" si="88"/>
        <v>0</v>
      </c>
      <c r="GW73">
        <v>1</v>
      </c>
      <c r="GX73">
        <f t="shared" si="89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141</v>
      </c>
      <c r="D74" s="2"/>
      <c r="E74" s="2" t="s">
        <v>117</v>
      </c>
      <c r="F74" s="2" t="s">
        <v>118</v>
      </c>
      <c r="G74" s="2" t="s">
        <v>119</v>
      </c>
      <c r="H74" s="2" t="s">
        <v>120</v>
      </c>
      <c r="I74" s="2">
        <f>I70*J74</f>
        <v>12.9</v>
      </c>
      <c r="J74" s="2">
        <v>86</v>
      </c>
      <c r="K74" s="2"/>
      <c r="L74" s="2"/>
      <c r="M74" s="2"/>
      <c r="N74" s="2"/>
      <c r="O74" s="2">
        <f t="shared" si="57"/>
        <v>79.459999999999994</v>
      </c>
      <c r="P74" s="2">
        <f t="shared" si="58"/>
        <v>79.459999999999994</v>
      </c>
      <c r="Q74" s="2">
        <f t="shared" si="59"/>
        <v>0</v>
      </c>
      <c r="R74" s="2">
        <f t="shared" si="60"/>
        <v>0</v>
      </c>
      <c r="S74" s="2">
        <f t="shared" si="61"/>
        <v>0</v>
      </c>
      <c r="T74" s="2">
        <f t="shared" si="62"/>
        <v>0</v>
      </c>
      <c r="U74" s="2">
        <f t="shared" si="63"/>
        <v>0</v>
      </c>
      <c r="V74" s="2">
        <f t="shared" si="64"/>
        <v>0</v>
      </c>
      <c r="W74" s="2">
        <f t="shared" si="65"/>
        <v>0</v>
      </c>
      <c r="X74" s="2">
        <f t="shared" si="66"/>
        <v>0</v>
      </c>
      <c r="Y74" s="2">
        <f t="shared" si="67"/>
        <v>0</v>
      </c>
      <c r="Z74" s="2"/>
      <c r="AA74" s="2">
        <v>26914188</v>
      </c>
      <c r="AB74" s="2">
        <f t="shared" si="68"/>
        <v>6.16</v>
      </c>
      <c r="AC74" s="2">
        <f t="shared" si="56"/>
        <v>6.16</v>
      </c>
      <c r="AD74" s="2">
        <f t="shared" si="95"/>
        <v>0</v>
      </c>
      <c r="AE74" s="2">
        <f t="shared" si="96"/>
        <v>0</v>
      </c>
      <c r="AF74" s="2">
        <f t="shared" si="97"/>
        <v>0</v>
      </c>
      <c r="AG74" s="2">
        <f t="shared" si="69"/>
        <v>0</v>
      </c>
      <c r="AH74" s="2">
        <f t="shared" si="98"/>
        <v>0</v>
      </c>
      <c r="AI74" s="2">
        <f t="shared" si="99"/>
        <v>0</v>
      </c>
      <c r="AJ74" s="2">
        <f t="shared" si="70"/>
        <v>0</v>
      </c>
      <c r="AK74" s="2">
        <v>6.16</v>
      </c>
      <c r="AL74" s="2">
        <v>6.16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106</v>
      </c>
      <c r="AU74" s="2">
        <v>54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121</v>
      </c>
      <c r="BK74" s="2"/>
      <c r="BL74" s="2"/>
      <c r="BM74" s="2">
        <v>10001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118</v>
      </c>
      <c r="CA74" s="2">
        <v>63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1"/>
        <v>79.459999999999994</v>
      </c>
      <c r="CQ74" s="2">
        <f t="shared" si="72"/>
        <v>6.16</v>
      </c>
      <c r="CR74" s="2">
        <f t="shared" si="73"/>
        <v>0</v>
      </c>
      <c r="CS74" s="2">
        <f t="shared" si="74"/>
        <v>0</v>
      </c>
      <c r="CT74" s="2">
        <f t="shared" si="75"/>
        <v>0</v>
      </c>
      <c r="CU74" s="2">
        <f t="shared" si="76"/>
        <v>0</v>
      </c>
      <c r="CV74" s="2">
        <f t="shared" si="77"/>
        <v>0</v>
      </c>
      <c r="CW74" s="2">
        <f t="shared" si="78"/>
        <v>0</v>
      </c>
      <c r="CX74" s="2">
        <f t="shared" si="79"/>
        <v>0</v>
      </c>
      <c r="CY74" s="2">
        <f t="shared" si="80"/>
        <v>0</v>
      </c>
      <c r="CZ74" s="2">
        <f t="shared" si="81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1003</v>
      </c>
      <c r="DV74" s="2" t="s">
        <v>120</v>
      </c>
      <c r="DW74" s="2" t="s">
        <v>120</v>
      </c>
      <c r="DX74" s="2">
        <v>1</v>
      </c>
      <c r="DY74" s="2"/>
      <c r="DZ74" s="2"/>
      <c r="EA74" s="2"/>
      <c r="EB74" s="2"/>
      <c r="EC74" s="2"/>
      <c r="ED74" s="2"/>
      <c r="EE74" s="2">
        <v>26549060</v>
      </c>
      <c r="EF74" s="2">
        <v>2</v>
      </c>
      <c r="EG74" s="2" t="s">
        <v>42</v>
      </c>
      <c r="EH74" s="2">
        <v>0</v>
      </c>
      <c r="EI74" s="2" t="s">
        <v>6</v>
      </c>
      <c r="EJ74" s="2">
        <v>1</v>
      </c>
      <c r="EK74" s="2">
        <v>10001</v>
      </c>
      <c r="EL74" s="2" t="s">
        <v>111</v>
      </c>
      <c r="EM74" s="2" t="s">
        <v>112</v>
      </c>
      <c r="EN74" s="2"/>
      <c r="EO74" s="2" t="s">
        <v>6</v>
      </c>
      <c r="EP74" s="2"/>
      <c r="EQ74" s="2">
        <v>0</v>
      </c>
      <c r="ER74" s="2">
        <v>6.16</v>
      </c>
      <c r="ES74" s="2">
        <v>6.16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2"/>
        <v>0</v>
      </c>
      <c r="FS74" s="2">
        <v>0</v>
      </c>
      <c r="FT74" s="2" t="s">
        <v>45</v>
      </c>
      <c r="FU74" s="2" t="s">
        <v>46</v>
      </c>
      <c r="FV74" s="2"/>
      <c r="FW74" s="2"/>
      <c r="FX74" s="2">
        <v>106.2</v>
      </c>
      <c r="FY74" s="2">
        <v>53.55</v>
      </c>
      <c r="FZ74" s="2"/>
      <c r="GA74" s="2" t="s">
        <v>6</v>
      </c>
      <c r="GB74" s="2"/>
      <c r="GC74" s="2"/>
      <c r="GD74" s="2">
        <v>0</v>
      </c>
      <c r="GE74" s="2"/>
      <c r="GF74" s="2">
        <v>238585318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3"/>
        <v>0</v>
      </c>
      <c r="GM74" s="2">
        <f t="shared" si="84"/>
        <v>79.459999999999994</v>
      </c>
      <c r="GN74" s="2">
        <f t="shared" si="85"/>
        <v>79.459999999999994</v>
      </c>
      <c r="GO74" s="2">
        <f t="shared" si="86"/>
        <v>0</v>
      </c>
      <c r="GP74" s="2">
        <f t="shared" si="87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88"/>
        <v>0</v>
      </c>
      <c r="GW74" s="2">
        <v>1</v>
      </c>
      <c r="GX74" s="2">
        <f t="shared" si="89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160</v>
      </c>
      <c r="E75" t="s">
        <v>117</v>
      </c>
      <c r="F75" t="s">
        <v>118</v>
      </c>
      <c r="G75" t="s">
        <v>119</v>
      </c>
      <c r="H75" t="s">
        <v>120</v>
      </c>
      <c r="I75">
        <f>I71*J75</f>
        <v>12.9</v>
      </c>
      <c r="J75">
        <v>86</v>
      </c>
      <c r="O75">
        <f t="shared" si="57"/>
        <v>611.87</v>
      </c>
      <c r="P75">
        <f t="shared" si="58"/>
        <v>611.87</v>
      </c>
      <c r="Q75">
        <f t="shared" si="59"/>
        <v>0</v>
      </c>
      <c r="R75">
        <f t="shared" si="60"/>
        <v>0</v>
      </c>
      <c r="S75">
        <f t="shared" si="61"/>
        <v>0</v>
      </c>
      <c r="T75">
        <f t="shared" si="62"/>
        <v>0</v>
      </c>
      <c r="U75">
        <f t="shared" si="63"/>
        <v>0</v>
      </c>
      <c r="V75">
        <f t="shared" si="64"/>
        <v>0</v>
      </c>
      <c r="W75">
        <f t="shared" si="65"/>
        <v>0</v>
      </c>
      <c r="X75">
        <f t="shared" si="66"/>
        <v>0</v>
      </c>
      <c r="Y75">
        <f t="shared" si="67"/>
        <v>0</v>
      </c>
      <c r="AA75">
        <v>26914189</v>
      </c>
      <c r="AB75">
        <f t="shared" si="68"/>
        <v>6.16</v>
      </c>
      <c r="AC75">
        <f t="shared" si="56"/>
        <v>6.16</v>
      </c>
      <c r="AD75">
        <f t="shared" si="95"/>
        <v>0</v>
      </c>
      <c r="AE75">
        <f t="shared" si="96"/>
        <v>0</v>
      </c>
      <c r="AF75">
        <f t="shared" si="97"/>
        <v>0</v>
      </c>
      <c r="AG75">
        <f t="shared" si="69"/>
        <v>0</v>
      </c>
      <c r="AH75">
        <f t="shared" si="98"/>
        <v>0</v>
      </c>
      <c r="AI75">
        <f t="shared" si="99"/>
        <v>0</v>
      </c>
      <c r="AJ75">
        <f t="shared" si="70"/>
        <v>0</v>
      </c>
      <c r="AK75">
        <v>6.16</v>
      </c>
      <c r="AL75">
        <v>6.16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7.7</v>
      </c>
      <c r="BA75">
        <v>1</v>
      </c>
      <c r="BB75">
        <v>1</v>
      </c>
      <c r="BC75">
        <v>7.7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121</v>
      </c>
      <c r="BM75">
        <v>10001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1"/>
        <v>611.87</v>
      </c>
      <c r="CQ75">
        <f t="shared" si="72"/>
        <v>47.432000000000002</v>
      </c>
      <c r="CR75">
        <f t="shared" si="73"/>
        <v>0</v>
      </c>
      <c r="CS75">
        <f t="shared" si="74"/>
        <v>0</v>
      </c>
      <c r="CT75">
        <f t="shared" si="75"/>
        <v>0</v>
      </c>
      <c r="CU75">
        <f t="shared" si="76"/>
        <v>0</v>
      </c>
      <c r="CV75">
        <f t="shared" si="77"/>
        <v>0</v>
      </c>
      <c r="CW75">
        <f t="shared" si="78"/>
        <v>0</v>
      </c>
      <c r="CX75">
        <f t="shared" si="79"/>
        <v>0</v>
      </c>
      <c r="CY75">
        <f t="shared" si="80"/>
        <v>0</v>
      </c>
      <c r="CZ75">
        <f t="shared" si="81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120</v>
      </c>
      <c r="DW75" t="s">
        <v>120</v>
      </c>
      <c r="DX75">
        <v>1</v>
      </c>
      <c r="EE75">
        <v>26549060</v>
      </c>
      <c r="EF75">
        <v>2</v>
      </c>
      <c r="EG75" t="s">
        <v>42</v>
      </c>
      <c r="EH75">
        <v>0</v>
      </c>
      <c r="EI75" t="s">
        <v>6</v>
      </c>
      <c r="EJ75">
        <v>1</v>
      </c>
      <c r="EK75">
        <v>10001</v>
      </c>
      <c r="EL75" t="s">
        <v>111</v>
      </c>
      <c r="EM75" t="s">
        <v>112</v>
      </c>
      <c r="EO75" t="s">
        <v>6</v>
      </c>
      <c r="EQ75">
        <v>0</v>
      </c>
      <c r="ER75">
        <v>6.16</v>
      </c>
      <c r="ES75">
        <v>6.16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2"/>
        <v>0</v>
      </c>
      <c r="FS75">
        <v>0</v>
      </c>
      <c r="FT75" t="s">
        <v>45</v>
      </c>
      <c r="FU75" t="s">
        <v>46</v>
      </c>
      <c r="FX75">
        <v>106.2</v>
      </c>
      <c r="FY75">
        <v>53.55</v>
      </c>
      <c r="GA75" t="s">
        <v>6</v>
      </c>
      <c r="GD75">
        <v>0</v>
      </c>
      <c r="GF75">
        <v>238585318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3"/>
        <v>0</v>
      </c>
      <c r="GM75">
        <f t="shared" si="84"/>
        <v>611.87</v>
      </c>
      <c r="GN75">
        <f t="shared" si="85"/>
        <v>611.87</v>
      </c>
      <c r="GO75">
        <f t="shared" si="86"/>
        <v>0</v>
      </c>
      <c r="GP75">
        <f t="shared" si="87"/>
        <v>0</v>
      </c>
      <c r="GR75">
        <v>0</v>
      </c>
      <c r="GS75">
        <v>3</v>
      </c>
      <c r="GT75">
        <v>0</v>
      </c>
      <c r="GU75" t="s">
        <v>6</v>
      </c>
      <c r="GV75">
        <f t="shared" si="88"/>
        <v>0</v>
      </c>
      <c r="GW75">
        <v>1</v>
      </c>
      <c r="GX75">
        <f t="shared" si="89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132</v>
      </c>
      <c r="D76" s="2"/>
      <c r="E76" s="2" t="s">
        <v>122</v>
      </c>
      <c r="F76" s="2" t="s">
        <v>123</v>
      </c>
      <c r="G76" s="2" t="s">
        <v>124</v>
      </c>
      <c r="H76" s="2" t="s">
        <v>92</v>
      </c>
      <c r="I76" s="2">
        <f>I70*J76</f>
        <v>67.349999999999994</v>
      </c>
      <c r="J76" s="2">
        <v>449</v>
      </c>
      <c r="K76" s="2"/>
      <c r="L76" s="2"/>
      <c r="M76" s="2"/>
      <c r="N76" s="2"/>
      <c r="O76" s="2">
        <f t="shared" si="57"/>
        <v>744.22</v>
      </c>
      <c r="P76" s="2">
        <f t="shared" si="58"/>
        <v>744.22</v>
      </c>
      <c r="Q76" s="2">
        <f t="shared" si="59"/>
        <v>0</v>
      </c>
      <c r="R76" s="2">
        <f t="shared" si="60"/>
        <v>0</v>
      </c>
      <c r="S76" s="2">
        <f t="shared" si="61"/>
        <v>0</v>
      </c>
      <c r="T76" s="2">
        <f t="shared" si="62"/>
        <v>0</v>
      </c>
      <c r="U76" s="2">
        <f t="shared" si="63"/>
        <v>0</v>
      </c>
      <c r="V76" s="2">
        <f t="shared" si="64"/>
        <v>0</v>
      </c>
      <c r="W76" s="2">
        <f t="shared" si="65"/>
        <v>0</v>
      </c>
      <c r="X76" s="2">
        <f t="shared" si="66"/>
        <v>0</v>
      </c>
      <c r="Y76" s="2">
        <f t="shared" si="67"/>
        <v>0</v>
      </c>
      <c r="Z76" s="2"/>
      <c r="AA76" s="2">
        <v>26914188</v>
      </c>
      <c r="AB76" s="2">
        <f t="shared" si="68"/>
        <v>11.05</v>
      </c>
      <c r="AC76" s="2">
        <f t="shared" si="56"/>
        <v>11.05</v>
      </c>
      <c r="AD76" s="2">
        <f t="shared" si="95"/>
        <v>0</v>
      </c>
      <c r="AE76" s="2">
        <f t="shared" si="96"/>
        <v>0</v>
      </c>
      <c r="AF76" s="2">
        <f t="shared" si="97"/>
        <v>0</v>
      </c>
      <c r="AG76" s="2">
        <f t="shared" si="69"/>
        <v>0</v>
      </c>
      <c r="AH76" s="2">
        <f t="shared" si="98"/>
        <v>0</v>
      </c>
      <c r="AI76" s="2">
        <f t="shared" si="99"/>
        <v>0</v>
      </c>
      <c r="AJ76" s="2">
        <f t="shared" si="70"/>
        <v>0</v>
      </c>
      <c r="AK76" s="2">
        <v>11.05</v>
      </c>
      <c r="AL76" s="2">
        <v>11.05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106</v>
      </c>
      <c r="AU76" s="2">
        <v>54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125</v>
      </c>
      <c r="BK76" s="2"/>
      <c r="BL76" s="2"/>
      <c r="BM76" s="2">
        <v>10001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118</v>
      </c>
      <c r="CA76" s="2">
        <v>63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71"/>
        <v>744.22</v>
      </c>
      <c r="CQ76" s="2">
        <f t="shared" si="72"/>
        <v>11.05</v>
      </c>
      <c r="CR76" s="2">
        <f t="shared" si="73"/>
        <v>0</v>
      </c>
      <c r="CS76" s="2">
        <f t="shared" si="74"/>
        <v>0</v>
      </c>
      <c r="CT76" s="2">
        <f t="shared" si="75"/>
        <v>0</v>
      </c>
      <c r="CU76" s="2">
        <f t="shared" si="76"/>
        <v>0</v>
      </c>
      <c r="CV76" s="2">
        <f t="shared" si="77"/>
        <v>0</v>
      </c>
      <c r="CW76" s="2">
        <f t="shared" si="78"/>
        <v>0</v>
      </c>
      <c r="CX76" s="2">
        <f t="shared" si="79"/>
        <v>0</v>
      </c>
      <c r="CY76" s="2">
        <f t="shared" si="80"/>
        <v>0</v>
      </c>
      <c r="CZ76" s="2">
        <f t="shared" si="81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92</v>
      </c>
      <c r="DW76" s="2" t="s">
        <v>92</v>
      </c>
      <c r="DX76" s="2">
        <v>1</v>
      </c>
      <c r="DY76" s="2"/>
      <c r="DZ76" s="2"/>
      <c r="EA76" s="2"/>
      <c r="EB76" s="2"/>
      <c r="EC76" s="2"/>
      <c r="ED76" s="2"/>
      <c r="EE76" s="2">
        <v>26549060</v>
      </c>
      <c r="EF76" s="2">
        <v>2</v>
      </c>
      <c r="EG76" s="2" t="s">
        <v>42</v>
      </c>
      <c r="EH76" s="2">
        <v>0</v>
      </c>
      <c r="EI76" s="2" t="s">
        <v>6</v>
      </c>
      <c r="EJ76" s="2">
        <v>1</v>
      </c>
      <c r="EK76" s="2">
        <v>10001</v>
      </c>
      <c r="EL76" s="2" t="s">
        <v>111</v>
      </c>
      <c r="EM76" s="2" t="s">
        <v>112</v>
      </c>
      <c r="EN76" s="2"/>
      <c r="EO76" s="2" t="s">
        <v>6</v>
      </c>
      <c r="EP76" s="2"/>
      <c r="EQ76" s="2">
        <v>0</v>
      </c>
      <c r="ER76" s="2">
        <v>11.05</v>
      </c>
      <c r="ES76" s="2">
        <v>11.05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2"/>
        <v>0</v>
      </c>
      <c r="FS76" s="2">
        <v>0</v>
      </c>
      <c r="FT76" s="2" t="s">
        <v>45</v>
      </c>
      <c r="FU76" s="2" t="s">
        <v>46</v>
      </c>
      <c r="FV76" s="2"/>
      <c r="FW76" s="2"/>
      <c r="FX76" s="2">
        <v>106.2</v>
      </c>
      <c r="FY76" s="2">
        <v>53.55</v>
      </c>
      <c r="FZ76" s="2"/>
      <c r="GA76" s="2" t="s">
        <v>6</v>
      </c>
      <c r="GB76" s="2"/>
      <c r="GC76" s="2"/>
      <c r="GD76" s="2">
        <v>0</v>
      </c>
      <c r="GE76" s="2"/>
      <c r="GF76" s="2">
        <v>1736106746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3"/>
        <v>0</v>
      </c>
      <c r="GM76" s="2">
        <f t="shared" si="84"/>
        <v>744.22</v>
      </c>
      <c r="GN76" s="2">
        <f t="shared" si="85"/>
        <v>744.22</v>
      </c>
      <c r="GO76" s="2">
        <f t="shared" si="86"/>
        <v>0</v>
      </c>
      <c r="GP76" s="2">
        <f t="shared" si="87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88"/>
        <v>0</v>
      </c>
      <c r="GW76" s="2">
        <v>1</v>
      </c>
      <c r="GX76" s="2">
        <f t="shared" si="89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151</v>
      </c>
      <c r="E77" t="s">
        <v>122</v>
      </c>
      <c r="F77" t="s">
        <v>123</v>
      </c>
      <c r="G77" t="s">
        <v>124</v>
      </c>
      <c r="H77" t="s">
        <v>92</v>
      </c>
      <c r="I77">
        <f>I71*J77</f>
        <v>67.349999999999994</v>
      </c>
      <c r="J77">
        <v>449</v>
      </c>
      <c r="O77">
        <f t="shared" si="57"/>
        <v>5730.47</v>
      </c>
      <c r="P77">
        <f t="shared" si="58"/>
        <v>5730.47</v>
      </c>
      <c r="Q77">
        <f t="shared" si="59"/>
        <v>0</v>
      </c>
      <c r="R77">
        <f t="shared" si="60"/>
        <v>0</v>
      </c>
      <c r="S77">
        <f t="shared" si="61"/>
        <v>0</v>
      </c>
      <c r="T77">
        <f t="shared" si="62"/>
        <v>0</v>
      </c>
      <c r="U77">
        <f t="shared" si="63"/>
        <v>0</v>
      </c>
      <c r="V77">
        <f t="shared" si="64"/>
        <v>0</v>
      </c>
      <c r="W77">
        <f t="shared" si="65"/>
        <v>0</v>
      </c>
      <c r="X77">
        <f t="shared" si="66"/>
        <v>0</v>
      </c>
      <c r="Y77">
        <f t="shared" si="67"/>
        <v>0</v>
      </c>
      <c r="AA77">
        <v>26914189</v>
      </c>
      <c r="AB77">
        <f t="shared" si="68"/>
        <v>11.05</v>
      </c>
      <c r="AC77">
        <f t="shared" si="56"/>
        <v>11.05</v>
      </c>
      <c r="AD77">
        <f t="shared" si="95"/>
        <v>0</v>
      </c>
      <c r="AE77">
        <f t="shared" si="96"/>
        <v>0</v>
      </c>
      <c r="AF77">
        <f t="shared" si="97"/>
        <v>0</v>
      </c>
      <c r="AG77">
        <f t="shared" si="69"/>
        <v>0</v>
      </c>
      <c r="AH77">
        <f t="shared" si="98"/>
        <v>0</v>
      </c>
      <c r="AI77">
        <f t="shared" si="99"/>
        <v>0</v>
      </c>
      <c r="AJ77">
        <f t="shared" si="70"/>
        <v>0</v>
      </c>
      <c r="AK77">
        <v>11.05</v>
      </c>
      <c r="AL77">
        <v>11.05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106</v>
      </c>
      <c r="AU77">
        <v>54</v>
      </c>
      <c r="AV77">
        <v>1</v>
      </c>
      <c r="AW77">
        <v>1</v>
      </c>
      <c r="AZ77">
        <v>7.7</v>
      </c>
      <c r="BA77">
        <v>1</v>
      </c>
      <c r="BB77">
        <v>1</v>
      </c>
      <c r="BC77">
        <v>7.7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125</v>
      </c>
      <c r="BM77">
        <v>10001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118</v>
      </c>
      <c r="CA77">
        <v>63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71"/>
        <v>5730.47</v>
      </c>
      <c r="CQ77">
        <f t="shared" si="72"/>
        <v>85.085000000000008</v>
      </c>
      <c r="CR77">
        <f t="shared" si="73"/>
        <v>0</v>
      </c>
      <c r="CS77">
        <f t="shared" si="74"/>
        <v>0</v>
      </c>
      <c r="CT77">
        <f t="shared" si="75"/>
        <v>0</v>
      </c>
      <c r="CU77">
        <f t="shared" si="76"/>
        <v>0</v>
      </c>
      <c r="CV77">
        <f t="shared" si="77"/>
        <v>0</v>
      </c>
      <c r="CW77">
        <f t="shared" si="78"/>
        <v>0</v>
      </c>
      <c r="CX77">
        <f t="shared" si="79"/>
        <v>0</v>
      </c>
      <c r="CY77">
        <f t="shared" si="80"/>
        <v>0</v>
      </c>
      <c r="CZ77">
        <f t="shared" si="81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92</v>
      </c>
      <c r="DW77" t="s">
        <v>92</v>
      </c>
      <c r="DX77">
        <v>1</v>
      </c>
      <c r="EE77">
        <v>26549060</v>
      </c>
      <c r="EF77">
        <v>2</v>
      </c>
      <c r="EG77" t="s">
        <v>42</v>
      </c>
      <c r="EH77">
        <v>0</v>
      </c>
      <c r="EI77" t="s">
        <v>6</v>
      </c>
      <c r="EJ77">
        <v>1</v>
      </c>
      <c r="EK77">
        <v>10001</v>
      </c>
      <c r="EL77" t="s">
        <v>111</v>
      </c>
      <c r="EM77" t="s">
        <v>112</v>
      </c>
      <c r="EO77" t="s">
        <v>6</v>
      </c>
      <c r="EQ77">
        <v>0</v>
      </c>
      <c r="ER77">
        <v>11.05</v>
      </c>
      <c r="ES77">
        <v>11.05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2"/>
        <v>0</v>
      </c>
      <c r="FS77">
        <v>0</v>
      </c>
      <c r="FT77" t="s">
        <v>45</v>
      </c>
      <c r="FU77" t="s">
        <v>46</v>
      </c>
      <c r="FX77">
        <v>106.2</v>
      </c>
      <c r="FY77">
        <v>53.55</v>
      </c>
      <c r="GA77" t="s">
        <v>6</v>
      </c>
      <c r="GD77">
        <v>0</v>
      </c>
      <c r="GF77">
        <v>1736106746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3"/>
        <v>0</v>
      </c>
      <c r="GM77">
        <f t="shared" si="84"/>
        <v>5730.47</v>
      </c>
      <c r="GN77">
        <f t="shared" si="85"/>
        <v>5730.47</v>
      </c>
      <c r="GO77">
        <f t="shared" si="86"/>
        <v>0</v>
      </c>
      <c r="GP77">
        <f t="shared" si="87"/>
        <v>0</v>
      </c>
      <c r="GR77">
        <v>0</v>
      </c>
      <c r="GS77">
        <v>3</v>
      </c>
      <c r="GT77">
        <v>0</v>
      </c>
      <c r="GU77" t="s">
        <v>6</v>
      </c>
      <c r="GV77">
        <f t="shared" si="88"/>
        <v>0</v>
      </c>
      <c r="GW77">
        <v>1</v>
      </c>
      <c r="GX77">
        <f t="shared" si="89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142</v>
      </c>
      <c r="D78" s="2"/>
      <c r="E78" s="2" t="s">
        <v>126</v>
      </c>
      <c r="F78" s="2" t="s">
        <v>127</v>
      </c>
      <c r="G78" s="2" t="s">
        <v>128</v>
      </c>
      <c r="H78" s="2" t="s">
        <v>120</v>
      </c>
      <c r="I78" s="2">
        <f>I70*J78</f>
        <v>38.1</v>
      </c>
      <c r="J78" s="2">
        <v>254.00000000000003</v>
      </c>
      <c r="K78" s="2"/>
      <c r="L78" s="2"/>
      <c r="M78" s="2"/>
      <c r="N78" s="2"/>
      <c r="O78" s="2">
        <f t="shared" si="57"/>
        <v>261.37</v>
      </c>
      <c r="P78" s="2">
        <f t="shared" si="58"/>
        <v>261.37</v>
      </c>
      <c r="Q78" s="2">
        <f t="shared" si="59"/>
        <v>0</v>
      </c>
      <c r="R78" s="2">
        <f t="shared" si="60"/>
        <v>0</v>
      </c>
      <c r="S78" s="2">
        <f t="shared" si="61"/>
        <v>0</v>
      </c>
      <c r="T78" s="2">
        <f t="shared" si="62"/>
        <v>0</v>
      </c>
      <c r="U78" s="2">
        <f t="shared" si="63"/>
        <v>0</v>
      </c>
      <c r="V78" s="2">
        <f t="shared" si="64"/>
        <v>0</v>
      </c>
      <c r="W78" s="2">
        <f t="shared" si="65"/>
        <v>0</v>
      </c>
      <c r="X78" s="2">
        <f t="shared" si="66"/>
        <v>0</v>
      </c>
      <c r="Y78" s="2">
        <f t="shared" si="67"/>
        <v>0</v>
      </c>
      <c r="Z78" s="2"/>
      <c r="AA78" s="2">
        <v>26914188</v>
      </c>
      <c r="AB78" s="2">
        <f t="shared" si="68"/>
        <v>6.86</v>
      </c>
      <c r="AC78" s="2">
        <f t="shared" si="56"/>
        <v>6.86</v>
      </c>
      <c r="AD78" s="2">
        <f t="shared" si="95"/>
        <v>0</v>
      </c>
      <c r="AE78" s="2">
        <f t="shared" si="96"/>
        <v>0</v>
      </c>
      <c r="AF78" s="2">
        <f t="shared" si="97"/>
        <v>0</v>
      </c>
      <c r="AG78" s="2">
        <f t="shared" si="69"/>
        <v>0</v>
      </c>
      <c r="AH78" s="2">
        <f t="shared" si="98"/>
        <v>0</v>
      </c>
      <c r="AI78" s="2">
        <f t="shared" si="99"/>
        <v>0</v>
      </c>
      <c r="AJ78" s="2">
        <f t="shared" si="70"/>
        <v>0</v>
      </c>
      <c r="AK78" s="2">
        <v>6.86</v>
      </c>
      <c r="AL78" s="2">
        <v>6.86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106</v>
      </c>
      <c r="AU78" s="2">
        <v>54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129</v>
      </c>
      <c r="BK78" s="2"/>
      <c r="BL78" s="2"/>
      <c r="BM78" s="2">
        <v>10001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118</v>
      </c>
      <c r="CA78" s="2">
        <v>63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1"/>
        <v>261.37</v>
      </c>
      <c r="CQ78" s="2">
        <f t="shared" si="72"/>
        <v>6.86</v>
      </c>
      <c r="CR78" s="2">
        <f t="shared" si="73"/>
        <v>0</v>
      </c>
      <c r="CS78" s="2">
        <f t="shared" si="74"/>
        <v>0</v>
      </c>
      <c r="CT78" s="2">
        <f t="shared" si="75"/>
        <v>0</v>
      </c>
      <c r="CU78" s="2">
        <f t="shared" si="76"/>
        <v>0</v>
      </c>
      <c r="CV78" s="2">
        <f t="shared" si="77"/>
        <v>0</v>
      </c>
      <c r="CW78" s="2">
        <f t="shared" si="78"/>
        <v>0</v>
      </c>
      <c r="CX78" s="2">
        <f t="shared" si="79"/>
        <v>0</v>
      </c>
      <c r="CY78" s="2">
        <f t="shared" si="80"/>
        <v>0</v>
      </c>
      <c r="CZ78" s="2">
        <f t="shared" si="81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120</v>
      </c>
      <c r="DW78" s="2" t="s">
        <v>120</v>
      </c>
      <c r="DX78" s="2">
        <v>1</v>
      </c>
      <c r="DY78" s="2"/>
      <c r="DZ78" s="2"/>
      <c r="EA78" s="2"/>
      <c r="EB78" s="2"/>
      <c r="EC78" s="2"/>
      <c r="ED78" s="2"/>
      <c r="EE78" s="2">
        <v>26549060</v>
      </c>
      <c r="EF78" s="2">
        <v>2</v>
      </c>
      <c r="EG78" s="2" t="s">
        <v>42</v>
      </c>
      <c r="EH78" s="2">
        <v>0</v>
      </c>
      <c r="EI78" s="2" t="s">
        <v>6</v>
      </c>
      <c r="EJ78" s="2">
        <v>1</v>
      </c>
      <c r="EK78" s="2">
        <v>10001</v>
      </c>
      <c r="EL78" s="2" t="s">
        <v>111</v>
      </c>
      <c r="EM78" s="2" t="s">
        <v>112</v>
      </c>
      <c r="EN78" s="2"/>
      <c r="EO78" s="2" t="s">
        <v>6</v>
      </c>
      <c r="EP78" s="2"/>
      <c r="EQ78" s="2">
        <v>0</v>
      </c>
      <c r="ER78" s="2">
        <v>6.86</v>
      </c>
      <c r="ES78" s="2">
        <v>6.86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2"/>
        <v>0</v>
      </c>
      <c r="FS78" s="2">
        <v>0</v>
      </c>
      <c r="FT78" s="2" t="s">
        <v>45</v>
      </c>
      <c r="FU78" s="2" t="s">
        <v>46</v>
      </c>
      <c r="FV78" s="2"/>
      <c r="FW78" s="2"/>
      <c r="FX78" s="2">
        <v>106.2</v>
      </c>
      <c r="FY78" s="2">
        <v>53.55</v>
      </c>
      <c r="FZ78" s="2"/>
      <c r="GA78" s="2" t="s">
        <v>6</v>
      </c>
      <c r="GB78" s="2"/>
      <c r="GC78" s="2"/>
      <c r="GD78" s="2">
        <v>0</v>
      </c>
      <c r="GE78" s="2"/>
      <c r="GF78" s="2">
        <v>-1697320922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3"/>
        <v>0</v>
      </c>
      <c r="GM78" s="2">
        <f t="shared" si="84"/>
        <v>261.37</v>
      </c>
      <c r="GN78" s="2">
        <f t="shared" si="85"/>
        <v>261.37</v>
      </c>
      <c r="GO78" s="2">
        <f t="shared" si="86"/>
        <v>0</v>
      </c>
      <c r="GP78" s="2">
        <f t="shared" si="87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88"/>
        <v>0</v>
      </c>
      <c r="GW78" s="2">
        <v>1</v>
      </c>
      <c r="GX78" s="2">
        <f t="shared" si="89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161</v>
      </c>
      <c r="E79" t="s">
        <v>126</v>
      </c>
      <c r="F79" t="s">
        <v>127</v>
      </c>
      <c r="G79" t="s">
        <v>128</v>
      </c>
      <c r="H79" t="s">
        <v>120</v>
      </c>
      <c r="I79">
        <f>I71*J79</f>
        <v>38.1</v>
      </c>
      <c r="J79">
        <v>254.00000000000003</v>
      </c>
      <c r="O79">
        <f t="shared" si="57"/>
        <v>2012.52</v>
      </c>
      <c r="P79">
        <f t="shared" si="58"/>
        <v>2012.52</v>
      </c>
      <c r="Q79">
        <f t="shared" si="59"/>
        <v>0</v>
      </c>
      <c r="R79">
        <f t="shared" si="60"/>
        <v>0</v>
      </c>
      <c r="S79">
        <f t="shared" si="61"/>
        <v>0</v>
      </c>
      <c r="T79">
        <f t="shared" si="62"/>
        <v>0</v>
      </c>
      <c r="U79">
        <f t="shared" si="63"/>
        <v>0</v>
      </c>
      <c r="V79">
        <f t="shared" si="64"/>
        <v>0</v>
      </c>
      <c r="W79">
        <f t="shared" si="65"/>
        <v>0</v>
      </c>
      <c r="X79">
        <f t="shared" si="66"/>
        <v>0</v>
      </c>
      <c r="Y79">
        <f t="shared" si="67"/>
        <v>0</v>
      </c>
      <c r="AA79">
        <v>26914189</v>
      </c>
      <c r="AB79">
        <f t="shared" si="68"/>
        <v>6.86</v>
      </c>
      <c r="AC79">
        <f t="shared" si="56"/>
        <v>6.86</v>
      </c>
      <c r="AD79">
        <f t="shared" si="95"/>
        <v>0</v>
      </c>
      <c r="AE79">
        <f t="shared" si="96"/>
        <v>0</v>
      </c>
      <c r="AF79">
        <f t="shared" si="97"/>
        <v>0</v>
      </c>
      <c r="AG79">
        <f t="shared" si="69"/>
        <v>0</v>
      </c>
      <c r="AH79">
        <f t="shared" si="98"/>
        <v>0</v>
      </c>
      <c r="AI79">
        <f t="shared" si="99"/>
        <v>0</v>
      </c>
      <c r="AJ79">
        <f t="shared" si="70"/>
        <v>0</v>
      </c>
      <c r="AK79">
        <v>6.86</v>
      </c>
      <c r="AL79">
        <v>6.86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7.7</v>
      </c>
      <c r="BA79">
        <v>1</v>
      </c>
      <c r="BB79">
        <v>1</v>
      </c>
      <c r="BC79">
        <v>7.7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129</v>
      </c>
      <c r="BM79">
        <v>10001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118</v>
      </c>
      <c r="CA79">
        <v>63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1"/>
        <v>2012.52</v>
      </c>
      <c r="CQ79">
        <f t="shared" si="72"/>
        <v>52.822000000000003</v>
      </c>
      <c r="CR79">
        <f t="shared" si="73"/>
        <v>0</v>
      </c>
      <c r="CS79">
        <f t="shared" si="74"/>
        <v>0</v>
      </c>
      <c r="CT79">
        <f t="shared" si="75"/>
        <v>0</v>
      </c>
      <c r="CU79">
        <f t="shared" si="76"/>
        <v>0</v>
      </c>
      <c r="CV79">
        <f t="shared" si="77"/>
        <v>0</v>
      </c>
      <c r="CW79">
        <f t="shared" si="78"/>
        <v>0</v>
      </c>
      <c r="CX79">
        <f t="shared" si="79"/>
        <v>0</v>
      </c>
      <c r="CY79">
        <f t="shared" si="80"/>
        <v>0</v>
      </c>
      <c r="CZ79">
        <f t="shared" si="81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120</v>
      </c>
      <c r="DW79" t="s">
        <v>120</v>
      </c>
      <c r="DX79">
        <v>1</v>
      </c>
      <c r="EE79">
        <v>26549060</v>
      </c>
      <c r="EF79">
        <v>2</v>
      </c>
      <c r="EG79" t="s">
        <v>42</v>
      </c>
      <c r="EH79">
        <v>0</v>
      </c>
      <c r="EI79" t="s">
        <v>6</v>
      </c>
      <c r="EJ79">
        <v>1</v>
      </c>
      <c r="EK79">
        <v>10001</v>
      </c>
      <c r="EL79" t="s">
        <v>111</v>
      </c>
      <c r="EM79" t="s">
        <v>112</v>
      </c>
      <c r="EO79" t="s">
        <v>6</v>
      </c>
      <c r="EQ79">
        <v>0</v>
      </c>
      <c r="ER79">
        <v>6.86</v>
      </c>
      <c r="ES79">
        <v>6.86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2"/>
        <v>0</v>
      </c>
      <c r="FS79">
        <v>0</v>
      </c>
      <c r="FT79" t="s">
        <v>45</v>
      </c>
      <c r="FU79" t="s">
        <v>46</v>
      </c>
      <c r="FX79">
        <v>106.2</v>
      </c>
      <c r="FY79">
        <v>53.55</v>
      </c>
      <c r="GA79" t="s">
        <v>6</v>
      </c>
      <c r="GD79">
        <v>0</v>
      </c>
      <c r="GF79">
        <v>-1697320922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3"/>
        <v>0</v>
      </c>
      <c r="GM79">
        <f t="shared" si="84"/>
        <v>2012.52</v>
      </c>
      <c r="GN79">
        <f t="shared" si="85"/>
        <v>2012.52</v>
      </c>
      <c r="GO79">
        <f t="shared" si="86"/>
        <v>0</v>
      </c>
      <c r="GP79">
        <f t="shared" si="87"/>
        <v>0</v>
      </c>
      <c r="GR79">
        <v>0</v>
      </c>
      <c r="GS79">
        <v>3</v>
      </c>
      <c r="GT79">
        <v>0</v>
      </c>
      <c r="GU79" t="s">
        <v>6</v>
      </c>
      <c r="GV79">
        <f t="shared" si="88"/>
        <v>0</v>
      </c>
      <c r="GW79">
        <v>1</v>
      </c>
      <c r="GX79">
        <f t="shared" si="89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134</v>
      </c>
      <c r="D80" s="2"/>
      <c r="E80" s="2" t="s">
        <v>130</v>
      </c>
      <c r="F80" s="2" t="s">
        <v>131</v>
      </c>
      <c r="G80" s="2" t="s">
        <v>132</v>
      </c>
      <c r="H80" s="2" t="s">
        <v>120</v>
      </c>
      <c r="I80" s="2">
        <f>I70*J80</f>
        <v>17.55</v>
      </c>
      <c r="J80" s="2">
        <v>117.00000000000001</v>
      </c>
      <c r="K80" s="2"/>
      <c r="L80" s="2"/>
      <c r="M80" s="2"/>
      <c r="N80" s="2"/>
      <c r="O80" s="2">
        <f t="shared" si="57"/>
        <v>10.53</v>
      </c>
      <c r="P80" s="2">
        <f t="shared" si="58"/>
        <v>10.53</v>
      </c>
      <c r="Q80" s="2">
        <f t="shared" si="59"/>
        <v>0</v>
      </c>
      <c r="R80" s="2">
        <f t="shared" si="60"/>
        <v>0</v>
      </c>
      <c r="S80" s="2">
        <f t="shared" si="61"/>
        <v>0</v>
      </c>
      <c r="T80" s="2">
        <f t="shared" si="62"/>
        <v>0</v>
      </c>
      <c r="U80" s="2">
        <f t="shared" si="63"/>
        <v>0</v>
      </c>
      <c r="V80" s="2">
        <f t="shared" si="64"/>
        <v>0</v>
      </c>
      <c r="W80" s="2">
        <f t="shared" si="65"/>
        <v>0</v>
      </c>
      <c r="X80" s="2">
        <f t="shared" si="66"/>
        <v>0</v>
      </c>
      <c r="Y80" s="2">
        <f t="shared" si="67"/>
        <v>0</v>
      </c>
      <c r="Z80" s="2"/>
      <c r="AA80" s="2">
        <v>26914188</v>
      </c>
      <c r="AB80" s="2">
        <f t="shared" si="68"/>
        <v>0.6</v>
      </c>
      <c r="AC80" s="2">
        <f t="shared" ref="AC80:AC105" si="100">ROUND((ES80),6)</f>
        <v>0.6</v>
      </c>
      <c r="AD80" s="2">
        <f t="shared" si="95"/>
        <v>0</v>
      </c>
      <c r="AE80" s="2">
        <f t="shared" si="96"/>
        <v>0</v>
      </c>
      <c r="AF80" s="2">
        <f t="shared" si="97"/>
        <v>0</v>
      </c>
      <c r="AG80" s="2">
        <f t="shared" si="69"/>
        <v>0</v>
      </c>
      <c r="AH80" s="2">
        <f t="shared" si="98"/>
        <v>0</v>
      </c>
      <c r="AI80" s="2">
        <f t="shared" si="99"/>
        <v>0</v>
      </c>
      <c r="AJ80" s="2">
        <f t="shared" si="70"/>
        <v>0</v>
      </c>
      <c r="AK80" s="2">
        <v>0.6</v>
      </c>
      <c r="AL80" s="2">
        <v>0.6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106</v>
      </c>
      <c r="AU80" s="2">
        <v>54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133</v>
      </c>
      <c r="BK80" s="2"/>
      <c r="BL80" s="2"/>
      <c r="BM80" s="2">
        <v>10001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118</v>
      </c>
      <c r="CA80" s="2">
        <v>63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71"/>
        <v>10.53</v>
      </c>
      <c r="CQ80" s="2">
        <f t="shared" si="72"/>
        <v>0.6</v>
      </c>
      <c r="CR80" s="2">
        <f t="shared" si="73"/>
        <v>0</v>
      </c>
      <c r="CS80" s="2">
        <f t="shared" si="74"/>
        <v>0</v>
      </c>
      <c r="CT80" s="2">
        <f t="shared" si="75"/>
        <v>0</v>
      </c>
      <c r="CU80" s="2">
        <f t="shared" si="76"/>
        <v>0</v>
      </c>
      <c r="CV80" s="2">
        <f t="shared" si="77"/>
        <v>0</v>
      </c>
      <c r="CW80" s="2">
        <f t="shared" si="78"/>
        <v>0</v>
      </c>
      <c r="CX80" s="2">
        <f t="shared" si="79"/>
        <v>0</v>
      </c>
      <c r="CY80" s="2">
        <f t="shared" si="80"/>
        <v>0</v>
      </c>
      <c r="CZ80" s="2">
        <f t="shared" si="81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120</v>
      </c>
      <c r="DW80" s="2" t="s">
        <v>120</v>
      </c>
      <c r="DX80" s="2">
        <v>1</v>
      </c>
      <c r="DY80" s="2"/>
      <c r="DZ80" s="2"/>
      <c r="EA80" s="2"/>
      <c r="EB80" s="2"/>
      <c r="EC80" s="2"/>
      <c r="ED80" s="2"/>
      <c r="EE80" s="2">
        <v>26549060</v>
      </c>
      <c r="EF80" s="2">
        <v>2</v>
      </c>
      <c r="EG80" s="2" t="s">
        <v>42</v>
      </c>
      <c r="EH80" s="2">
        <v>0</v>
      </c>
      <c r="EI80" s="2" t="s">
        <v>6</v>
      </c>
      <c r="EJ80" s="2">
        <v>1</v>
      </c>
      <c r="EK80" s="2">
        <v>10001</v>
      </c>
      <c r="EL80" s="2" t="s">
        <v>111</v>
      </c>
      <c r="EM80" s="2" t="s">
        <v>112</v>
      </c>
      <c r="EN80" s="2"/>
      <c r="EO80" s="2" t="s">
        <v>6</v>
      </c>
      <c r="EP80" s="2"/>
      <c r="EQ80" s="2">
        <v>0</v>
      </c>
      <c r="ER80" s="2">
        <v>0.6</v>
      </c>
      <c r="ES80" s="2">
        <v>0.6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2"/>
        <v>0</v>
      </c>
      <c r="FS80" s="2">
        <v>0</v>
      </c>
      <c r="FT80" s="2" t="s">
        <v>45</v>
      </c>
      <c r="FU80" s="2" t="s">
        <v>46</v>
      </c>
      <c r="FV80" s="2"/>
      <c r="FW80" s="2"/>
      <c r="FX80" s="2">
        <v>106.2</v>
      </c>
      <c r="FY80" s="2">
        <v>53.55</v>
      </c>
      <c r="FZ80" s="2"/>
      <c r="GA80" s="2" t="s">
        <v>6</v>
      </c>
      <c r="GB80" s="2"/>
      <c r="GC80" s="2"/>
      <c r="GD80" s="2">
        <v>0</v>
      </c>
      <c r="GE80" s="2"/>
      <c r="GF80" s="2">
        <v>207034482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3"/>
        <v>0</v>
      </c>
      <c r="GM80" s="2">
        <f t="shared" si="84"/>
        <v>10.53</v>
      </c>
      <c r="GN80" s="2">
        <f t="shared" si="85"/>
        <v>10.53</v>
      </c>
      <c r="GO80" s="2">
        <f t="shared" si="86"/>
        <v>0</v>
      </c>
      <c r="GP80" s="2">
        <f t="shared" si="87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88"/>
        <v>0</v>
      </c>
      <c r="GW80" s="2">
        <v>1</v>
      </c>
      <c r="GX80" s="2">
        <f t="shared" si="89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153</v>
      </c>
      <c r="E81" t="s">
        <v>130</v>
      </c>
      <c r="F81" t="s">
        <v>131</v>
      </c>
      <c r="G81" t="s">
        <v>132</v>
      </c>
      <c r="H81" t="s">
        <v>120</v>
      </c>
      <c r="I81">
        <f>I71*J81</f>
        <v>17.55</v>
      </c>
      <c r="J81">
        <v>117.00000000000001</v>
      </c>
      <c r="O81">
        <f t="shared" si="57"/>
        <v>81.08</v>
      </c>
      <c r="P81">
        <f t="shared" si="58"/>
        <v>81.08</v>
      </c>
      <c r="Q81">
        <f t="shared" si="59"/>
        <v>0</v>
      </c>
      <c r="R81">
        <f t="shared" si="60"/>
        <v>0</v>
      </c>
      <c r="S81">
        <f t="shared" si="61"/>
        <v>0</v>
      </c>
      <c r="T81">
        <f t="shared" si="62"/>
        <v>0</v>
      </c>
      <c r="U81">
        <f t="shared" si="63"/>
        <v>0</v>
      </c>
      <c r="V81">
        <f t="shared" si="64"/>
        <v>0</v>
      </c>
      <c r="W81">
        <f t="shared" si="65"/>
        <v>0</v>
      </c>
      <c r="X81">
        <f t="shared" si="66"/>
        <v>0</v>
      </c>
      <c r="Y81">
        <f t="shared" si="67"/>
        <v>0</v>
      </c>
      <c r="AA81">
        <v>26914189</v>
      </c>
      <c r="AB81">
        <f t="shared" si="68"/>
        <v>0.6</v>
      </c>
      <c r="AC81">
        <f t="shared" si="100"/>
        <v>0.6</v>
      </c>
      <c r="AD81">
        <f t="shared" si="95"/>
        <v>0</v>
      </c>
      <c r="AE81">
        <f t="shared" si="96"/>
        <v>0</v>
      </c>
      <c r="AF81">
        <f t="shared" si="97"/>
        <v>0</v>
      </c>
      <c r="AG81">
        <f t="shared" si="69"/>
        <v>0</v>
      </c>
      <c r="AH81">
        <f t="shared" si="98"/>
        <v>0</v>
      </c>
      <c r="AI81">
        <f t="shared" si="99"/>
        <v>0</v>
      </c>
      <c r="AJ81">
        <f t="shared" si="70"/>
        <v>0</v>
      </c>
      <c r="AK81">
        <v>0.6</v>
      </c>
      <c r="AL81">
        <v>0.6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7.7</v>
      </c>
      <c r="BA81">
        <v>1</v>
      </c>
      <c r="BB81">
        <v>1</v>
      </c>
      <c r="BC81">
        <v>7.7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133</v>
      </c>
      <c r="BM81">
        <v>10001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118</v>
      </c>
      <c r="CA81">
        <v>63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71"/>
        <v>81.08</v>
      </c>
      <c r="CQ81">
        <f t="shared" si="72"/>
        <v>4.62</v>
      </c>
      <c r="CR81">
        <f t="shared" si="73"/>
        <v>0</v>
      </c>
      <c r="CS81">
        <f t="shared" si="74"/>
        <v>0</v>
      </c>
      <c r="CT81">
        <f t="shared" si="75"/>
        <v>0</v>
      </c>
      <c r="CU81">
        <f t="shared" si="76"/>
        <v>0</v>
      </c>
      <c r="CV81">
        <f t="shared" si="77"/>
        <v>0</v>
      </c>
      <c r="CW81">
        <f t="shared" si="78"/>
        <v>0</v>
      </c>
      <c r="CX81">
        <f t="shared" si="79"/>
        <v>0</v>
      </c>
      <c r="CY81">
        <f t="shared" si="80"/>
        <v>0</v>
      </c>
      <c r="CZ81">
        <f t="shared" si="81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120</v>
      </c>
      <c r="DW81" t="s">
        <v>120</v>
      </c>
      <c r="DX81">
        <v>1</v>
      </c>
      <c r="EE81">
        <v>26549060</v>
      </c>
      <c r="EF81">
        <v>2</v>
      </c>
      <c r="EG81" t="s">
        <v>42</v>
      </c>
      <c r="EH81">
        <v>0</v>
      </c>
      <c r="EI81" t="s">
        <v>6</v>
      </c>
      <c r="EJ81">
        <v>1</v>
      </c>
      <c r="EK81">
        <v>10001</v>
      </c>
      <c r="EL81" t="s">
        <v>111</v>
      </c>
      <c r="EM81" t="s">
        <v>112</v>
      </c>
      <c r="EO81" t="s">
        <v>6</v>
      </c>
      <c r="EQ81">
        <v>0</v>
      </c>
      <c r="ER81">
        <v>0.6</v>
      </c>
      <c r="ES81">
        <v>0.6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2"/>
        <v>0</v>
      </c>
      <c r="FS81">
        <v>0</v>
      </c>
      <c r="FT81" t="s">
        <v>45</v>
      </c>
      <c r="FU81" t="s">
        <v>46</v>
      </c>
      <c r="FX81">
        <v>106.2</v>
      </c>
      <c r="FY81">
        <v>53.55</v>
      </c>
      <c r="GA81" t="s">
        <v>6</v>
      </c>
      <c r="GD81">
        <v>0</v>
      </c>
      <c r="GF81">
        <v>207034482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3"/>
        <v>0</v>
      </c>
      <c r="GM81">
        <f t="shared" si="84"/>
        <v>81.08</v>
      </c>
      <c r="GN81">
        <f t="shared" si="85"/>
        <v>81.08</v>
      </c>
      <c r="GO81">
        <f t="shared" si="86"/>
        <v>0</v>
      </c>
      <c r="GP81">
        <f t="shared" si="87"/>
        <v>0</v>
      </c>
      <c r="GR81">
        <v>0</v>
      </c>
      <c r="GS81">
        <v>3</v>
      </c>
      <c r="GT81">
        <v>0</v>
      </c>
      <c r="GU81" t="s">
        <v>6</v>
      </c>
      <c r="GV81">
        <f t="shared" si="88"/>
        <v>0</v>
      </c>
      <c r="GW81">
        <v>1</v>
      </c>
      <c r="GX81">
        <f t="shared" si="89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ROW(SmtRes!A175)</f>
        <v>175</v>
      </c>
      <c r="D82" s="2">
        <f>ROW(EtalonRes!A172)</f>
        <v>172</v>
      </c>
      <c r="E82" s="2" t="s">
        <v>134</v>
      </c>
      <c r="F82" s="2" t="s">
        <v>135</v>
      </c>
      <c r="G82" s="2" t="s">
        <v>545</v>
      </c>
      <c r="H82" s="2" t="s">
        <v>24</v>
      </c>
      <c r="I82" s="2">
        <v>0.32600000000000001</v>
      </c>
      <c r="J82" s="2">
        <v>0</v>
      </c>
      <c r="K82" s="2"/>
      <c r="L82" s="2"/>
      <c r="M82" s="2"/>
      <c r="N82" s="2"/>
      <c r="O82" s="2">
        <f t="shared" si="57"/>
        <v>2193.0500000000002</v>
      </c>
      <c r="P82" s="2">
        <f t="shared" si="58"/>
        <v>2057.23</v>
      </c>
      <c r="Q82" s="2">
        <f t="shared" si="59"/>
        <v>7.15</v>
      </c>
      <c r="R82" s="2">
        <f t="shared" si="60"/>
        <v>2.0499999999999998</v>
      </c>
      <c r="S82" s="2">
        <f t="shared" si="61"/>
        <v>128.66999999999999</v>
      </c>
      <c r="T82" s="2">
        <f t="shared" si="62"/>
        <v>0</v>
      </c>
      <c r="U82" s="2">
        <f t="shared" si="63"/>
        <v>14.344000000000001</v>
      </c>
      <c r="V82" s="2">
        <f t="shared" si="64"/>
        <v>0.15648000000000001</v>
      </c>
      <c r="W82" s="2">
        <f t="shared" si="65"/>
        <v>0</v>
      </c>
      <c r="X82" s="2">
        <f t="shared" si="66"/>
        <v>107.19</v>
      </c>
      <c r="Y82" s="2">
        <f t="shared" si="67"/>
        <v>81.05</v>
      </c>
      <c r="Z82" s="2"/>
      <c r="AA82" s="2">
        <v>26914188</v>
      </c>
      <c r="AB82" s="2">
        <f t="shared" si="68"/>
        <v>6727.13</v>
      </c>
      <c r="AC82" s="2">
        <f t="shared" si="100"/>
        <v>6310.52</v>
      </c>
      <c r="AD82" s="2">
        <f t="shared" si="95"/>
        <v>21.93</v>
      </c>
      <c r="AE82" s="2">
        <f t="shared" si="96"/>
        <v>6.29</v>
      </c>
      <c r="AF82" s="2">
        <f t="shared" si="97"/>
        <v>394.68</v>
      </c>
      <c r="AG82" s="2">
        <f t="shared" si="69"/>
        <v>0</v>
      </c>
      <c r="AH82" s="2">
        <f t="shared" si="98"/>
        <v>44</v>
      </c>
      <c r="AI82" s="2">
        <f t="shared" si="99"/>
        <v>0.48</v>
      </c>
      <c r="AJ82" s="2">
        <f t="shared" si="70"/>
        <v>0</v>
      </c>
      <c r="AK82" s="2">
        <v>6727.13</v>
      </c>
      <c r="AL82" s="2">
        <v>6310.52</v>
      </c>
      <c r="AM82" s="2">
        <v>21.93</v>
      </c>
      <c r="AN82" s="2">
        <v>6.29</v>
      </c>
      <c r="AO82" s="2">
        <v>394.68</v>
      </c>
      <c r="AP82" s="2">
        <v>0</v>
      </c>
      <c r="AQ82" s="2">
        <v>44</v>
      </c>
      <c r="AR82" s="2">
        <v>0.48</v>
      </c>
      <c r="AS82" s="2">
        <v>0</v>
      </c>
      <c r="AT82" s="2">
        <v>82</v>
      </c>
      <c r="AU82" s="2">
        <v>62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136</v>
      </c>
      <c r="BK82" s="2"/>
      <c r="BL82" s="2"/>
      <c r="BM82" s="2">
        <v>56001</v>
      </c>
      <c r="BN82" s="2">
        <v>0</v>
      </c>
      <c r="BO82" s="2" t="s">
        <v>6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82</v>
      </c>
      <c r="CA82" s="2">
        <v>62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1"/>
        <v>2193.0500000000002</v>
      </c>
      <c r="CQ82" s="2">
        <f t="shared" si="72"/>
        <v>6310.52</v>
      </c>
      <c r="CR82" s="2">
        <f t="shared" si="73"/>
        <v>21.93</v>
      </c>
      <c r="CS82" s="2">
        <f t="shared" si="74"/>
        <v>6.29</v>
      </c>
      <c r="CT82" s="2">
        <f t="shared" si="75"/>
        <v>394.68</v>
      </c>
      <c r="CU82" s="2">
        <f t="shared" si="76"/>
        <v>0</v>
      </c>
      <c r="CV82" s="2">
        <f t="shared" si="77"/>
        <v>44</v>
      </c>
      <c r="CW82" s="2">
        <f t="shared" si="78"/>
        <v>0.48</v>
      </c>
      <c r="CX82" s="2">
        <f t="shared" si="79"/>
        <v>0</v>
      </c>
      <c r="CY82" s="2">
        <f t="shared" si="80"/>
        <v>107.1904</v>
      </c>
      <c r="CZ82" s="2">
        <f t="shared" si="81"/>
        <v>81.046400000000006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1009</v>
      </c>
      <c r="DV82" s="2" t="s">
        <v>24</v>
      </c>
      <c r="DW82" s="2" t="s">
        <v>24</v>
      </c>
      <c r="DX82" s="2">
        <v>1000</v>
      </c>
      <c r="DY82" s="2"/>
      <c r="DZ82" s="2"/>
      <c r="EA82" s="2"/>
      <c r="EB82" s="2"/>
      <c r="EC82" s="2"/>
      <c r="ED82" s="2"/>
      <c r="EE82" s="2">
        <v>26549138</v>
      </c>
      <c r="EF82" s="2">
        <v>6</v>
      </c>
      <c r="EG82" s="2" t="s">
        <v>18</v>
      </c>
      <c r="EH82" s="2">
        <v>0</v>
      </c>
      <c r="EI82" s="2" t="s">
        <v>6</v>
      </c>
      <c r="EJ82" s="2">
        <v>1</v>
      </c>
      <c r="EK82" s="2">
        <v>56001</v>
      </c>
      <c r="EL82" s="2" t="s">
        <v>137</v>
      </c>
      <c r="EM82" s="2" t="s">
        <v>138</v>
      </c>
      <c r="EN82" s="2"/>
      <c r="EO82" s="2" t="s">
        <v>6</v>
      </c>
      <c r="EP82" s="2"/>
      <c r="EQ82" s="2">
        <v>0</v>
      </c>
      <c r="ER82" s="2">
        <v>6727.13</v>
      </c>
      <c r="ES82" s="2">
        <v>6310.52</v>
      </c>
      <c r="ET82" s="2">
        <v>21.93</v>
      </c>
      <c r="EU82" s="2">
        <v>6.29</v>
      </c>
      <c r="EV82" s="2">
        <v>394.68</v>
      </c>
      <c r="EW82" s="2">
        <v>44</v>
      </c>
      <c r="EX82" s="2">
        <v>0.48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2"/>
        <v>0</v>
      </c>
      <c r="FS82" s="2">
        <v>0</v>
      </c>
      <c r="FT82" s="2"/>
      <c r="FU82" s="2"/>
      <c r="FV82" s="2"/>
      <c r="FW82" s="2"/>
      <c r="FX82" s="2">
        <v>82</v>
      </c>
      <c r="FY82" s="2">
        <v>62</v>
      </c>
      <c r="FZ82" s="2"/>
      <c r="GA82" s="2" t="s">
        <v>6</v>
      </c>
      <c r="GB82" s="2"/>
      <c r="GC82" s="2"/>
      <c r="GD82" s="2">
        <v>0</v>
      </c>
      <c r="GE82" s="2"/>
      <c r="GF82" s="2">
        <v>2120163166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3"/>
        <v>0</v>
      </c>
      <c r="GM82" s="2">
        <f t="shared" si="84"/>
        <v>2381.29</v>
      </c>
      <c r="GN82" s="2">
        <f t="shared" si="85"/>
        <v>2381.29</v>
      </c>
      <c r="GO82" s="2">
        <f t="shared" si="86"/>
        <v>0</v>
      </c>
      <c r="GP82" s="2">
        <f t="shared" si="87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88"/>
        <v>0</v>
      </c>
      <c r="GW82" s="2">
        <v>1</v>
      </c>
      <c r="GX82" s="2">
        <f t="shared" si="89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ROW(SmtRes!A184)</f>
        <v>184</v>
      </c>
      <c r="D83">
        <f>ROW(EtalonRes!A180)</f>
        <v>180</v>
      </c>
      <c r="E83" t="s">
        <v>134</v>
      </c>
      <c r="F83" t="s">
        <v>135</v>
      </c>
      <c r="G83" t="s">
        <v>545</v>
      </c>
      <c r="H83" t="s">
        <v>24</v>
      </c>
      <c r="I83">
        <v>0.32600000000000001</v>
      </c>
      <c r="J83">
        <v>0</v>
      </c>
      <c r="O83">
        <f t="shared" si="57"/>
        <v>16886.45</v>
      </c>
      <c r="P83">
        <f t="shared" si="58"/>
        <v>15840.67</v>
      </c>
      <c r="Q83">
        <f t="shared" si="59"/>
        <v>55.05</v>
      </c>
      <c r="R83">
        <f t="shared" si="60"/>
        <v>15.79</v>
      </c>
      <c r="S83">
        <f t="shared" si="61"/>
        <v>990.73</v>
      </c>
      <c r="T83">
        <f t="shared" si="62"/>
        <v>0</v>
      </c>
      <c r="U83">
        <f t="shared" si="63"/>
        <v>14.344000000000001</v>
      </c>
      <c r="V83">
        <f t="shared" si="64"/>
        <v>0.15648000000000001</v>
      </c>
      <c r="W83">
        <f t="shared" si="65"/>
        <v>0</v>
      </c>
      <c r="X83">
        <f t="shared" si="66"/>
        <v>825.35</v>
      </c>
      <c r="Y83">
        <f t="shared" si="67"/>
        <v>624.04</v>
      </c>
      <c r="AA83">
        <v>26914189</v>
      </c>
      <c r="AB83">
        <f t="shared" si="68"/>
        <v>6727.13</v>
      </c>
      <c r="AC83">
        <f t="shared" si="100"/>
        <v>6310.52</v>
      </c>
      <c r="AD83">
        <f t="shared" si="95"/>
        <v>21.93</v>
      </c>
      <c r="AE83">
        <f t="shared" si="96"/>
        <v>6.29</v>
      </c>
      <c r="AF83">
        <f t="shared" si="97"/>
        <v>394.68</v>
      </c>
      <c r="AG83">
        <f t="shared" si="69"/>
        <v>0</v>
      </c>
      <c r="AH83">
        <f t="shared" si="98"/>
        <v>44</v>
      </c>
      <c r="AI83">
        <f t="shared" si="99"/>
        <v>0.48</v>
      </c>
      <c r="AJ83">
        <f t="shared" si="70"/>
        <v>0</v>
      </c>
      <c r="AK83">
        <v>6727.13</v>
      </c>
      <c r="AL83">
        <v>6310.52</v>
      </c>
      <c r="AM83">
        <v>21.93</v>
      </c>
      <c r="AN83">
        <v>6.29</v>
      </c>
      <c r="AO83">
        <v>394.68</v>
      </c>
      <c r="AP83">
        <v>0</v>
      </c>
      <c r="AQ83">
        <v>44</v>
      </c>
      <c r="AR83">
        <v>0.48</v>
      </c>
      <c r="AS83">
        <v>0</v>
      </c>
      <c r="AT83">
        <v>82</v>
      </c>
      <c r="AU83">
        <v>62</v>
      </c>
      <c r="AV83">
        <v>1</v>
      </c>
      <c r="AW83">
        <v>1</v>
      </c>
      <c r="AZ83">
        <v>7.7</v>
      </c>
      <c r="BA83">
        <v>7.7</v>
      </c>
      <c r="BB83">
        <v>7.7</v>
      </c>
      <c r="BC83">
        <v>7.7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136</v>
      </c>
      <c r="BM83">
        <v>56001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7.7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82</v>
      </c>
      <c r="CA83">
        <v>62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1"/>
        <v>16886.45</v>
      </c>
      <c r="CQ83">
        <f t="shared" si="72"/>
        <v>48591.004000000008</v>
      </c>
      <c r="CR83">
        <f t="shared" si="73"/>
        <v>168.86099999999999</v>
      </c>
      <c r="CS83">
        <f t="shared" si="74"/>
        <v>48.433</v>
      </c>
      <c r="CT83">
        <f t="shared" si="75"/>
        <v>3039.0360000000001</v>
      </c>
      <c r="CU83">
        <f t="shared" si="76"/>
        <v>0</v>
      </c>
      <c r="CV83">
        <f t="shared" si="77"/>
        <v>44</v>
      </c>
      <c r="CW83">
        <f t="shared" si="78"/>
        <v>0.48</v>
      </c>
      <c r="CX83">
        <f t="shared" si="79"/>
        <v>0</v>
      </c>
      <c r="CY83">
        <f t="shared" si="80"/>
        <v>825.34640000000002</v>
      </c>
      <c r="CZ83">
        <f t="shared" si="81"/>
        <v>624.04239999999993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24</v>
      </c>
      <c r="DW83" t="s">
        <v>24</v>
      </c>
      <c r="DX83">
        <v>1000</v>
      </c>
      <c r="EE83">
        <v>26549138</v>
      </c>
      <c r="EF83">
        <v>6</v>
      </c>
      <c r="EG83" t="s">
        <v>18</v>
      </c>
      <c r="EH83">
        <v>0</v>
      </c>
      <c r="EI83" t="s">
        <v>6</v>
      </c>
      <c r="EJ83">
        <v>1</v>
      </c>
      <c r="EK83">
        <v>56001</v>
      </c>
      <c r="EL83" t="s">
        <v>137</v>
      </c>
      <c r="EM83" t="s">
        <v>138</v>
      </c>
      <c r="EO83" t="s">
        <v>6</v>
      </c>
      <c r="EQ83">
        <v>0</v>
      </c>
      <c r="ER83">
        <v>6727.13</v>
      </c>
      <c r="ES83">
        <v>6310.52</v>
      </c>
      <c r="ET83">
        <v>21.93</v>
      </c>
      <c r="EU83">
        <v>6.29</v>
      </c>
      <c r="EV83">
        <v>394.68</v>
      </c>
      <c r="EW83">
        <v>44</v>
      </c>
      <c r="EX83">
        <v>0.48</v>
      </c>
      <c r="EY83">
        <v>0</v>
      </c>
      <c r="FQ83">
        <v>0</v>
      </c>
      <c r="FR83">
        <f t="shared" si="82"/>
        <v>0</v>
      </c>
      <c r="FS83">
        <v>0</v>
      </c>
      <c r="FX83">
        <v>82</v>
      </c>
      <c r="FY83">
        <v>62</v>
      </c>
      <c r="GA83" t="s">
        <v>6</v>
      </c>
      <c r="GD83">
        <v>0</v>
      </c>
      <c r="GF83">
        <v>2120163166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3"/>
        <v>0</v>
      </c>
      <c r="GM83">
        <f t="shared" si="84"/>
        <v>18335.84</v>
      </c>
      <c r="GN83">
        <f t="shared" si="85"/>
        <v>18335.84</v>
      </c>
      <c r="GO83">
        <f t="shared" si="86"/>
        <v>0</v>
      </c>
      <c r="GP83">
        <f t="shared" si="87"/>
        <v>0</v>
      </c>
      <c r="GR83">
        <v>0</v>
      </c>
      <c r="GS83">
        <v>3</v>
      </c>
      <c r="GT83">
        <v>0</v>
      </c>
      <c r="GU83" t="s">
        <v>6</v>
      </c>
      <c r="GV83">
        <f t="shared" si="88"/>
        <v>0</v>
      </c>
      <c r="GW83">
        <v>1</v>
      </c>
      <c r="GX83">
        <f t="shared" si="89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174</v>
      </c>
      <c r="D84" s="2"/>
      <c r="E84" s="2" t="s">
        <v>139</v>
      </c>
      <c r="F84" s="2" t="s">
        <v>140</v>
      </c>
      <c r="G84" s="2" t="s">
        <v>141</v>
      </c>
      <c r="H84" s="2" t="s">
        <v>24</v>
      </c>
      <c r="I84" s="2">
        <f>I82*J84</f>
        <v>-0.31947999999999999</v>
      </c>
      <c r="J84" s="2">
        <v>-0.97999999999999987</v>
      </c>
      <c r="K84" s="2"/>
      <c r="L84" s="2"/>
      <c r="M84" s="2"/>
      <c r="N84" s="2"/>
      <c r="O84" s="2">
        <f t="shared" si="57"/>
        <v>-1949.47</v>
      </c>
      <c r="P84" s="2">
        <f t="shared" si="58"/>
        <v>-1949.47</v>
      </c>
      <c r="Q84" s="2">
        <f t="shared" si="59"/>
        <v>0</v>
      </c>
      <c r="R84" s="2">
        <f t="shared" si="60"/>
        <v>0</v>
      </c>
      <c r="S84" s="2">
        <f t="shared" si="61"/>
        <v>0</v>
      </c>
      <c r="T84" s="2">
        <f t="shared" si="62"/>
        <v>0</v>
      </c>
      <c r="U84" s="2">
        <f t="shared" si="63"/>
        <v>0</v>
      </c>
      <c r="V84" s="2">
        <f t="shared" si="64"/>
        <v>0</v>
      </c>
      <c r="W84" s="2">
        <f t="shared" si="65"/>
        <v>0</v>
      </c>
      <c r="X84" s="2">
        <f t="shared" si="66"/>
        <v>0</v>
      </c>
      <c r="Y84" s="2">
        <f t="shared" si="67"/>
        <v>0</v>
      </c>
      <c r="Z84" s="2"/>
      <c r="AA84" s="2">
        <v>26914188</v>
      </c>
      <c r="AB84" s="2">
        <f t="shared" si="68"/>
        <v>6102</v>
      </c>
      <c r="AC84" s="2">
        <f t="shared" si="100"/>
        <v>6102</v>
      </c>
      <c r="AD84" s="2">
        <f t="shared" si="95"/>
        <v>0</v>
      </c>
      <c r="AE84" s="2">
        <f t="shared" si="96"/>
        <v>0</v>
      </c>
      <c r="AF84" s="2">
        <f t="shared" si="97"/>
        <v>0</v>
      </c>
      <c r="AG84" s="2">
        <f t="shared" si="69"/>
        <v>0</v>
      </c>
      <c r="AH84" s="2">
        <f t="shared" si="98"/>
        <v>0</v>
      </c>
      <c r="AI84" s="2">
        <f t="shared" si="99"/>
        <v>0</v>
      </c>
      <c r="AJ84" s="2">
        <f t="shared" si="70"/>
        <v>0</v>
      </c>
      <c r="AK84" s="2">
        <v>6102</v>
      </c>
      <c r="AL84" s="2">
        <v>6102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82</v>
      </c>
      <c r="AU84" s="2">
        <v>62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142</v>
      </c>
      <c r="BK84" s="2"/>
      <c r="BL84" s="2"/>
      <c r="BM84" s="2">
        <v>56001</v>
      </c>
      <c r="BN84" s="2">
        <v>0</v>
      </c>
      <c r="BO84" s="2" t="s">
        <v>6</v>
      </c>
      <c r="BP84" s="2">
        <v>0</v>
      </c>
      <c r="BQ84" s="2">
        <v>6</v>
      </c>
      <c r="BR84" s="2">
        <v>1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82</v>
      </c>
      <c r="CA84" s="2">
        <v>62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71"/>
        <v>-1949.47</v>
      </c>
      <c r="CQ84" s="2">
        <f t="shared" si="72"/>
        <v>6102</v>
      </c>
      <c r="CR84" s="2">
        <f t="shared" si="73"/>
        <v>0</v>
      </c>
      <c r="CS84" s="2">
        <f t="shared" si="74"/>
        <v>0</v>
      </c>
      <c r="CT84" s="2">
        <f t="shared" si="75"/>
        <v>0</v>
      </c>
      <c r="CU84" s="2">
        <f t="shared" si="76"/>
        <v>0</v>
      </c>
      <c r="CV84" s="2">
        <f t="shared" si="77"/>
        <v>0</v>
      </c>
      <c r="CW84" s="2">
        <f t="shared" si="78"/>
        <v>0</v>
      </c>
      <c r="CX84" s="2">
        <f t="shared" si="79"/>
        <v>0</v>
      </c>
      <c r="CY84" s="2">
        <f t="shared" si="80"/>
        <v>0</v>
      </c>
      <c r="CZ84" s="2">
        <f t="shared" si="81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1009</v>
      </c>
      <c r="DV84" s="2" t="s">
        <v>24</v>
      </c>
      <c r="DW84" s="2" t="s">
        <v>24</v>
      </c>
      <c r="DX84" s="2">
        <v>1000</v>
      </c>
      <c r="DY84" s="2"/>
      <c r="DZ84" s="2"/>
      <c r="EA84" s="2"/>
      <c r="EB84" s="2"/>
      <c r="EC84" s="2"/>
      <c r="ED84" s="2"/>
      <c r="EE84" s="2">
        <v>26549138</v>
      </c>
      <c r="EF84" s="2">
        <v>6</v>
      </c>
      <c r="EG84" s="2" t="s">
        <v>18</v>
      </c>
      <c r="EH84" s="2">
        <v>0</v>
      </c>
      <c r="EI84" s="2" t="s">
        <v>6</v>
      </c>
      <c r="EJ84" s="2">
        <v>1</v>
      </c>
      <c r="EK84" s="2">
        <v>56001</v>
      </c>
      <c r="EL84" s="2" t="s">
        <v>137</v>
      </c>
      <c r="EM84" s="2" t="s">
        <v>138</v>
      </c>
      <c r="EN84" s="2"/>
      <c r="EO84" s="2" t="s">
        <v>6</v>
      </c>
      <c r="EP84" s="2"/>
      <c r="EQ84" s="2">
        <v>0</v>
      </c>
      <c r="ER84" s="2">
        <v>6102</v>
      </c>
      <c r="ES84" s="2">
        <v>6102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2"/>
        <v>0</v>
      </c>
      <c r="FS84" s="2">
        <v>0</v>
      </c>
      <c r="FT84" s="2"/>
      <c r="FU84" s="2"/>
      <c r="FV84" s="2"/>
      <c r="FW84" s="2"/>
      <c r="FX84" s="2">
        <v>82</v>
      </c>
      <c r="FY84" s="2">
        <v>62</v>
      </c>
      <c r="FZ84" s="2"/>
      <c r="GA84" s="2" t="s">
        <v>6</v>
      </c>
      <c r="GB84" s="2"/>
      <c r="GC84" s="2"/>
      <c r="GD84" s="2">
        <v>0</v>
      </c>
      <c r="GE84" s="2"/>
      <c r="GF84" s="2">
        <v>773831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3"/>
        <v>0</v>
      </c>
      <c r="GM84" s="2">
        <f t="shared" si="84"/>
        <v>-1949.47</v>
      </c>
      <c r="GN84" s="2">
        <f t="shared" si="85"/>
        <v>-1949.47</v>
      </c>
      <c r="GO84" s="2">
        <f t="shared" si="86"/>
        <v>0</v>
      </c>
      <c r="GP84" s="2">
        <f t="shared" si="87"/>
        <v>0</v>
      </c>
      <c r="GQ84" s="2"/>
      <c r="GR84" s="2">
        <v>0</v>
      </c>
      <c r="GS84" s="2">
        <v>0</v>
      </c>
      <c r="GT84" s="2">
        <v>0</v>
      </c>
      <c r="GU84" s="2" t="s">
        <v>6</v>
      </c>
      <c r="GV84" s="2">
        <f t="shared" si="88"/>
        <v>0</v>
      </c>
      <c r="GW84" s="2">
        <v>1</v>
      </c>
      <c r="GX84" s="2">
        <f t="shared" si="89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183</v>
      </c>
      <c r="E85" t="s">
        <v>139</v>
      </c>
      <c r="F85" t="s">
        <v>140</v>
      </c>
      <c r="G85" t="s">
        <v>141</v>
      </c>
      <c r="H85" t="s">
        <v>24</v>
      </c>
      <c r="I85">
        <f>I83*J85</f>
        <v>-0.31947999999999999</v>
      </c>
      <c r="J85">
        <v>-0.97999999999999987</v>
      </c>
      <c r="O85">
        <f t="shared" si="57"/>
        <v>-15010.9</v>
      </c>
      <c r="P85">
        <f t="shared" si="58"/>
        <v>-15010.9</v>
      </c>
      <c r="Q85">
        <f t="shared" si="59"/>
        <v>0</v>
      </c>
      <c r="R85">
        <f t="shared" si="60"/>
        <v>0</v>
      </c>
      <c r="S85">
        <f t="shared" si="61"/>
        <v>0</v>
      </c>
      <c r="T85">
        <f t="shared" si="62"/>
        <v>0</v>
      </c>
      <c r="U85">
        <f t="shared" si="63"/>
        <v>0</v>
      </c>
      <c r="V85">
        <f t="shared" si="64"/>
        <v>0</v>
      </c>
      <c r="W85">
        <f t="shared" si="65"/>
        <v>0</v>
      </c>
      <c r="X85">
        <f t="shared" si="66"/>
        <v>0</v>
      </c>
      <c r="Y85">
        <f t="shared" si="67"/>
        <v>0</v>
      </c>
      <c r="AA85">
        <v>26914189</v>
      </c>
      <c r="AB85">
        <f t="shared" si="68"/>
        <v>6102</v>
      </c>
      <c r="AC85">
        <f t="shared" si="100"/>
        <v>6102</v>
      </c>
      <c r="AD85">
        <f t="shared" si="95"/>
        <v>0</v>
      </c>
      <c r="AE85">
        <f t="shared" si="96"/>
        <v>0</v>
      </c>
      <c r="AF85">
        <f t="shared" si="97"/>
        <v>0</v>
      </c>
      <c r="AG85">
        <f t="shared" si="69"/>
        <v>0</v>
      </c>
      <c r="AH85">
        <f t="shared" si="98"/>
        <v>0</v>
      </c>
      <c r="AI85">
        <f t="shared" si="99"/>
        <v>0</v>
      </c>
      <c r="AJ85">
        <f t="shared" si="70"/>
        <v>0</v>
      </c>
      <c r="AK85">
        <v>6102</v>
      </c>
      <c r="AL85">
        <v>6102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82</v>
      </c>
      <c r="AU85">
        <v>62</v>
      </c>
      <c r="AV85">
        <v>1</v>
      </c>
      <c r="AW85">
        <v>1</v>
      </c>
      <c r="AZ85">
        <v>7.7</v>
      </c>
      <c r="BA85">
        <v>1</v>
      </c>
      <c r="BB85">
        <v>1</v>
      </c>
      <c r="BC85">
        <v>7.7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142</v>
      </c>
      <c r="BM85">
        <v>56001</v>
      </c>
      <c r="BN85">
        <v>0</v>
      </c>
      <c r="BO85" t="s">
        <v>6</v>
      </c>
      <c r="BP85">
        <v>0</v>
      </c>
      <c r="BQ85">
        <v>6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82</v>
      </c>
      <c r="CA85">
        <v>62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71"/>
        <v>-15010.9</v>
      </c>
      <c r="CQ85">
        <f t="shared" si="72"/>
        <v>46985.4</v>
      </c>
      <c r="CR85">
        <f t="shared" si="73"/>
        <v>0</v>
      </c>
      <c r="CS85">
        <f t="shared" si="74"/>
        <v>0</v>
      </c>
      <c r="CT85">
        <f t="shared" si="75"/>
        <v>0</v>
      </c>
      <c r="CU85">
        <f t="shared" si="76"/>
        <v>0</v>
      </c>
      <c r="CV85">
        <f t="shared" si="77"/>
        <v>0</v>
      </c>
      <c r="CW85">
        <f t="shared" si="78"/>
        <v>0</v>
      </c>
      <c r="CX85">
        <f t="shared" si="79"/>
        <v>0</v>
      </c>
      <c r="CY85">
        <f t="shared" si="80"/>
        <v>0</v>
      </c>
      <c r="CZ85">
        <f t="shared" si="81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24</v>
      </c>
      <c r="DW85" t="s">
        <v>24</v>
      </c>
      <c r="DX85">
        <v>1000</v>
      </c>
      <c r="EE85">
        <v>26549138</v>
      </c>
      <c r="EF85">
        <v>6</v>
      </c>
      <c r="EG85" t="s">
        <v>18</v>
      </c>
      <c r="EH85">
        <v>0</v>
      </c>
      <c r="EI85" t="s">
        <v>6</v>
      </c>
      <c r="EJ85">
        <v>1</v>
      </c>
      <c r="EK85">
        <v>56001</v>
      </c>
      <c r="EL85" t="s">
        <v>137</v>
      </c>
      <c r="EM85" t="s">
        <v>138</v>
      </c>
      <c r="EO85" t="s">
        <v>6</v>
      </c>
      <c r="EQ85">
        <v>0</v>
      </c>
      <c r="ER85">
        <v>6102</v>
      </c>
      <c r="ES85">
        <v>6102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2"/>
        <v>0</v>
      </c>
      <c r="FS85">
        <v>0</v>
      </c>
      <c r="FX85">
        <v>82</v>
      </c>
      <c r="FY85">
        <v>62</v>
      </c>
      <c r="GA85" t="s">
        <v>6</v>
      </c>
      <c r="GD85">
        <v>0</v>
      </c>
      <c r="GF85">
        <v>773831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3"/>
        <v>0</v>
      </c>
      <c r="GM85">
        <f t="shared" si="84"/>
        <v>-15010.9</v>
      </c>
      <c r="GN85">
        <f t="shared" si="85"/>
        <v>-15010.9</v>
      </c>
      <c r="GO85">
        <f t="shared" si="86"/>
        <v>0</v>
      </c>
      <c r="GP85">
        <f t="shared" si="87"/>
        <v>0</v>
      </c>
      <c r="GR85">
        <v>0</v>
      </c>
      <c r="GS85">
        <v>0</v>
      </c>
      <c r="GT85">
        <v>0</v>
      </c>
      <c r="GU85" t="s">
        <v>6</v>
      </c>
      <c r="GV85">
        <f t="shared" si="88"/>
        <v>0</v>
      </c>
      <c r="GW85">
        <v>1</v>
      </c>
      <c r="GX85">
        <f t="shared" si="89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175</v>
      </c>
      <c r="D86" s="2"/>
      <c r="E86" s="2" t="s">
        <v>143</v>
      </c>
      <c r="F86" s="2" t="s">
        <v>144</v>
      </c>
      <c r="G86" s="2" t="s">
        <v>145</v>
      </c>
      <c r="H86" s="2" t="s">
        <v>120</v>
      </c>
      <c r="I86" s="2">
        <f>I82*J86</f>
        <v>30</v>
      </c>
      <c r="J86" s="2">
        <v>92.024539877300612</v>
      </c>
      <c r="K86" s="2"/>
      <c r="L86" s="2"/>
      <c r="M86" s="2"/>
      <c r="N86" s="2"/>
      <c r="O86" s="2">
        <f t="shared" si="57"/>
        <v>2355.3000000000002</v>
      </c>
      <c r="P86" s="2">
        <f t="shared" si="58"/>
        <v>2355.3000000000002</v>
      </c>
      <c r="Q86" s="2">
        <f t="shared" si="59"/>
        <v>0</v>
      </c>
      <c r="R86" s="2">
        <f t="shared" si="60"/>
        <v>0</v>
      </c>
      <c r="S86" s="2">
        <f t="shared" si="61"/>
        <v>0</v>
      </c>
      <c r="T86" s="2">
        <f t="shared" si="62"/>
        <v>0</v>
      </c>
      <c r="U86" s="2">
        <f t="shared" si="63"/>
        <v>0</v>
      </c>
      <c r="V86" s="2">
        <f t="shared" si="64"/>
        <v>0</v>
      </c>
      <c r="W86" s="2">
        <f t="shared" si="65"/>
        <v>0</v>
      </c>
      <c r="X86" s="2">
        <f t="shared" si="66"/>
        <v>0</v>
      </c>
      <c r="Y86" s="2">
        <f t="shared" si="67"/>
        <v>0</v>
      </c>
      <c r="Z86" s="2"/>
      <c r="AA86" s="2">
        <v>26914188</v>
      </c>
      <c r="AB86" s="2">
        <f t="shared" si="68"/>
        <v>78.510000000000005</v>
      </c>
      <c r="AC86" s="2">
        <f t="shared" si="100"/>
        <v>78.510000000000005</v>
      </c>
      <c r="AD86" s="2">
        <f t="shared" si="95"/>
        <v>0</v>
      </c>
      <c r="AE86" s="2">
        <f t="shared" si="96"/>
        <v>0</v>
      </c>
      <c r="AF86" s="2">
        <f t="shared" si="97"/>
        <v>0</v>
      </c>
      <c r="AG86" s="2">
        <f t="shared" si="69"/>
        <v>0</v>
      </c>
      <c r="AH86" s="2">
        <f t="shared" si="98"/>
        <v>0</v>
      </c>
      <c r="AI86" s="2">
        <f t="shared" si="99"/>
        <v>0</v>
      </c>
      <c r="AJ86" s="2">
        <f t="shared" si="70"/>
        <v>0</v>
      </c>
      <c r="AK86" s="2">
        <v>78.510000000000005</v>
      </c>
      <c r="AL86" s="2">
        <v>78.510000000000005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82</v>
      </c>
      <c r="AU86" s="2">
        <v>62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146</v>
      </c>
      <c r="BK86" s="2"/>
      <c r="BL86" s="2"/>
      <c r="BM86" s="2">
        <v>56001</v>
      </c>
      <c r="BN86" s="2">
        <v>0</v>
      </c>
      <c r="BO86" s="2" t="s">
        <v>6</v>
      </c>
      <c r="BP86" s="2">
        <v>0</v>
      </c>
      <c r="BQ86" s="2">
        <v>6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82</v>
      </c>
      <c r="CA86" s="2">
        <v>62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1"/>
        <v>2355.3000000000002</v>
      </c>
      <c r="CQ86" s="2">
        <f t="shared" si="72"/>
        <v>78.510000000000005</v>
      </c>
      <c r="CR86" s="2">
        <f t="shared" si="73"/>
        <v>0</v>
      </c>
      <c r="CS86" s="2">
        <f t="shared" si="74"/>
        <v>0</v>
      </c>
      <c r="CT86" s="2">
        <f t="shared" si="75"/>
        <v>0</v>
      </c>
      <c r="CU86" s="2">
        <f t="shared" si="76"/>
        <v>0</v>
      </c>
      <c r="CV86" s="2">
        <f t="shared" si="77"/>
        <v>0</v>
      </c>
      <c r="CW86" s="2">
        <f t="shared" si="78"/>
        <v>0</v>
      </c>
      <c r="CX86" s="2">
        <f t="shared" si="79"/>
        <v>0</v>
      </c>
      <c r="CY86" s="2">
        <f t="shared" si="80"/>
        <v>0</v>
      </c>
      <c r="CZ86" s="2">
        <f t="shared" si="81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1003</v>
      </c>
      <c r="DV86" s="2" t="s">
        <v>120</v>
      </c>
      <c r="DW86" s="2" t="s">
        <v>120</v>
      </c>
      <c r="DX86" s="2">
        <v>1</v>
      </c>
      <c r="DY86" s="2"/>
      <c r="DZ86" s="2"/>
      <c r="EA86" s="2"/>
      <c r="EB86" s="2"/>
      <c r="EC86" s="2"/>
      <c r="ED86" s="2"/>
      <c r="EE86" s="2">
        <v>26549138</v>
      </c>
      <c r="EF86" s="2">
        <v>6</v>
      </c>
      <c r="EG86" s="2" t="s">
        <v>18</v>
      </c>
      <c r="EH86" s="2">
        <v>0</v>
      </c>
      <c r="EI86" s="2" t="s">
        <v>6</v>
      </c>
      <c r="EJ86" s="2">
        <v>1</v>
      </c>
      <c r="EK86" s="2">
        <v>56001</v>
      </c>
      <c r="EL86" s="2" t="s">
        <v>137</v>
      </c>
      <c r="EM86" s="2" t="s">
        <v>138</v>
      </c>
      <c r="EN86" s="2"/>
      <c r="EO86" s="2" t="s">
        <v>6</v>
      </c>
      <c r="EP86" s="2"/>
      <c r="EQ86" s="2">
        <v>0</v>
      </c>
      <c r="ER86" s="2">
        <v>78.510000000000005</v>
      </c>
      <c r="ES86" s="2">
        <v>78.510000000000005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2"/>
        <v>0</v>
      </c>
      <c r="FS86" s="2">
        <v>0</v>
      </c>
      <c r="FT86" s="2"/>
      <c r="FU86" s="2"/>
      <c r="FV86" s="2"/>
      <c r="FW86" s="2"/>
      <c r="FX86" s="2">
        <v>82</v>
      </c>
      <c r="FY86" s="2">
        <v>62</v>
      </c>
      <c r="FZ86" s="2"/>
      <c r="GA86" s="2" t="s">
        <v>6</v>
      </c>
      <c r="GB86" s="2"/>
      <c r="GC86" s="2"/>
      <c r="GD86" s="2">
        <v>0</v>
      </c>
      <c r="GE86" s="2"/>
      <c r="GF86" s="2">
        <v>-830948210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3"/>
        <v>0</v>
      </c>
      <c r="GM86" s="2">
        <f t="shared" si="84"/>
        <v>2355.3000000000002</v>
      </c>
      <c r="GN86" s="2">
        <f t="shared" si="85"/>
        <v>2355.3000000000002</v>
      </c>
      <c r="GO86" s="2">
        <f t="shared" si="86"/>
        <v>0</v>
      </c>
      <c r="GP86" s="2">
        <f t="shared" si="87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88"/>
        <v>0</v>
      </c>
      <c r="GW86" s="2">
        <v>1</v>
      </c>
      <c r="GX86" s="2">
        <f t="shared" si="89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184</v>
      </c>
      <c r="E87" t="s">
        <v>143</v>
      </c>
      <c r="F87" t="s">
        <v>144</v>
      </c>
      <c r="G87" t="s">
        <v>145</v>
      </c>
      <c r="H87" t="s">
        <v>120</v>
      </c>
      <c r="I87">
        <f>I83*J87</f>
        <v>30</v>
      </c>
      <c r="J87">
        <v>92.024539877300612</v>
      </c>
      <c r="O87">
        <f t="shared" si="57"/>
        <v>18135.810000000001</v>
      </c>
      <c r="P87">
        <f t="shared" si="58"/>
        <v>18135.810000000001</v>
      </c>
      <c r="Q87">
        <f t="shared" si="59"/>
        <v>0</v>
      </c>
      <c r="R87">
        <f t="shared" si="60"/>
        <v>0</v>
      </c>
      <c r="S87">
        <f t="shared" si="61"/>
        <v>0</v>
      </c>
      <c r="T87">
        <f t="shared" si="62"/>
        <v>0</v>
      </c>
      <c r="U87">
        <f t="shared" si="63"/>
        <v>0</v>
      </c>
      <c r="V87">
        <f t="shared" si="64"/>
        <v>0</v>
      </c>
      <c r="W87">
        <f t="shared" si="65"/>
        <v>0</v>
      </c>
      <c r="X87">
        <f t="shared" si="66"/>
        <v>0</v>
      </c>
      <c r="Y87">
        <f t="shared" si="67"/>
        <v>0</v>
      </c>
      <c r="AA87">
        <v>26914189</v>
      </c>
      <c r="AB87">
        <f t="shared" si="68"/>
        <v>78.510000000000005</v>
      </c>
      <c r="AC87">
        <f t="shared" si="100"/>
        <v>78.510000000000005</v>
      </c>
      <c r="AD87">
        <f t="shared" si="95"/>
        <v>0</v>
      </c>
      <c r="AE87">
        <f t="shared" si="96"/>
        <v>0</v>
      </c>
      <c r="AF87">
        <f t="shared" si="97"/>
        <v>0</v>
      </c>
      <c r="AG87">
        <f t="shared" si="69"/>
        <v>0</v>
      </c>
      <c r="AH87">
        <f t="shared" si="98"/>
        <v>0</v>
      </c>
      <c r="AI87">
        <f t="shared" si="99"/>
        <v>0</v>
      </c>
      <c r="AJ87">
        <f t="shared" si="70"/>
        <v>0</v>
      </c>
      <c r="AK87">
        <v>78.510000000000005</v>
      </c>
      <c r="AL87">
        <v>78.510000000000005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82</v>
      </c>
      <c r="AU87">
        <v>62</v>
      </c>
      <c r="AV87">
        <v>1</v>
      </c>
      <c r="AW87">
        <v>1</v>
      </c>
      <c r="AZ87">
        <v>7.7</v>
      </c>
      <c r="BA87">
        <v>1</v>
      </c>
      <c r="BB87">
        <v>1</v>
      </c>
      <c r="BC87">
        <v>7.7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146</v>
      </c>
      <c r="BM87">
        <v>56001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82</v>
      </c>
      <c r="CA87">
        <v>62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1"/>
        <v>18135.810000000001</v>
      </c>
      <c r="CQ87">
        <f t="shared" si="72"/>
        <v>604.52700000000004</v>
      </c>
      <c r="CR87">
        <f t="shared" si="73"/>
        <v>0</v>
      </c>
      <c r="CS87">
        <f t="shared" si="74"/>
        <v>0</v>
      </c>
      <c r="CT87">
        <f t="shared" si="75"/>
        <v>0</v>
      </c>
      <c r="CU87">
        <f t="shared" si="76"/>
        <v>0</v>
      </c>
      <c r="CV87">
        <f t="shared" si="77"/>
        <v>0</v>
      </c>
      <c r="CW87">
        <f t="shared" si="78"/>
        <v>0</v>
      </c>
      <c r="CX87">
        <f t="shared" si="79"/>
        <v>0</v>
      </c>
      <c r="CY87">
        <f t="shared" si="80"/>
        <v>0</v>
      </c>
      <c r="CZ87">
        <f t="shared" si="81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1003</v>
      </c>
      <c r="DV87" t="s">
        <v>120</v>
      </c>
      <c r="DW87" t="s">
        <v>120</v>
      </c>
      <c r="DX87">
        <v>1</v>
      </c>
      <c r="EE87">
        <v>26549138</v>
      </c>
      <c r="EF87">
        <v>6</v>
      </c>
      <c r="EG87" t="s">
        <v>18</v>
      </c>
      <c r="EH87">
        <v>0</v>
      </c>
      <c r="EI87" t="s">
        <v>6</v>
      </c>
      <c r="EJ87">
        <v>1</v>
      </c>
      <c r="EK87">
        <v>56001</v>
      </c>
      <c r="EL87" t="s">
        <v>137</v>
      </c>
      <c r="EM87" t="s">
        <v>138</v>
      </c>
      <c r="EO87" t="s">
        <v>6</v>
      </c>
      <c r="EQ87">
        <v>0</v>
      </c>
      <c r="ER87">
        <v>78.510000000000005</v>
      </c>
      <c r="ES87">
        <v>78.510000000000005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2"/>
        <v>0</v>
      </c>
      <c r="FS87">
        <v>0</v>
      </c>
      <c r="FX87">
        <v>82</v>
      </c>
      <c r="FY87">
        <v>62</v>
      </c>
      <c r="GA87" t="s">
        <v>6</v>
      </c>
      <c r="GD87">
        <v>0</v>
      </c>
      <c r="GF87">
        <v>-830948210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3"/>
        <v>0</v>
      </c>
      <c r="GM87">
        <f t="shared" si="84"/>
        <v>18135.810000000001</v>
      </c>
      <c r="GN87">
        <f t="shared" si="85"/>
        <v>18135.810000000001</v>
      </c>
      <c r="GO87">
        <f t="shared" si="86"/>
        <v>0</v>
      </c>
      <c r="GP87">
        <f t="shared" si="87"/>
        <v>0</v>
      </c>
      <c r="GR87">
        <v>0</v>
      </c>
      <c r="GS87">
        <v>3</v>
      </c>
      <c r="GT87">
        <v>0</v>
      </c>
      <c r="GU87" t="s">
        <v>6</v>
      </c>
      <c r="GV87">
        <f t="shared" si="88"/>
        <v>0</v>
      </c>
      <c r="GW87">
        <v>1</v>
      </c>
      <c r="GX87">
        <f t="shared" si="89"/>
        <v>0</v>
      </c>
      <c r="HA87">
        <v>0</v>
      </c>
      <c r="HB87"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ROW(SmtRes!A192)</f>
        <v>192</v>
      </c>
      <c r="D88" s="2">
        <f>ROW(EtalonRes!A188)</f>
        <v>188</v>
      </c>
      <c r="E88" s="2" t="s">
        <v>147</v>
      </c>
      <c r="F88" s="2" t="s">
        <v>148</v>
      </c>
      <c r="G88" s="2" t="s">
        <v>149</v>
      </c>
      <c r="H88" s="2" t="s">
        <v>16</v>
      </c>
      <c r="I88" s="2">
        <f>ROUND(8.4/100,9)</f>
        <v>8.4000000000000005E-2</v>
      </c>
      <c r="J88" s="2">
        <v>0</v>
      </c>
      <c r="K88" s="2"/>
      <c r="L88" s="2"/>
      <c r="M88" s="2"/>
      <c r="N88" s="2"/>
      <c r="O88" s="2">
        <f t="shared" ref="O88:O105" si="101">ROUND(CP88,2)</f>
        <v>23.46</v>
      </c>
      <c r="P88" s="2">
        <f t="shared" ref="P88:P105" si="102">ROUND(CQ88*I88,2)</f>
        <v>17.03</v>
      </c>
      <c r="Q88" s="2">
        <f t="shared" ref="Q88:Q105" si="103">ROUND(CR88*I88,2)</f>
        <v>0.97</v>
      </c>
      <c r="R88" s="2">
        <f t="shared" ref="R88:R105" si="104">ROUND(CS88*I88,2)</f>
        <v>0.02</v>
      </c>
      <c r="S88" s="2">
        <f t="shared" ref="S88:S105" si="105">ROUND(CT88*I88,2)</f>
        <v>5.46</v>
      </c>
      <c r="T88" s="2">
        <f t="shared" ref="T88:T105" si="106">ROUND(CU88*I88,2)</f>
        <v>0</v>
      </c>
      <c r="U88" s="2">
        <f t="shared" ref="U88:U105" si="107">CV88*I88</f>
        <v>0.5129459999999999</v>
      </c>
      <c r="V88" s="2">
        <f t="shared" ref="V88:V105" si="108">CW88*I88</f>
        <v>2.1000000000000003E-3</v>
      </c>
      <c r="W88" s="2">
        <f t="shared" ref="W88:W105" si="109">ROUND(CX88*I88,2)</f>
        <v>0</v>
      </c>
      <c r="X88" s="2">
        <f t="shared" ref="X88:X105" si="110">ROUND(CY88,2)</f>
        <v>4.4400000000000004</v>
      </c>
      <c r="Y88" s="2">
        <f t="shared" ref="Y88:Y105" si="111">ROUND(CZ88,2)</f>
        <v>3.29</v>
      </c>
      <c r="Z88" s="2"/>
      <c r="AA88" s="2">
        <v>26914188</v>
      </c>
      <c r="AB88" s="2">
        <f t="shared" ref="AB88:AB105" si="112">ROUND((AC88+AD88+AF88),6)</f>
        <v>279.27749999999997</v>
      </c>
      <c r="AC88" s="2">
        <f t="shared" si="100"/>
        <v>202.72</v>
      </c>
      <c r="AD88" s="2">
        <f>ROUND(((((ET88*1.25))-((EU88*1.25)))+AE88),6)</f>
        <v>11.525</v>
      </c>
      <c r="AE88" s="2">
        <f>ROUND(((EU88*1.25)),6)</f>
        <v>0.27500000000000002</v>
      </c>
      <c r="AF88" s="2">
        <f>ROUND(((EV88*1.15)),6)</f>
        <v>65.032499999999999</v>
      </c>
      <c r="AG88" s="2">
        <f t="shared" ref="AG88:AG105" si="113">ROUND((AP88),6)</f>
        <v>0</v>
      </c>
      <c r="AH88" s="2">
        <f>((EW88*1.15))</f>
        <v>6.1064999999999987</v>
      </c>
      <c r="AI88" s="2">
        <f>((EX88*1.25))</f>
        <v>2.5000000000000001E-2</v>
      </c>
      <c r="AJ88" s="2">
        <f t="shared" ref="AJ88:AJ105" si="114">ROUND((AS88),6)</f>
        <v>0</v>
      </c>
      <c r="AK88" s="2">
        <v>268.49</v>
      </c>
      <c r="AL88" s="2">
        <v>202.72</v>
      </c>
      <c r="AM88" s="2">
        <v>9.2200000000000006</v>
      </c>
      <c r="AN88" s="2">
        <v>0.22</v>
      </c>
      <c r="AO88" s="2">
        <v>56.55</v>
      </c>
      <c r="AP88" s="2">
        <v>0</v>
      </c>
      <c r="AQ88" s="2">
        <v>5.31</v>
      </c>
      <c r="AR88" s="2">
        <v>0.02</v>
      </c>
      <c r="AS88" s="2">
        <v>0</v>
      </c>
      <c r="AT88" s="2">
        <v>81</v>
      </c>
      <c r="AU88" s="2">
        <v>60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1</v>
      </c>
      <c r="BJ88" s="2" t="s">
        <v>150</v>
      </c>
      <c r="BK88" s="2"/>
      <c r="BL88" s="2"/>
      <c r="BM88" s="2">
        <v>13001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90</v>
      </c>
      <c r="CA88" s="2">
        <v>70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510</v>
      </c>
      <c r="CO88" s="2">
        <v>0</v>
      </c>
      <c r="CP88" s="2">
        <f t="shared" ref="CP88:CP105" si="115">(P88+Q88+S88)</f>
        <v>23.46</v>
      </c>
      <c r="CQ88" s="2">
        <f t="shared" ref="CQ88:CQ105" si="116">AC88*BC88</f>
        <v>202.72</v>
      </c>
      <c r="CR88" s="2">
        <f t="shared" ref="CR88:CR105" si="117">AD88*BB88</f>
        <v>11.525</v>
      </c>
      <c r="CS88" s="2">
        <f t="shared" ref="CS88:CS105" si="118">AE88*BS88</f>
        <v>0.27500000000000002</v>
      </c>
      <c r="CT88" s="2">
        <f t="shared" ref="CT88:CT105" si="119">AF88*BA88</f>
        <v>65.032499999999999</v>
      </c>
      <c r="CU88" s="2">
        <f t="shared" ref="CU88:CU105" si="120">AG88</f>
        <v>0</v>
      </c>
      <c r="CV88" s="2">
        <f t="shared" ref="CV88:CV105" si="121">AH88</f>
        <v>6.1064999999999987</v>
      </c>
      <c r="CW88" s="2">
        <f t="shared" ref="CW88:CW105" si="122">AI88</f>
        <v>2.5000000000000001E-2</v>
      </c>
      <c r="CX88" s="2">
        <f t="shared" ref="CX88:CX105" si="123">AJ88</f>
        <v>0</v>
      </c>
      <c r="CY88" s="2">
        <f t="shared" ref="CY88:CY105" si="124">(((S88+R88)*AT88)/100)</f>
        <v>4.4387999999999996</v>
      </c>
      <c r="CZ88" s="2">
        <f t="shared" ref="CZ88:CZ105" si="125">(((S88+R88)*AU88)/100)</f>
        <v>3.2879999999999994</v>
      </c>
      <c r="DA88" s="2"/>
      <c r="DB88" s="2"/>
      <c r="DC88" s="2" t="s">
        <v>6</v>
      </c>
      <c r="DD88" s="2" t="s">
        <v>6</v>
      </c>
      <c r="DE88" s="2" t="s">
        <v>40</v>
      </c>
      <c r="DF88" s="2" t="s">
        <v>40</v>
      </c>
      <c r="DG88" s="2" t="s">
        <v>41</v>
      </c>
      <c r="DH88" s="2" t="s">
        <v>6</v>
      </c>
      <c r="DI88" s="2" t="s">
        <v>41</v>
      </c>
      <c r="DJ88" s="2" t="s">
        <v>40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16</v>
      </c>
      <c r="DW88" s="2" t="s">
        <v>16</v>
      </c>
      <c r="DX88" s="2">
        <v>100</v>
      </c>
      <c r="DY88" s="2"/>
      <c r="DZ88" s="2"/>
      <c r="EA88" s="2"/>
      <c r="EB88" s="2"/>
      <c r="EC88" s="2"/>
      <c r="ED88" s="2"/>
      <c r="EE88" s="2">
        <v>26549063</v>
      </c>
      <c r="EF88" s="2">
        <v>2</v>
      </c>
      <c r="EG88" s="2" t="s">
        <v>42</v>
      </c>
      <c r="EH88" s="2">
        <v>0</v>
      </c>
      <c r="EI88" s="2" t="s">
        <v>6</v>
      </c>
      <c r="EJ88" s="2">
        <v>1</v>
      </c>
      <c r="EK88" s="2">
        <v>13001</v>
      </c>
      <c r="EL88" s="2" t="s">
        <v>151</v>
      </c>
      <c r="EM88" s="2" t="s">
        <v>152</v>
      </c>
      <c r="EN88" s="2"/>
      <c r="EO88" s="2" t="s">
        <v>44</v>
      </c>
      <c r="EP88" s="2"/>
      <c r="EQ88" s="2">
        <v>0</v>
      </c>
      <c r="ER88" s="2">
        <v>268.49</v>
      </c>
      <c r="ES88" s="2">
        <v>202.72</v>
      </c>
      <c r="ET88" s="2">
        <v>9.2200000000000006</v>
      </c>
      <c r="EU88" s="2">
        <v>0.22</v>
      </c>
      <c r="EV88" s="2">
        <v>56.55</v>
      </c>
      <c r="EW88" s="2">
        <v>5.31</v>
      </c>
      <c r="EX88" s="2">
        <v>0.02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09" si="126">ROUND(IF(AND(BH88=3,BI88=3),P88,0),2)</f>
        <v>0</v>
      </c>
      <c r="FS88" s="2">
        <v>0</v>
      </c>
      <c r="FT88" s="2" t="s">
        <v>45</v>
      </c>
      <c r="FU88" s="2" t="s">
        <v>46</v>
      </c>
      <c r="FV88" s="2"/>
      <c r="FW88" s="2"/>
      <c r="FX88" s="2">
        <v>81</v>
      </c>
      <c r="FY88" s="2">
        <v>59.5</v>
      </c>
      <c r="FZ88" s="2"/>
      <c r="GA88" s="2" t="s">
        <v>6</v>
      </c>
      <c r="GB88" s="2"/>
      <c r="GC88" s="2"/>
      <c r="GD88" s="2">
        <v>0</v>
      </c>
      <c r="GE88" s="2"/>
      <c r="GF88" s="2">
        <v>745229369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09" si="127">ROUND(IF(AND(BH88=3,BI88=3,FS88&lt;&gt;0),P88,0),2)</f>
        <v>0</v>
      </c>
      <c r="GM88" s="2">
        <f t="shared" ref="GM88:GM105" si="128">ROUND(O88+X88+Y88+GK88,2)+GX88</f>
        <v>31.19</v>
      </c>
      <c r="GN88" s="2">
        <f t="shared" ref="GN88:GN105" si="129">IF(OR(BI88=0,BI88=1),ROUND(O88+X88+Y88+GK88,2),0)</f>
        <v>31.19</v>
      </c>
      <c r="GO88" s="2">
        <f t="shared" ref="GO88:GO105" si="130">IF(BI88=2,ROUND(O88+X88+Y88+GK88,2),0)</f>
        <v>0</v>
      </c>
      <c r="GP88" s="2">
        <f t="shared" ref="GP88:GP105" si="131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ref="GV88:GV105" si="132">ROUND(GT88,6)</f>
        <v>0</v>
      </c>
      <c r="GW88" s="2">
        <v>1</v>
      </c>
      <c r="GX88" s="2">
        <f t="shared" ref="GX88:GX109" si="133">ROUND(GV88*GW88*I88,2)</f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ROW(SmtRes!A200)</f>
        <v>200</v>
      </c>
      <c r="D89">
        <f>ROW(EtalonRes!A196)</f>
        <v>196</v>
      </c>
      <c r="E89" t="s">
        <v>147</v>
      </c>
      <c r="F89" t="s">
        <v>148</v>
      </c>
      <c r="G89" t="s">
        <v>149</v>
      </c>
      <c r="H89" t="s">
        <v>16</v>
      </c>
      <c r="I89">
        <f>ROUND(8.4/100,9)</f>
        <v>8.4000000000000005E-2</v>
      </c>
      <c r="J89">
        <v>0</v>
      </c>
      <c r="O89">
        <f t="shared" si="101"/>
        <v>180.63</v>
      </c>
      <c r="P89">
        <f t="shared" si="102"/>
        <v>131.12</v>
      </c>
      <c r="Q89">
        <f t="shared" si="103"/>
        <v>7.45</v>
      </c>
      <c r="R89">
        <f t="shared" si="104"/>
        <v>0.18</v>
      </c>
      <c r="S89">
        <f t="shared" si="105"/>
        <v>42.06</v>
      </c>
      <c r="T89">
        <f t="shared" si="106"/>
        <v>0</v>
      </c>
      <c r="U89">
        <f t="shared" si="107"/>
        <v>0.5129459999999999</v>
      </c>
      <c r="V89">
        <f t="shared" si="108"/>
        <v>2.1000000000000003E-3</v>
      </c>
      <c r="W89">
        <f t="shared" si="109"/>
        <v>0</v>
      </c>
      <c r="X89">
        <f t="shared" si="110"/>
        <v>34.21</v>
      </c>
      <c r="Y89">
        <f t="shared" si="111"/>
        <v>25.34</v>
      </c>
      <c r="AA89">
        <v>26914189</v>
      </c>
      <c r="AB89">
        <f t="shared" si="112"/>
        <v>279.27749999999997</v>
      </c>
      <c r="AC89">
        <f t="shared" si="100"/>
        <v>202.72</v>
      </c>
      <c r="AD89">
        <f>ROUND(((((ET89*1.25))-((EU89*1.25)))+AE89),6)</f>
        <v>11.525</v>
      </c>
      <c r="AE89">
        <f>ROUND(((EU89*1.25)),6)</f>
        <v>0.27500000000000002</v>
      </c>
      <c r="AF89">
        <f>ROUND(((EV89*1.15)),6)</f>
        <v>65.032499999999999</v>
      </c>
      <c r="AG89">
        <f t="shared" si="113"/>
        <v>0</v>
      </c>
      <c r="AH89">
        <f>((EW89*1.15))</f>
        <v>6.1064999999999987</v>
      </c>
      <c r="AI89">
        <f>((EX89*1.25))</f>
        <v>2.5000000000000001E-2</v>
      </c>
      <c r="AJ89">
        <f t="shared" si="114"/>
        <v>0</v>
      </c>
      <c r="AK89">
        <v>268.49</v>
      </c>
      <c r="AL89">
        <v>202.72</v>
      </c>
      <c r="AM89">
        <v>9.2200000000000006</v>
      </c>
      <c r="AN89">
        <v>0.22</v>
      </c>
      <c r="AO89">
        <v>56.55</v>
      </c>
      <c r="AP89">
        <v>0</v>
      </c>
      <c r="AQ89">
        <v>5.31</v>
      </c>
      <c r="AR89">
        <v>0.02</v>
      </c>
      <c r="AS89">
        <v>0</v>
      </c>
      <c r="AT89">
        <v>81</v>
      </c>
      <c r="AU89">
        <v>60</v>
      </c>
      <c r="AV89">
        <v>1</v>
      </c>
      <c r="AW89">
        <v>1</v>
      </c>
      <c r="AZ89">
        <v>7.7</v>
      </c>
      <c r="BA89">
        <v>7.7</v>
      </c>
      <c r="BB89">
        <v>7.7</v>
      </c>
      <c r="BC89">
        <v>7.7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150</v>
      </c>
      <c r="BM89">
        <v>13001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7.7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90</v>
      </c>
      <c r="CA89">
        <v>70</v>
      </c>
      <c r="CF89">
        <v>0</v>
      </c>
      <c r="CG89">
        <v>0</v>
      </c>
      <c r="CM89">
        <v>0</v>
      </c>
      <c r="CN89" t="s">
        <v>510</v>
      </c>
      <c r="CO89">
        <v>0</v>
      </c>
      <c r="CP89">
        <f t="shared" si="115"/>
        <v>180.63</v>
      </c>
      <c r="CQ89">
        <f t="shared" si="116"/>
        <v>1560.944</v>
      </c>
      <c r="CR89">
        <f t="shared" si="117"/>
        <v>88.742500000000007</v>
      </c>
      <c r="CS89">
        <f t="shared" si="118"/>
        <v>2.1175000000000002</v>
      </c>
      <c r="CT89">
        <f t="shared" si="119"/>
        <v>500.75024999999999</v>
      </c>
      <c r="CU89">
        <f t="shared" si="120"/>
        <v>0</v>
      </c>
      <c r="CV89">
        <f t="shared" si="121"/>
        <v>6.1064999999999987</v>
      </c>
      <c r="CW89">
        <f t="shared" si="122"/>
        <v>2.5000000000000001E-2</v>
      </c>
      <c r="CX89">
        <f t="shared" si="123"/>
        <v>0</v>
      </c>
      <c r="CY89">
        <f t="shared" si="124"/>
        <v>34.214399999999998</v>
      </c>
      <c r="CZ89">
        <f t="shared" si="125"/>
        <v>25.344000000000001</v>
      </c>
      <c r="DC89" t="s">
        <v>6</v>
      </c>
      <c r="DD89" t="s">
        <v>6</v>
      </c>
      <c r="DE89" t="s">
        <v>40</v>
      </c>
      <c r="DF89" t="s">
        <v>40</v>
      </c>
      <c r="DG89" t="s">
        <v>41</v>
      </c>
      <c r="DH89" t="s">
        <v>6</v>
      </c>
      <c r="DI89" t="s">
        <v>41</v>
      </c>
      <c r="DJ89" t="s">
        <v>40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16</v>
      </c>
      <c r="DW89" t="s">
        <v>16</v>
      </c>
      <c r="DX89">
        <v>100</v>
      </c>
      <c r="EE89">
        <v>26549063</v>
      </c>
      <c r="EF89">
        <v>2</v>
      </c>
      <c r="EG89" t="s">
        <v>42</v>
      </c>
      <c r="EH89">
        <v>0</v>
      </c>
      <c r="EI89" t="s">
        <v>6</v>
      </c>
      <c r="EJ89">
        <v>1</v>
      </c>
      <c r="EK89">
        <v>13001</v>
      </c>
      <c r="EL89" t="s">
        <v>151</v>
      </c>
      <c r="EM89" t="s">
        <v>152</v>
      </c>
      <c r="EO89" t="s">
        <v>44</v>
      </c>
      <c r="EQ89">
        <v>0</v>
      </c>
      <c r="ER89">
        <v>268.49</v>
      </c>
      <c r="ES89">
        <v>202.72</v>
      </c>
      <c r="ET89">
        <v>9.2200000000000006</v>
      </c>
      <c r="EU89">
        <v>0.22</v>
      </c>
      <c r="EV89">
        <v>56.55</v>
      </c>
      <c r="EW89">
        <v>5.31</v>
      </c>
      <c r="EX89">
        <v>0.02</v>
      </c>
      <c r="EY89">
        <v>0</v>
      </c>
      <c r="FQ89">
        <v>0</v>
      </c>
      <c r="FR89">
        <f t="shared" si="126"/>
        <v>0</v>
      </c>
      <c r="FS89">
        <v>0</v>
      </c>
      <c r="FT89" t="s">
        <v>45</v>
      </c>
      <c r="FU89" t="s">
        <v>46</v>
      </c>
      <c r="FX89">
        <v>81</v>
      </c>
      <c r="FY89">
        <v>59.5</v>
      </c>
      <c r="GA89" t="s">
        <v>6</v>
      </c>
      <c r="GD89">
        <v>0</v>
      </c>
      <c r="GF89">
        <v>745229369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27"/>
        <v>0</v>
      </c>
      <c r="GM89">
        <f t="shared" si="128"/>
        <v>240.18</v>
      </c>
      <c r="GN89">
        <f t="shared" si="129"/>
        <v>240.18</v>
      </c>
      <c r="GO89">
        <f t="shared" si="130"/>
        <v>0</v>
      </c>
      <c r="GP89">
        <f t="shared" si="131"/>
        <v>0</v>
      </c>
      <c r="GR89">
        <v>0</v>
      </c>
      <c r="GS89">
        <v>3</v>
      </c>
      <c r="GT89">
        <v>0</v>
      </c>
      <c r="GU89" t="s">
        <v>6</v>
      </c>
      <c r="GV89">
        <f t="shared" si="132"/>
        <v>0</v>
      </c>
      <c r="GW89">
        <v>1</v>
      </c>
      <c r="GX89">
        <f t="shared" si="133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ROW(SmtRes!A209)</f>
        <v>209</v>
      </c>
      <c r="D90" s="2">
        <f>ROW(EtalonRes!A205)</f>
        <v>205</v>
      </c>
      <c r="E90" s="2" t="s">
        <v>153</v>
      </c>
      <c r="F90" s="2" t="s">
        <v>154</v>
      </c>
      <c r="G90" s="2" t="s">
        <v>155</v>
      </c>
      <c r="H90" s="2" t="s">
        <v>16</v>
      </c>
      <c r="I90" s="2">
        <f>ROUND(30/100,9)</f>
        <v>0.3</v>
      </c>
      <c r="J90" s="2">
        <v>0</v>
      </c>
      <c r="K90" s="2"/>
      <c r="L90" s="2"/>
      <c r="M90" s="2"/>
      <c r="N90" s="2"/>
      <c r="O90" s="2">
        <f t="shared" si="101"/>
        <v>138.11000000000001</v>
      </c>
      <c r="P90" s="2">
        <f t="shared" si="102"/>
        <v>35.49</v>
      </c>
      <c r="Q90" s="2">
        <f t="shared" si="103"/>
        <v>2.57</v>
      </c>
      <c r="R90" s="2">
        <f t="shared" si="104"/>
        <v>0.48</v>
      </c>
      <c r="S90" s="2">
        <f t="shared" si="105"/>
        <v>100.05</v>
      </c>
      <c r="T90" s="2">
        <f t="shared" si="106"/>
        <v>0</v>
      </c>
      <c r="U90" s="2">
        <f t="shared" si="107"/>
        <v>11.291849999999997</v>
      </c>
      <c r="V90" s="2">
        <f t="shared" si="108"/>
        <v>4.1250000000000002E-2</v>
      </c>
      <c r="W90" s="2">
        <f t="shared" si="109"/>
        <v>0</v>
      </c>
      <c r="X90" s="2">
        <f t="shared" si="110"/>
        <v>95.5</v>
      </c>
      <c r="Y90" s="2">
        <f t="shared" si="111"/>
        <v>47.25</v>
      </c>
      <c r="Z90" s="2"/>
      <c r="AA90" s="2">
        <v>26914188</v>
      </c>
      <c r="AB90" s="2">
        <f t="shared" si="112"/>
        <v>460.351</v>
      </c>
      <c r="AC90" s="2">
        <f t="shared" si="100"/>
        <v>118.3</v>
      </c>
      <c r="AD90" s="2">
        <f>ROUND(((((ET90*1.25))-((EU90*1.25)))+AE90),6)</f>
        <v>8.5625</v>
      </c>
      <c r="AE90" s="2">
        <f>ROUND(((EU90*1.25)),6)</f>
        <v>1.6</v>
      </c>
      <c r="AF90" s="2">
        <f>ROUND(((EV90*1.15)),6)</f>
        <v>333.48849999999999</v>
      </c>
      <c r="AG90" s="2">
        <f t="shared" si="113"/>
        <v>0</v>
      </c>
      <c r="AH90" s="2">
        <f>((EW90*1.15))</f>
        <v>37.639499999999991</v>
      </c>
      <c r="AI90" s="2">
        <f>((EX90*1.25))</f>
        <v>0.13750000000000001</v>
      </c>
      <c r="AJ90" s="2">
        <f t="shared" si="114"/>
        <v>0</v>
      </c>
      <c r="AK90" s="2">
        <v>415.14</v>
      </c>
      <c r="AL90" s="2">
        <v>118.3</v>
      </c>
      <c r="AM90" s="2">
        <v>6.85</v>
      </c>
      <c r="AN90" s="2">
        <v>1.28</v>
      </c>
      <c r="AO90" s="2">
        <v>289.99</v>
      </c>
      <c r="AP90" s="2">
        <v>0</v>
      </c>
      <c r="AQ90" s="2">
        <v>32.729999999999997</v>
      </c>
      <c r="AR90" s="2">
        <v>0.11</v>
      </c>
      <c r="AS90" s="2">
        <v>0</v>
      </c>
      <c r="AT90" s="2">
        <v>95</v>
      </c>
      <c r="AU90" s="2">
        <v>47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156</v>
      </c>
      <c r="BK90" s="2"/>
      <c r="BL90" s="2"/>
      <c r="BM90" s="2">
        <v>15001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105</v>
      </c>
      <c r="CA90" s="2">
        <v>55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510</v>
      </c>
      <c r="CO90" s="2">
        <v>0</v>
      </c>
      <c r="CP90" s="2">
        <f t="shared" si="115"/>
        <v>138.11000000000001</v>
      </c>
      <c r="CQ90" s="2">
        <f t="shared" si="116"/>
        <v>118.3</v>
      </c>
      <c r="CR90" s="2">
        <f t="shared" si="117"/>
        <v>8.5625</v>
      </c>
      <c r="CS90" s="2">
        <f t="shared" si="118"/>
        <v>1.6</v>
      </c>
      <c r="CT90" s="2">
        <f t="shared" si="119"/>
        <v>333.48849999999999</v>
      </c>
      <c r="CU90" s="2">
        <f t="shared" si="120"/>
        <v>0</v>
      </c>
      <c r="CV90" s="2">
        <f t="shared" si="121"/>
        <v>37.639499999999991</v>
      </c>
      <c r="CW90" s="2">
        <f t="shared" si="122"/>
        <v>0.13750000000000001</v>
      </c>
      <c r="CX90" s="2">
        <f t="shared" si="123"/>
        <v>0</v>
      </c>
      <c r="CY90" s="2">
        <f t="shared" si="124"/>
        <v>95.503500000000003</v>
      </c>
      <c r="CZ90" s="2">
        <f t="shared" si="125"/>
        <v>47.249099999999999</v>
      </c>
      <c r="DA90" s="2"/>
      <c r="DB90" s="2"/>
      <c r="DC90" s="2" t="s">
        <v>6</v>
      </c>
      <c r="DD90" s="2" t="s">
        <v>6</v>
      </c>
      <c r="DE90" s="2" t="s">
        <v>40</v>
      </c>
      <c r="DF90" s="2" t="s">
        <v>40</v>
      </c>
      <c r="DG90" s="2" t="s">
        <v>41</v>
      </c>
      <c r="DH90" s="2" t="s">
        <v>6</v>
      </c>
      <c r="DI90" s="2" t="s">
        <v>41</v>
      </c>
      <c r="DJ90" s="2" t="s">
        <v>40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16</v>
      </c>
      <c r="DW90" s="2" t="s">
        <v>16</v>
      </c>
      <c r="DX90" s="2">
        <v>100</v>
      </c>
      <c r="DY90" s="2"/>
      <c r="DZ90" s="2"/>
      <c r="EA90" s="2"/>
      <c r="EB90" s="2"/>
      <c r="EC90" s="2"/>
      <c r="ED90" s="2"/>
      <c r="EE90" s="2">
        <v>26549086</v>
      </c>
      <c r="EF90" s="2">
        <v>2</v>
      </c>
      <c r="EG90" s="2" t="s">
        <v>42</v>
      </c>
      <c r="EH90" s="2">
        <v>0</v>
      </c>
      <c r="EI90" s="2" t="s">
        <v>6</v>
      </c>
      <c r="EJ90" s="2">
        <v>1</v>
      </c>
      <c r="EK90" s="2">
        <v>15001</v>
      </c>
      <c r="EL90" s="2" t="s">
        <v>157</v>
      </c>
      <c r="EM90" s="2" t="s">
        <v>158</v>
      </c>
      <c r="EN90" s="2"/>
      <c r="EO90" s="2" t="s">
        <v>44</v>
      </c>
      <c r="EP90" s="2"/>
      <c r="EQ90" s="2">
        <v>0</v>
      </c>
      <c r="ER90" s="2">
        <v>415.14</v>
      </c>
      <c r="ES90" s="2">
        <v>118.3</v>
      </c>
      <c r="ET90" s="2">
        <v>6.85</v>
      </c>
      <c r="EU90" s="2">
        <v>1.28</v>
      </c>
      <c r="EV90" s="2">
        <v>289.99</v>
      </c>
      <c r="EW90" s="2">
        <v>32.729999999999997</v>
      </c>
      <c r="EX90" s="2">
        <v>0.11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26"/>
        <v>0</v>
      </c>
      <c r="FS90" s="2">
        <v>0</v>
      </c>
      <c r="FT90" s="2" t="s">
        <v>45</v>
      </c>
      <c r="FU90" s="2" t="s">
        <v>46</v>
      </c>
      <c r="FV90" s="2"/>
      <c r="FW90" s="2"/>
      <c r="FX90" s="2">
        <v>94.5</v>
      </c>
      <c r="FY90" s="2">
        <v>46.75</v>
      </c>
      <c r="FZ90" s="2"/>
      <c r="GA90" s="2" t="s">
        <v>6</v>
      </c>
      <c r="GB90" s="2"/>
      <c r="GC90" s="2"/>
      <c r="GD90" s="2">
        <v>0</v>
      </c>
      <c r="GE90" s="2"/>
      <c r="GF90" s="2">
        <v>-1340931547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127"/>
        <v>0</v>
      </c>
      <c r="GM90" s="2">
        <f t="shared" si="128"/>
        <v>280.86</v>
      </c>
      <c r="GN90" s="2">
        <f t="shared" si="129"/>
        <v>280.86</v>
      </c>
      <c r="GO90" s="2">
        <f t="shared" si="130"/>
        <v>0</v>
      </c>
      <c r="GP90" s="2">
        <f t="shared" si="131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32"/>
        <v>0</v>
      </c>
      <c r="GW90" s="2">
        <v>1</v>
      </c>
      <c r="GX90" s="2">
        <f t="shared" si="133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ROW(SmtRes!A218)</f>
        <v>218</v>
      </c>
      <c r="D91">
        <f>ROW(EtalonRes!A214)</f>
        <v>214</v>
      </c>
      <c r="E91" t="s">
        <v>153</v>
      </c>
      <c r="F91" t="s">
        <v>154</v>
      </c>
      <c r="G91" t="s">
        <v>155</v>
      </c>
      <c r="H91" t="s">
        <v>16</v>
      </c>
      <c r="I91">
        <f>ROUND(30/100,9)</f>
        <v>0.3</v>
      </c>
      <c r="J91">
        <v>0</v>
      </c>
      <c r="O91">
        <f t="shared" si="101"/>
        <v>1063.4100000000001</v>
      </c>
      <c r="P91">
        <f t="shared" si="102"/>
        <v>273.27</v>
      </c>
      <c r="Q91">
        <f t="shared" si="103"/>
        <v>19.78</v>
      </c>
      <c r="R91">
        <f t="shared" si="104"/>
        <v>3.7</v>
      </c>
      <c r="S91">
        <f t="shared" si="105"/>
        <v>770.36</v>
      </c>
      <c r="T91">
        <f t="shared" si="106"/>
        <v>0</v>
      </c>
      <c r="U91">
        <f t="shared" si="107"/>
        <v>11.291849999999997</v>
      </c>
      <c r="V91">
        <f t="shared" si="108"/>
        <v>4.1250000000000002E-2</v>
      </c>
      <c r="W91">
        <f t="shared" si="109"/>
        <v>0</v>
      </c>
      <c r="X91">
        <f t="shared" si="110"/>
        <v>735.36</v>
      </c>
      <c r="Y91">
        <f t="shared" si="111"/>
        <v>363.81</v>
      </c>
      <c r="AA91">
        <v>26914189</v>
      </c>
      <c r="AB91">
        <f t="shared" si="112"/>
        <v>460.351</v>
      </c>
      <c r="AC91">
        <f t="shared" si="100"/>
        <v>118.3</v>
      </c>
      <c r="AD91">
        <f>ROUND(((((ET91*1.25))-((EU91*1.25)))+AE91),6)</f>
        <v>8.5625</v>
      </c>
      <c r="AE91">
        <f>ROUND(((EU91*1.25)),6)</f>
        <v>1.6</v>
      </c>
      <c r="AF91">
        <f>ROUND(((EV91*1.15)),6)</f>
        <v>333.48849999999999</v>
      </c>
      <c r="AG91">
        <f t="shared" si="113"/>
        <v>0</v>
      </c>
      <c r="AH91">
        <f>((EW91*1.15))</f>
        <v>37.639499999999991</v>
      </c>
      <c r="AI91">
        <f>((EX91*1.25))</f>
        <v>0.13750000000000001</v>
      </c>
      <c r="AJ91">
        <f t="shared" si="114"/>
        <v>0</v>
      </c>
      <c r="AK91">
        <v>415.14</v>
      </c>
      <c r="AL91">
        <v>118.3</v>
      </c>
      <c r="AM91">
        <v>6.85</v>
      </c>
      <c r="AN91">
        <v>1.28</v>
      </c>
      <c r="AO91">
        <v>289.99</v>
      </c>
      <c r="AP91">
        <v>0</v>
      </c>
      <c r="AQ91">
        <v>32.729999999999997</v>
      </c>
      <c r="AR91">
        <v>0.11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7.7</v>
      </c>
      <c r="BA91">
        <v>7.7</v>
      </c>
      <c r="BB91">
        <v>7.7</v>
      </c>
      <c r="BC91">
        <v>7.7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156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7.7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F91">
        <v>0</v>
      </c>
      <c r="CG91">
        <v>0</v>
      </c>
      <c r="CM91">
        <v>0</v>
      </c>
      <c r="CN91" t="s">
        <v>510</v>
      </c>
      <c r="CO91">
        <v>0</v>
      </c>
      <c r="CP91">
        <f t="shared" si="115"/>
        <v>1063.4099999999999</v>
      </c>
      <c r="CQ91">
        <f t="shared" si="116"/>
        <v>910.91</v>
      </c>
      <c r="CR91">
        <f t="shared" si="117"/>
        <v>65.931250000000006</v>
      </c>
      <c r="CS91">
        <f t="shared" si="118"/>
        <v>12.32</v>
      </c>
      <c r="CT91">
        <f t="shared" si="119"/>
        <v>2567.8614499999999</v>
      </c>
      <c r="CU91">
        <f t="shared" si="120"/>
        <v>0</v>
      </c>
      <c r="CV91">
        <f t="shared" si="121"/>
        <v>37.639499999999991</v>
      </c>
      <c r="CW91">
        <f t="shared" si="122"/>
        <v>0.13750000000000001</v>
      </c>
      <c r="CX91">
        <f t="shared" si="123"/>
        <v>0</v>
      </c>
      <c r="CY91">
        <f t="shared" si="124"/>
        <v>735.35700000000008</v>
      </c>
      <c r="CZ91">
        <f t="shared" si="125"/>
        <v>363.8082</v>
      </c>
      <c r="DC91" t="s">
        <v>6</v>
      </c>
      <c r="DD91" t="s">
        <v>6</v>
      </c>
      <c r="DE91" t="s">
        <v>40</v>
      </c>
      <c r="DF91" t="s">
        <v>40</v>
      </c>
      <c r="DG91" t="s">
        <v>41</v>
      </c>
      <c r="DH91" t="s">
        <v>6</v>
      </c>
      <c r="DI91" t="s">
        <v>41</v>
      </c>
      <c r="DJ91" t="s">
        <v>40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16</v>
      </c>
      <c r="DW91" t="s">
        <v>16</v>
      </c>
      <c r="DX91">
        <v>100</v>
      </c>
      <c r="EE91">
        <v>26549086</v>
      </c>
      <c r="EF91">
        <v>2</v>
      </c>
      <c r="EG91" t="s">
        <v>42</v>
      </c>
      <c r="EH91">
        <v>0</v>
      </c>
      <c r="EI91" t="s">
        <v>6</v>
      </c>
      <c r="EJ91">
        <v>1</v>
      </c>
      <c r="EK91">
        <v>15001</v>
      </c>
      <c r="EL91" t="s">
        <v>157</v>
      </c>
      <c r="EM91" t="s">
        <v>158</v>
      </c>
      <c r="EO91" t="s">
        <v>44</v>
      </c>
      <c r="EQ91">
        <v>0</v>
      </c>
      <c r="ER91">
        <v>415.14</v>
      </c>
      <c r="ES91">
        <v>118.3</v>
      </c>
      <c r="ET91">
        <v>6.85</v>
      </c>
      <c r="EU91">
        <v>1.28</v>
      </c>
      <c r="EV91">
        <v>289.99</v>
      </c>
      <c r="EW91">
        <v>32.729999999999997</v>
      </c>
      <c r="EX91">
        <v>0.11</v>
      </c>
      <c r="EY91">
        <v>0</v>
      </c>
      <c r="FQ91">
        <v>0</v>
      </c>
      <c r="FR91">
        <f t="shared" si="126"/>
        <v>0</v>
      </c>
      <c r="FS91">
        <v>0</v>
      </c>
      <c r="FT91" t="s">
        <v>45</v>
      </c>
      <c r="FU91" t="s">
        <v>46</v>
      </c>
      <c r="FX91">
        <v>94.5</v>
      </c>
      <c r="FY91">
        <v>46.75</v>
      </c>
      <c r="GA91" t="s">
        <v>6</v>
      </c>
      <c r="GD91">
        <v>0</v>
      </c>
      <c r="GF91">
        <v>-1340931547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127"/>
        <v>0</v>
      </c>
      <c r="GM91">
        <f t="shared" si="128"/>
        <v>2162.58</v>
      </c>
      <c r="GN91">
        <f t="shared" si="129"/>
        <v>2162.58</v>
      </c>
      <c r="GO91">
        <f t="shared" si="130"/>
        <v>0</v>
      </c>
      <c r="GP91">
        <f t="shared" si="131"/>
        <v>0</v>
      </c>
      <c r="GR91">
        <v>0</v>
      </c>
      <c r="GS91">
        <v>3</v>
      </c>
      <c r="GT91">
        <v>0</v>
      </c>
      <c r="GU91" t="s">
        <v>6</v>
      </c>
      <c r="GV91">
        <f t="shared" si="132"/>
        <v>0</v>
      </c>
      <c r="GW91">
        <v>1</v>
      </c>
      <c r="GX91">
        <f t="shared" si="133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207</v>
      </c>
      <c r="D92" s="2"/>
      <c r="E92" s="2" t="s">
        <v>159</v>
      </c>
      <c r="F92" s="2" t="s">
        <v>160</v>
      </c>
      <c r="G92" s="2" t="s">
        <v>161</v>
      </c>
      <c r="H92" s="2" t="s">
        <v>50</v>
      </c>
      <c r="I92" s="2">
        <f>I90*J92</f>
        <v>9</v>
      </c>
      <c r="J92" s="2">
        <v>30.000000000000004</v>
      </c>
      <c r="K92" s="2"/>
      <c r="L92" s="2"/>
      <c r="M92" s="2"/>
      <c r="N92" s="2"/>
      <c r="O92" s="2">
        <f t="shared" si="101"/>
        <v>646.02</v>
      </c>
      <c r="P92" s="2">
        <f t="shared" si="102"/>
        <v>646.02</v>
      </c>
      <c r="Q92" s="2">
        <f t="shared" si="103"/>
        <v>0</v>
      </c>
      <c r="R92" s="2">
        <f t="shared" si="104"/>
        <v>0</v>
      </c>
      <c r="S92" s="2">
        <f t="shared" si="105"/>
        <v>0</v>
      </c>
      <c r="T92" s="2">
        <f t="shared" si="106"/>
        <v>0</v>
      </c>
      <c r="U92" s="2">
        <f t="shared" si="107"/>
        <v>0</v>
      </c>
      <c r="V92" s="2">
        <f t="shared" si="108"/>
        <v>0</v>
      </c>
      <c r="W92" s="2">
        <f t="shared" si="109"/>
        <v>0</v>
      </c>
      <c r="X92" s="2">
        <f t="shared" si="110"/>
        <v>0</v>
      </c>
      <c r="Y92" s="2">
        <f t="shared" si="111"/>
        <v>0</v>
      </c>
      <c r="Z92" s="2"/>
      <c r="AA92" s="2">
        <v>26914188</v>
      </c>
      <c r="AB92" s="2">
        <f t="shared" si="112"/>
        <v>71.78</v>
      </c>
      <c r="AC92" s="2">
        <f t="shared" si="100"/>
        <v>71.78</v>
      </c>
      <c r="AD92" s="2">
        <f>ROUND((((ET92)-(EU92))+AE92),6)</f>
        <v>0</v>
      </c>
      <c r="AE92" s="2">
        <f t="shared" ref="AE92:AF95" si="134">ROUND((EU92),6)</f>
        <v>0</v>
      </c>
      <c r="AF92" s="2">
        <f t="shared" si="134"/>
        <v>0</v>
      </c>
      <c r="AG92" s="2">
        <f t="shared" si="113"/>
        <v>0</v>
      </c>
      <c r="AH92" s="2">
        <f t="shared" ref="AH92:AI95" si="135">(EW92)</f>
        <v>0</v>
      </c>
      <c r="AI92" s="2">
        <f t="shared" si="135"/>
        <v>0</v>
      </c>
      <c r="AJ92" s="2">
        <f t="shared" si="114"/>
        <v>0</v>
      </c>
      <c r="AK92" s="2">
        <v>71.78</v>
      </c>
      <c r="AL92" s="2">
        <v>71.78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95</v>
      </c>
      <c r="AU92" s="2">
        <v>47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162</v>
      </c>
      <c r="BK92" s="2"/>
      <c r="BL92" s="2"/>
      <c r="BM92" s="2">
        <v>15001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105</v>
      </c>
      <c r="CA92" s="2">
        <v>55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115"/>
        <v>646.02</v>
      </c>
      <c r="CQ92" s="2">
        <f t="shared" si="116"/>
        <v>71.78</v>
      </c>
      <c r="CR92" s="2">
        <f t="shared" si="117"/>
        <v>0</v>
      </c>
      <c r="CS92" s="2">
        <f t="shared" si="118"/>
        <v>0</v>
      </c>
      <c r="CT92" s="2">
        <f t="shared" si="119"/>
        <v>0</v>
      </c>
      <c r="CU92" s="2">
        <f t="shared" si="120"/>
        <v>0</v>
      </c>
      <c r="CV92" s="2">
        <f t="shared" si="121"/>
        <v>0</v>
      </c>
      <c r="CW92" s="2">
        <f t="shared" si="122"/>
        <v>0</v>
      </c>
      <c r="CX92" s="2">
        <f t="shared" si="123"/>
        <v>0</v>
      </c>
      <c r="CY92" s="2">
        <f t="shared" si="124"/>
        <v>0</v>
      </c>
      <c r="CZ92" s="2">
        <f t="shared" si="125"/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1009</v>
      </c>
      <c r="DV92" s="2" t="s">
        <v>50</v>
      </c>
      <c r="DW92" s="2" t="s">
        <v>50</v>
      </c>
      <c r="DX92" s="2">
        <v>1</v>
      </c>
      <c r="DY92" s="2"/>
      <c r="DZ92" s="2"/>
      <c r="EA92" s="2"/>
      <c r="EB92" s="2"/>
      <c r="EC92" s="2"/>
      <c r="ED92" s="2"/>
      <c r="EE92" s="2">
        <v>26549086</v>
      </c>
      <c r="EF92" s="2">
        <v>2</v>
      </c>
      <c r="EG92" s="2" t="s">
        <v>42</v>
      </c>
      <c r="EH92" s="2">
        <v>0</v>
      </c>
      <c r="EI92" s="2" t="s">
        <v>6</v>
      </c>
      <c r="EJ92" s="2">
        <v>1</v>
      </c>
      <c r="EK92" s="2">
        <v>15001</v>
      </c>
      <c r="EL92" s="2" t="s">
        <v>157</v>
      </c>
      <c r="EM92" s="2" t="s">
        <v>158</v>
      </c>
      <c r="EN92" s="2"/>
      <c r="EO92" s="2" t="s">
        <v>6</v>
      </c>
      <c r="EP92" s="2"/>
      <c r="EQ92" s="2">
        <v>0</v>
      </c>
      <c r="ER92" s="2">
        <v>71.78</v>
      </c>
      <c r="ES92" s="2">
        <v>71.78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26"/>
        <v>0</v>
      </c>
      <c r="FS92" s="2">
        <v>0</v>
      </c>
      <c r="FT92" s="2" t="s">
        <v>45</v>
      </c>
      <c r="FU92" s="2" t="s">
        <v>46</v>
      </c>
      <c r="FV92" s="2"/>
      <c r="FW92" s="2"/>
      <c r="FX92" s="2">
        <v>94.5</v>
      </c>
      <c r="FY92" s="2">
        <v>46.75</v>
      </c>
      <c r="FZ92" s="2"/>
      <c r="GA92" s="2" t="s">
        <v>6</v>
      </c>
      <c r="GB92" s="2"/>
      <c r="GC92" s="2"/>
      <c r="GD92" s="2">
        <v>0</v>
      </c>
      <c r="GE92" s="2"/>
      <c r="GF92" s="2">
        <v>-1322503055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27"/>
        <v>0</v>
      </c>
      <c r="GM92" s="2">
        <f t="shared" si="128"/>
        <v>646.02</v>
      </c>
      <c r="GN92" s="2">
        <f t="shared" si="129"/>
        <v>646.02</v>
      </c>
      <c r="GO92" s="2">
        <f t="shared" si="130"/>
        <v>0</v>
      </c>
      <c r="GP92" s="2">
        <f t="shared" si="131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32"/>
        <v>0</v>
      </c>
      <c r="GW92" s="2">
        <v>1</v>
      </c>
      <c r="GX92" s="2">
        <f t="shared" si="133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216</v>
      </c>
      <c r="E93" t="s">
        <v>159</v>
      </c>
      <c r="F93" t="s">
        <v>160</v>
      </c>
      <c r="G93" t="s">
        <v>161</v>
      </c>
      <c r="H93" t="s">
        <v>50</v>
      </c>
      <c r="I93">
        <f>I91*J93</f>
        <v>9</v>
      </c>
      <c r="J93">
        <v>30.000000000000004</v>
      </c>
      <c r="O93">
        <f t="shared" si="101"/>
        <v>4974.3500000000004</v>
      </c>
      <c r="P93">
        <f t="shared" si="102"/>
        <v>4974.3500000000004</v>
      </c>
      <c r="Q93">
        <f t="shared" si="103"/>
        <v>0</v>
      </c>
      <c r="R93">
        <f t="shared" si="104"/>
        <v>0</v>
      </c>
      <c r="S93">
        <f t="shared" si="105"/>
        <v>0</v>
      </c>
      <c r="T93">
        <f t="shared" si="106"/>
        <v>0</v>
      </c>
      <c r="U93">
        <f t="shared" si="107"/>
        <v>0</v>
      </c>
      <c r="V93">
        <f t="shared" si="108"/>
        <v>0</v>
      </c>
      <c r="W93">
        <f t="shared" si="109"/>
        <v>0</v>
      </c>
      <c r="X93">
        <f t="shared" si="110"/>
        <v>0</v>
      </c>
      <c r="Y93">
        <f t="shared" si="111"/>
        <v>0</v>
      </c>
      <c r="AA93">
        <v>26914189</v>
      </c>
      <c r="AB93">
        <f t="shared" si="112"/>
        <v>71.78</v>
      </c>
      <c r="AC93">
        <f t="shared" si="100"/>
        <v>71.78</v>
      </c>
      <c r="AD93">
        <f>ROUND((((ET93)-(EU93))+AE93),6)</f>
        <v>0</v>
      </c>
      <c r="AE93">
        <f t="shared" si="134"/>
        <v>0</v>
      </c>
      <c r="AF93">
        <f t="shared" si="134"/>
        <v>0</v>
      </c>
      <c r="AG93">
        <f t="shared" si="113"/>
        <v>0</v>
      </c>
      <c r="AH93">
        <f t="shared" si="135"/>
        <v>0</v>
      </c>
      <c r="AI93">
        <f t="shared" si="135"/>
        <v>0</v>
      </c>
      <c r="AJ93">
        <f t="shared" si="114"/>
        <v>0</v>
      </c>
      <c r="AK93">
        <v>71.78</v>
      </c>
      <c r="AL93">
        <v>71.78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7.7</v>
      </c>
      <c r="BA93">
        <v>1</v>
      </c>
      <c r="BB93">
        <v>1</v>
      </c>
      <c r="BC93">
        <v>7.7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162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15"/>
        <v>4974.3500000000004</v>
      </c>
      <c r="CQ93">
        <f t="shared" si="116"/>
        <v>552.70600000000002</v>
      </c>
      <c r="CR93">
        <f t="shared" si="117"/>
        <v>0</v>
      </c>
      <c r="CS93">
        <f t="shared" si="118"/>
        <v>0</v>
      </c>
      <c r="CT93">
        <f t="shared" si="119"/>
        <v>0</v>
      </c>
      <c r="CU93">
        <f t="shared" si="120"/>
        <v>0</v>
      </c>
      <c r="CV93">
        <f t="shared" si="121"/>
        <v>0</v>
      </c>
      <c r="CW93">
        <f t="shared" si="122"/>
        <v>0</v>
      </c>
      <c r="CX93">
        <f t="shared" si="123"/>
        <v>0</v>
      </c>
      <c r="CY93">
        <f t="shared" si="124"/>
        <v>0</v>
      </c>
      <c r="CZ93">
        <f t="shared" si="125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50</v>
      </c>
      <c r="DW93" t="s">
        <v>50</v>
      </c>
      <c r="DX93">
        <v>1</v>
      </c>
      <c r="EE93">
        <v>26549086</v>
      </c>
      <c r="EF93">
        <v>2</v>
      </c>
      <c r="EG93" t="s">
        <v>42</v>
      </c>
      <c r="EH93">
        <v>0</v>
      </c>
      <c r="EI93" t="s">
        <v>6</v>
      </c>
      <c r="EJ93">
        <v>1</v>
      </c>
      <c r="EK93">
        <v>15001</v>
      </c>
      <c r="EL93" t="s">
        <v>157</v>
      </c>
      <c r="EM93" t="s">
        <v>158</v>
      </c>
      <c r="EO93" t="s">
        <v>6</v>
      </c>
      <c r="EQ93">
        <v>0</v>
      </c>
      <c r="ER93">
        <v>71.78</v>
      </c>
      <c r="ES93">
        <v>71.78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6"/>
        <v>0</v>
      </c>
      <c r="FS93">
        <v>0</v>
      </c>
      <c r="FT93" t="s">
        <v>45</v>
      </c>
      <c r="FU93" t="s">
        <v>46</v>
      </c>
      <c r="FX93">
        <v>94.5</v>
      </c>
      <c r="FY93">
        <v>46.75</v>
      </c>
      <c r="GA93" t="s">
        <v>6</v>
      </c>
      <c r="GD93">
        <v>0</v>
      </c>
      <c r="GF93">
        <v>-1322503055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27"/>
        <v>0</v>
      </c>
      <c r="GM93">
        <f t="shared" si="128"/>
        <v>4974.3500000000004</v>
      </c>
      <c r="GN93">
        <f t="shared" si="129"/>
        <v>4974.3500000000004</v>
      </c>
      <c r="GO93">
        <f t="shared" si="130"/>
        <v>0</v>
      </c>
      <c r="GP93">
        <f t="shared" si="131"/>
        <v>0</v>
      </c>
      <c r="GR93">
        <v>0</v>
      </c>
      <c r="GS93">
        <v>3</v>
      </c>
      <c r="GT93">
        <v>0</v>
      </c>
      <c r="GU93" t="s">
        <v>6</v>
      </c>
      <c r="GV93">
        <f t="shared" si="132"/>
        <v>0</v>
      </c>
      <c r="GW93">
        <v>1</v>
      </c>
      <c r="GX93">
        <f t="shared" si="133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208</v>
      </c>
      <c r="D94" s="2"/>
      <c r="E94" s="2" t="s">
        <v>163</v>
      </c>
      <c r="F94" s="2" t="s">
        <v>164</v>
      </c>
      <c r="G94" s="2" t="s">
        <v>165</v>
      </c>
      <c r="H94" s="2" t="s">
        <v>24</v>
      </c>
      <c r="I94" s="2">
        <f>I90*J94</f>
        <v>6.0000000000000001E-3</v>
      </c>
      <c r="J94" s="2">
        <v>0.02</v>
      </c>
      <c r="K94" s="2"/>
      <c r="L94" s="2"/>
      <c r="M94" s="2"/>
      <c r="N94" s="2"/>
      <c r="O94" s="2">
        <f t="shared" si="101"/>
        <v>67.349999999999994</v>
      </c>
      <c r="P94" s="2">
        <f t="shared" si="102"/>
        <v>67.349999999999994</v>
      </c>
      <c r="Q94" s="2">
        <f t="shared" si="103"/>
        <v>0</v>
      </c>
      <c r="R94" s="2">
        <f t="shared" si="104"/>
        <v>0</v>
      </c>
      <c r="S94" s="2">
        <f t="shared" si="105"/>
        <v>0</v>
      </c>
      <c r="T94" s="2">
        <f t="shared" si="106"/>
        <v>0</v>
      </c>
      <c r="U94" s="2">
        <f t="shared" si="107"/>
        <v>0</v>
      </c>
      <c r="V94" s="2">
        <f t="shared" si="108"/>
        <v>0</v>
      </c>
      <c r="W94" s="2">
        <f t="shared" si="109"/>
        <v>0</v>
      </c>
      <c r="X94" s="2">
        <f t="shared" si="110"/>
        <v>0</v>
      </c>
      <c r="Y94" s="2">
        <f t="shared" si="111"/>
        <v>0</v>
      </c>
      <c r="Z94" s="2"/>
      <c r="AA94" s="2">
        <v>26914188</v>
      </c>
      <c r="AB94" s="2">
        <f t="shared" si="112"/>
        <v>11225.81</v>
      </c>
      <c r="AC94" s="2">
        <f t="shared" si="100"/>
        <v>11225.81</v>
      </c>
      <c r="AD94" s="2">
        <f>ROUND((((ET94)-(EU94))+AE94),6)</f>
        <v>0</v>
      </c>
      <c r="AE94" s="2">
        <f t="shared" si="134"/>
        <v>0</v>
      </c>
      <c r="AF94" s="2">
        <f t="shared" si="134"/>
        <v>0</v>
      </c>
      <c r="AG94" s="2">
        <f t="shared" si="113"/>
        <v>0</v>
      </c>
      <c r="AH94" s="2">
        <f t="shared" si="135"/>
        <v>0</v>
      </c>
      <c r="AI94" s="2">
        <f t="shared" si="135"/>
        <v>0</v>
      </c>
      <c r="AJ94" s="2">
        <f t="shared" si="114"/>
        <v>0</v>
      </c>
      <c r="AK94" s="2">
        <v>11225.81</v>
      </c>
      <c r="AL94" s="2">
        <v>11225.81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166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15"/>
        <v>67.349999999999994</v>
      </c>
      <c r="CQ94" s="2">
        <f t="shared" si="116"/>
        <v>11225.81</v>
      </c>
      <c r="CR94" s="2">
        <f t="shared" si="117"/>
        <v>0</v>
      </c>
      <c r="CS94" s="2">
        <f t="shared" si="118"/>
        <v>0</v>
      </c>
      <c r="CT94" s="2">
        <f t="shared" si="119"/>
        <v>0</v>
      </c>
      <c r="CU94" s="2">
        <f t="shared" si="120"/>
        <v>0</v>
      </c>
      <c r="CV94" s="2">
        <f t="shared" si="121"/>
        <v>0</v>
      </c>
      <c r="CW94" s="2">
        <f t="shared" si="122"/>
        <v>0</v>
      </c>
      <c r="CX94" s="2">
        <f t="shared" si="123"/>
        <v>0</v>
      </c>
      <c r="CY94" s="2">
        <f t="shared" si="124"/>
        <v>0</v>
      </c>
      <c r="CZ94" s="2">
        <f t="shared" si="125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1009</v>
      </c>
      <c r="DV94" s="2" t="s">
        <v>24</v>
      </c>
      <c r="DW94" s="2" t="s">
        <v>24</v>
      </c>
      <c r="DX94" s="2">
        <v>1000</v>
      </c>
      <c r="DY94" s="2"/>
      <c r="DZ94" s="2"/>
      <c r="EA94" s="2"/>
      <c r="EB94" s="2"/>
      <c r="EC94" s="2"/>
      <c r="ED94" s="2"/>
      <c r="EE94" s="2">
        <v>26549086</v>
      </c>
      <c r="EF94" s="2">
        <v>2</v>
      </c>
      <c r="EG94" s="2" t="s">
        <v>42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157</v>
      </c>
      <c r="EM94" s="2" t="s">
        <v>158</v>
      </c>
      <c r="EN94" s="2"/>
      <c r="EO94" s="2" t="s">
        <v>6</v>
      </c>
      <c r="EP94" s="2"/>
      <c r="EQ94" s="2">
        <v>0</v>
      </c>
      <c r="ER94" s="2">
        <v>11225.81</v>
      </c>
      <c r="ES94" s="2">
        <v>11225.81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6"/>
        <v>0</v>
      </c>
      <c r="FS94" s="2">
        <v>0</v>
      </c>
      <c r="FT94" s="2" t="s">
        <v>45</v>
      </c>
      <c r="FU94" s="2" t="s">
        <v>46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-1039321151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27"/>
        <v>0</v>
      </c>
      <c r="GM94" s="2">
        <f t="shared" si="128"/>
        <v>67.349999999999994</v>
      </c>
      <c r="GN94" s="2">
        <f t="shared" si="129"/>
        <v>67.349999999999994</v>
      </c>
      <c r="GO94" s="2">
        <f t="shared" si="130"/>
        <v>0</v>
      </c>
      <c r="GP94" s="2">
        <f t="shared" si="131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2"/>
        <v>0</v>
      </c>
      <c r="GW94" s="2">
        <v>1</v>
      </c>
      <c r="GX94" s="2">
        <f t="shared" si="133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217</v>
      </c>
      <c r="E95" t="s">
        <v>163</v>
      </c>
      <c r="F95" t="s">
        <v>164</v>
      </c>
      <c r="G95" t="s">
        <v>165</v>
      </c>
      <c r="H95" t="s">
        <v>24</v>
      </c>
      <c r="I95">
        <f>I91*J95</f>
        <v>6.0000000000000001E-3</v>
      </c>
      <c r="J95">
        <v>0.02</v>
      </c>
      <c r="O95">
        <f t="shared" si="101"/>
        <v>518.63</v>
      </c>
      <c r="P95">
        <f t="shared" si="102"/>
        <v>518.63</v>
      </c>
      <c r="Q95">
        <f t="shared" si="103"/>
        <v>0</v>
      </c>
      <c r="R95">
        <f t="shared" si="104"/>
        <v>0</v>
      </c>
      <c r="S95">
        <f t="shared" si="105"/>
        <v>0</v>
      </c>
      <c r="T95">
        <f t="shared" si="106"/>
        <v>0</v>
      </c>
      <c r="U95">
        <f t="shared" si="107"/>
        <v>0</v>
      </c>
      <c r="V95">
        <f t="shared" si="108"/>
        <v>0</v>
      </c>
      <c r="W95">
        <f t="shared" si="109"/>
        <v>0</v>
      </c>
      <c r="X95">
        <f t="shared" si="110"/>
        <v>0</v>
      </c>
      <c r="Y95">
        <f t="shared" si="111"/>
        <v>0</v>
      </c>
      <c r="AA95">
        <v>26914189</v>
      </c>
      <c r="AB95">
        <f t="shared" si="112"/>
        <v>11225.81</v>
      </c>
      <c r="AC95">
        <f t="shared" si="100"/>
        <v>11225.81</v>
      </c>
      <c r="AD95">
        <f>ROUND((((ET95)-(EU95))+AE95),6)</f>
        <v>0</v>
      </c>
      <c r="AE95">
        <f t="shared" si="134"/>
        <v>0</v>
      </c>
      <c r="AF95">
        <f t="shared" si="134"/>
        <v>0</v>
      </c>
      <c r="AG95">
        <f t="shared" si="113"/>
        <v>0</v>
      </c>
      <c r="AH95">
        <f t="shared" si="135"/>
        <v>0</v>
      </c>
      <c r="AI95">
        <f t="shared" si="135"/>
        <v>0</v>
      </c>
      <c r="AJ95">
        <f t="shared" si="114"/>
        <v>0</v>
      </c>
      <c r="AK95">
        <v>11225.81</v>
      </c>
      <c r="AL95">
        <v>11225.81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7.7</v>
      </c>
      <c r="BA95">
        <v>1</v>
      </c>
      <c r="BB95">
        <v>1</v>
      </c>
      <c r="BC95">
        <v>7.7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166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15"/>
        <v>518.63</v>
      </c>
      <c r="CQ95">
        <f t="shared" si="116"/>
        <v>86438.736999999994</v>
      </c>
      <c r="CR95">
        <f t="shared" si="117"/>
        <v>0</v>
      </c>
      <c r="CS95">
        <f t="shared" si="118"/>
        <v>0</v>
      </c>
      <c r="CT95">
        <f t="shared" si="119"/>
        <v>0</v>
      </c>
      <c r="CU95">
        <f t="shared" si="120"/>
        <v>0</v>
      </c>
      <c r="CV95">
        <f t="shared" si="121"/>
        <v>0</v>
      </c>
      <c r="CW95">
        <f t="shared" si="122"/>
        <v>0</v>
      </c>
      <c r="CX95">
        <f t="shared" si="123"/>
        <v>0</v>
      </c>
      <c r="CY95">
        <f t="shared" si="124"/>
        <v>0</v>
      </c>
      <c r="CZ95">
        <f t="shared" si="125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24</v>
      </c>
      <c r="DW95" t="s">
        <v>24</v>
      </c>
      <c r="DX95">
        <v>1000</v>
      </c>
      <c r="EE95">
        <v>26549086</v>
      </c>
      <c r="EF95">
        <v>2</v>
      </c>
      <c r="EG95" t="s">
        <v>42</v>
      </c>
      <c r="EH95">
        <v>0</v>
      </c>
      <c r="EI95" t="s">
        <v>6</v>
      </c>
      <c r="EJ95">
        <v>1</v>
      </c>
      <c r="EK95">
        <v>15001</v>
      </c>
      <c r="EL95" t="s">
        <v>157</v>
      </c>
      <c r="EM95" t="s">
        <v>158</v>
      </c>
      <c r="EO95" t="s">
        <v>6</v>
      </c>
      <c r="EQ95">
        <v>0</v>
      </c>
      <c r="ER95">
        <v>11225.81</v>
      </c>
      <c r="ES95">
        <v>11225.81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6"/>
        <v>0</v>
      </c>
      <c r="FS95">
        <v>0</v>
      </c>
      <c r="FT95" t="s">
        <v>45</v>
      </c>
      <c r="FU95" t="s">
        <v>46</v>
      </c>
      <c r="FX95">
        <v>94.5</v>
      </c>
      <c r="FY95">
        <v>46.75</v>
      </c>
      <c r="GA95" t="s">
        <v>6</v>
      </c>
      <c r="GD95">
        <v>0</v>
      </c>
      <c r="GF95">
        <v>-1039321151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27"/>
        <v>0</v>
      </c>
      <c r="GM95">
        <f t="shared" si="128"/>
        <v>518.63</v>
      </c>
      <c r="GN95">
        <f t="shared" si="129"/>
        <v>518.63</v>
      </c>
      <c r="GO95">
        <f t="shared" si="130"/>
        <v>0</v>
      </c>
      <c r="GP95">
        <f t="shared" si="131"/>
        <v>0</v>
      </c>
      <c r="GR95">
        <v>0</v>
      </c>
      <c r="GS95">
        <v>3</v>
      </c>
      <c r="GT95">
        <v>0</v>
      </c>
      <c r="GU95" t="s">
        <v>6</v>
      </c>
      <c r="GV95">
        <f t="shared" si="132"/>
        <v>0</v>
      </c>
      <c r="GW95">
        <v>1</v>
      </c>
      <c r="GX95">
        <f t="shared" si="133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ROW(SmtRes!A228)</f>
        <v>228</v>
      </c>
      <c r="D96" s="2">
        <f>ROW(EtalonRes!A222)</f>
        <v>222</v>
      </c>
      <c r="E96" s="2" t="s">
        <v>167</v>
      </c>
      <c r="F96" s="2" t="s">
        <v>168</v>
      </c>
      <c r="G96" s="2" t="s">
        <v>169</v>
      </c>
      <c r="H96" s="2" t="s">
        <v>92</v>
      </c>
      <c r="I96" s="2">
        <v>16</v>
      </c>
      <c r="J96" s="2">
        <v>0</v>
      </c>
      <c r="K96" s="2"/>
      <c r="L96" s="2"/>
      <c r="M96" s="2"/>
      <c r="N96" s="2"/>
      <c r="O96" s="2">
        <f t="shared" si="101"/>
        <v>1380.02</v>
      </c>
      <c r="P96" s="2">
        <f t="shared" si="102"/>
        <v>831.2</v>
      </c>
      <c r="Q96" s="2">
        <f t="shared" si="103"/>
        <v>112</v>
      </c>
      <c r="R96" s="2">
        <f t="shared" si="104"/>
        <v>4.5999999999999996</v>
      </c>
      <c r="S96" s="2">
        <f t="shared" si="105"/>
        <v>436.82</v>
      </c>
      <c r="T96" s="2">
        <f t="shared" si="106"/>
        <v>0</v>
      </c>
      <c r="U96" s="2">
        <f t="shared" si="107"/>
        <v>43.423999999999992</v>
      </c>
      <c r="V96" s="2">
        <f t="shared" si="108"/>
        <v>0.4</v>
      </c>
      <c r="W96" s="2">
        <f t="shared" si="109"/>
        <v>0</v>
      </c>
      <c r="X96" s="2">
        <f t="shared" si="110"/>
        <v>357.55</v>
      </c>
      <c r="Y96" s="2">
        <f t="shared" si="111"/>
        <v>317.82</v>
      </c>
      <c r="Z96" s="2"/>
      <c r="AA96" s="2">
        <v>26914188</v>
      </c>
      <c r="AB96" s="2">
        <f t="shared" si="112"/>
        <v>86.251000000000005</v>
      </c>
      <c r="AC96" s="2">
        <f t="shared" si="100"/>
        <v>51.95</v>
      </c>
      <c r="AD96" s="2">
        <f>ROUND(((((ET96*1.25))-((EU96*1.25)))+AE96),6)</f>
        <v>7</v>
      </c>
      <c r="AE96" s="2">
        <f>ROUND(((EU96*1.25)),6)</f>
        <v>0.28749999999999998</v>
      </c>
      <c r="AF96" s="2">
        <f>ROUND(((EV96*1.15)),6)</f>
        <v>27.300999999999998</v>
      </c>
      <c r="AG96" s="2">
        <f t="shared" si="113"/>
        <v>0</v>
      </c>
      <c r="AH96" s="2">
        <f>((EW96*1.15))</f>
        <v>2.7139999999999995</v>
      </c>
      <c r="AI96" s="2">
        <f>((EX96*1.25))</f>
        <v>2.5000000000000001E-2</v>
      </c>
      <c r="AJ96" s="2">
        <f t="shared" si="114"/>
        <v>0</v>
      </c>
      <c r="AK96" s="2">
        <v>81.290000000000006</v>
      </c>
      <c r="AL96" s="2">
        <v>51.95</v>
      </c>
      <c r="AM96" s="2">
        <v>5.6</v>
      </c>
      <c r="AN96" s="2">
        <v>0.23</v>
      </c>
      <c r="AO96" s="2">
        <v>23.74</v>
      </c>
      <c r="AP96" s="2">
        <v>0</v>
      </c>
      <c r="AQ96" s="2">
        <v>2.36</v>
      </c>
      <c r="AR96" s="2">
        <v>0.02</v>
      </c>
      <c r="AS96" s="2">
        <v>0</v>
      </c>
      <c r="AT96" s="2">
        <v>81</v>
      </c>
      <c r="AU96" s="2">
        <v>72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0</v>
      </c>
      <c r="BI96" s="2">
        <v>1</v>
      </c>
      <c r="BJ96" s="2" t="s">
        <v>170</v>
      </c>
      <c r="BK96" s="2"/>
      <c r="BL96" s="2"/>
      <c r="BM96" s="2">
        <v>9001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90</v>
      </c>
      <c r="CA96" s="2">
        <v>85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510</v>
      </c>
      <c r="CO96" s="2">
        <v>0</v>
      </c>
      <c r="CP96" s="2">
        <f t="shared" si="115"/>
        <v>1380.02</v>
      </c>
      <c r="CQ96" s="2">
        <f t="shared" si="116"/>
        <v>51.95</v>
      </c>
      <c r="CR96" s="2">
        <f t="shared" si="117"/>
        <v>7</v>
      </c>
      <c r="CS96" s="2">
        <f t="shared" si="118"/>
        <v>0.28749999999999998</v>
      </c>
      <c r="CT96" s="2">
        <f t="shared" si="119"/>
        <v>27.300999999999998</v>
      </c>
      <c r="CU96" s="2">
        <f t="shared" si="120"/>
        <v>0</v>
      </c>
      <c r="CV96" s="2">
        <f t="shared" si="121"/>
        <v>2.7139999999999995</v>
      </c>
      <c r="CW96" s="2">
        <f t="shared" si="122"/>
        <v>2.5000000000000001E-2</v>
      </c>
      <c r="CX96" s="2">
        <f t="shared" si="123"/>
        <v>0</v>
      </c>
      <c r="CY96" s="2">
        <f t="shared" si="124"/>
        <v>357.55020000000002</v>
      </c>
      <c r="CZ96" s="2">
        <f t="shared" si="125"/>
        <v>317.82240000000002</v>
      </c>
      <c r="DA96" s="2"/>
      <c r="DB96" s="2"/>
      <c r="DC96" s="2" t="s">
        <v>6</v>
      </c>
      <c r="DD96" s="2" t="s">
        <v>6</v>
      </c>
      <c r="DE96" s="2" t="s">
        <v>40</v>
      </c>
      <c r="DF96" s="2" t="s">
        <v>40</v>
      </c>
      <c r="DG96" s="2" t="s">
        <v>41</v>
      </c>
      <c r="DH96" s="2" t="s">
        <v>6</v>
      </c>
      <c r="DI96" s="2" t="s">
        <v>41</v>
      </c>
      <c r="DJ96" s="2" t="s">
        <v>40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92</v>
      </c>
      <c r="DW96" s="2" t="s">
        <v>92</v>
      </c>
      <c r="DX96" s="2">
        <v>1</v>
      </c>
      <c r="DY96" s="2"/>
      <c r="DZ96" s="2"/>
      <c r="EA96" s="2"/>
      <c r="EB96" s="2"/>
      <c r="EC96" s="2"/>
      <c r="ED96" s="2"/>
      <c r="EE96" s="2">
        <v>26549059</v>
      </c>
      <c r="EF96" s="2">
        <v>2</v>
      </c>
      <c r="EG96" s="2" t="s">
        <v>42</v>
      </c>
      <c r="EH96" s="2">
        <v>0</v>
      </c>
      <c r="EI96" s="2" t="s">
        <v>6</v>
      </c>
      <c r="EJ96" s="2">
        <v>1</v>
      </c>
      <c r="EK96" s="2">
        <v>9001</v>
      </c>
      <c r="EL96" s="2" t="s">
        <v>171</v>
      </c>
      <c r="EM96" s="2" t="s">
        <v>172</v>
      </c>
      <c r="EN96" s="2"/>
      <c r="EO96" s="2" t="s">
        <v>44</v>
      </c>
      <c r="EP96" s="2"/>
      <c r="EQ96" s="2">
        <v>0</v>
      </c>
      <c r="ER96" s="2">
        <v>81.290000000000006</v>
      </c>
      <c r="ES96" s="2">
        <v>51.95</v>
      </c>
      <c r="ET96" s="2">
        <v>5.6</v>
      </c>
      <c r="EU96" s="2">
        <v>0.23</v>
      </c>
      <c r="EV96" s="2">
        <v>23.74</v>
      </c>
      <c r="EW96" s="2">
        <v>2.36</v>
      </c>
      <c r="EX96" s="2">
        <v>0.02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6"/>
        <v>0</v>
      </c>
      <c r="FS96" s="2">
        <v>0</v>
      </c>
      <c r="FT96" s="2" t="s">
        <v>45</v>
      </c>
      <c r="FU96" s="2" t="s">
        <v>46</v>
      </c>
      <c r="FV96" s="2"/>
      <c r="FW96" s="2"/>
      <c r="FX96" s="2">
        <v>81</v>
      </c>
      <c r="FY96" s="2">
        <v>72.25</v>
      </c>
      <c r="FZ96" s="2"/>
      <c r="GA96" s="2" t="s">
        <v>6</v>
      </c>
      <c r="GB96" s="2"/>
      <c r="GC96" s="2"/>
      <c r="GD96" s="2">
        <v>0</v>
      </c>
      <c r="GE96" s="2"/>
      <c r="GF96" s="2">
        <v>1312405472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27"/>
        <v>0</v>
      </c>
      <c r="GM96" s="2">
        <f t="shared" si="128"/>
        <v>2055.39</v>
      </c>
      <c r="GN96" s="2">
        <f t="shared" si="129"/>
        <v>2055.39</v>
      </c>
      <c r="GO96" s="2">
        <f t="shared" si="130"/>
        <v>0</v>
      </c>
      <c r="GP96" s="2">
        <f t="shared" si="131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2"/>
        <v>0</v>
      </c>
      <c r="GW96" s="2">
        <v>1</v>
      </c>
      <c r="GX96" s="2">
        <f t="shared" si="133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ROW(SmtRes!A238)</f>
        <v>238</v>
      </c>
      <c r="D97">
        <f>ROW(EtalonRes!A230)</f>
        <v>230</v>
      </c>
      <c r="E97" t="s">
        <v>167</v>
      </c>
      <c r="F97" t="s">
        <v>168</v>
      </c>
      <c r="G97" t="s">
        <v>169</v>
      </c>
      <c r="H97" t="s">
        <v>92</v>
      </c>
      <c r="I97">
        <v>16</v>
      </c>
      <c r="J97">
        <v>0</v>
      </c>
      <c r="O97">
        <f t="shared" si="101"/>
        <v>10626.12</v>
      </c>
      <c r="P97">
        <f t="shared" si="102"/>
        <v>6400.24</v>
      </c>
      <c r="Q97">
        <f t="shared" si="103"/>
        <v>862.4</v>
      </c>
      <c r="R97">
        <f t="shared" si="104"/>
        <v>35.42</v>
      </c>
      <c r="S97">
        <f t="shared" si="105"/>
        <v>3363.48</v>
      </c>
      <c r="T97">
        <f t="shared" si="106"/>
        <v>0</v>
      </c>
      <c r="U97">
        <f t="shared" si="107"/>
        <v>43.423999999999992</v>
      </c>
      <c r="V97">
        <f t="shared" si="108"/>
        <v>0.4</v>
      </c>
      <c r="W97">
        <f t="shared" si="109"/>
        <v>0</v>
      </c>
      <c r="X97">
        <f t="shared" si="110"/>
        <v>2753.11</v>
      </c>
      <c r="Y97">
        <f t="shared" si="111"/>
        <v>2447.21</v>
      </c>
      <c r="AA97">
        <v>26914189</v>
      </c>
      <c r="AB97">
        <f t="shared" si="112"/>
        <v>86.251000000000005</v>
      </c>
      <c r="AC97">
        <f t="shared" si="100"/>
        <v>51.95</v>
      </c>
      <c r="AD97">
        <f>ROUND(((((ET97*1.25))-((EU97*1.25)))+AE97),6)</f>
        <v>7</v>
      </c>
      <c r="AE97">
        <f>ROUND(((EU97*1.25)),6)</f>
        <v>0.28749999999999998</v>
      </c>
      <c r="AF97">
        <f>ROUND(((EV97*1.15)),6)</f>
        <v>27.300999999999998</v>
      </c>
      <c r="AG97">
        <f t="shared" si="113"/>
        <v>0</v>
      </c>
      <c r="AH97">
        <f>((EW97*1.15))</f>
        <v>2.7139999999999995</v>
      </c>
      <c r="AI97">
        <f>((EX97*1.25))</f>
        <v>2.5000000000000001E-2</v>
      </c>
      <c r="AJ97">
        <f t="shared" si="114"/>
        <v>0</v>
      </c>
      <c r="AK97">
        <v>81.290000000000006</v>
      </c>
      <c r="AL97">
        <v>51.95</v>
      </c>
      <c r="AM97">
        <v>5.6</v>
      </c>
      <c r="AN97">
        <v>0.23</v>
      </c>
      <c r="AO97">
        <v>23.74</v>
      </c>
      <c r="AP97">
        <v>0</v>
      </c>
      <c r="AQ97">
        <v>2.36</v>
      </c>
      <c r="AR97">
        <v>0.02</v>
      </c>
      <c r="AS97">
        <v>0</v>
      </c>
      <c r="AT97">
        <v>81</v>
      </c>
      <c r="AU97">
        <v>72</v>
      </c>
      <c r="AV97">
        <v>1</v>
      </c>
      <c r="AW97">
        <v>1</v>
      </c>
      <c r="AZ97">
        <v>7.7</v>
      </c>
      <c r="BA97">
        <v>7.7</v>
      </c>
      <c r="BB97">
        <v>7.7</v>
      </c>
      <c r="BC97">
        <v>7.7</v>
      </c>
      <c r="BD97" t="s">
        <v>6</v>
      </c>
      <c r="BE97" t="s">
        <v>6</v>
      </c>
      <c r="BF97" t="s">
        <v>6</v>
      </c>
      <c r="BG97" t="s">
        <v>6</v>
      </c>
      <c r="BH97">
        <v>0</v>
      </c>
      <c r="BI97">
        <v>1</v>
      </c>
      <c r="BJ97" t="s">
        <v>170</v>
      </c>
      <c r="BM97">
        <v>9001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7.7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90</v>
      </c>
      <c r="CA97">
        <v>85</v>
      </c>
      <c r="CF97">
        <v>0</v>
      </c>
      <c r="CG97">
        <v>0</v>
      </c>
      <c r="CM97">
        <v>0</v>
      </c>
      <c r="CN97" t="s">
        <v>510</v>
      </c>
      <c r="CO97">
        <v>0</v>
      </c>
      <c r="CP97">
        <f t="shared" si="115"/>
        <v>10626.119999999999</v>
      </c>
      <c r="CQ97">
        <f t="shared" si="116"/>
        <v>400.01500000000004</v>
      </c>
      <c r="CR97">
        <f t="shared" si="117"/>
        <v>53.9</v>
      </c>
      <c r="CS97">
        <f t="shared" si="118"/>
        <v>2.2137499999999997</v>
      </c>
      <c r="CT97">
        <f t="shared" si="119"/>
        <v>210.21769999999998</v>
      </c>
      <c r="CU97">
        <f t="shared" si="120"/>
        <v>0</v>
      </c>
      <c r="CV97">
        <f t="shared" si="121"/>
        <v>2.7139999999999995</v>
      </c>
      <c r="CW97">
        <f t="shared" si="122"/>
        <v>2.5000000000000001E-2</v>
      </c>
      <c r="CX97">
        <f t="shared" si="123"/>
        <v>0</v>
      </c>
      <c r="CY97">
        <f t="shared" si="124"/>
        <v>2753.1090000000004</v>
      </c>
      <c r="CZ97">
        <f t="shared" si="125"/>
        <v>2447.2080000000001</v>
      </c>
      <c r="DC97" t="s">
        <v>6</v>
      </c>
      <c r="DD97" t="s">
        <v>6</v>
      </c>
      <c r="DE97" t="s">
        <v>40</v>
      </c>
      <c r="DF97" t="s">
        <v>40</v>
      </c>
      <c r="DG97" t="s">
        <v>41</v>
      </c>
      <c r="DH97" t="s">
        <v>6</v>
      </c>
      <c r="DI97" t="s">
        <v>41</v>
      </c>
      <c r="DJ97" t="s">
        <v>40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92</v>
      </c>
      <c r="DW97" t="s">
        <v>92</v>
      </c>
      <c r="DX97">
        <v>1</v>
      </c>
      <c r="EE97">
        <v>26549059</v>
      </c>
      <c r="EF97">
        <v>2</v>
      </c>
      <c r="EG97" t="s">
        <v>42</v>
      </c>
      <c r="EH97">
        <v>0</v>
      </c>
      <c r="EI97" t="s">
        <v>6</v>
      </c>
      <c r="EJ97">
        <v>1</v>
      </c>
      <c r="EK97">
        <v>9001</v>
      </c>
      <c r="EL97" t="s">
        <v>171</v>
      </c>
      <c r="EM97" t="s">
        <v>172</v>
      </c>
      <c r="EO97" t="s">
        <v>44</v>
      </c>
      <c r="EQ97">
        <v>0</v>
      </c>
      <c r="ER97">
        <v>81.290000000000006</v>
      </c>
      <c r="ES97">
        <v>51.95</v>
      </c>
      <c r="ET97">
        <v>5.6</v>
      </c>
      <c r="EU97">
        <v>0.23</v>
      </c>
      <c r="EV97">
        <v>23.74</v>
      </c>
      <c r="EW97">
        <v>2.36</v>
      </c>
      <c r="EX97">
        <v>0.02</v>
      </c>
      <c r="EY97">
        <v>0</v>
      </c>
      <c r="FQ97">
        <v>0</v>
      </c>
      <c r="FR97">
        <f t="shared" si="126"/>
        <v>0</v>
      </c>
      <c r="FS97">
        <v>0</v>
      </c>
      <c r="FT97" t="s">
        <v>45</v>
      </c>
      <c r="FU97" t="s">
        <v>46</v>
      </c>
      <c r="FX97">
        <v>81</v>
      </c>
      <c r="FY97">
        <v>72.25</v>
      </c>
      <c r="GA97" t="s">
        <v>6</v>
      </c>
      <c r="GD97">
        <v>0</v>
      </c>
      <c r="GF97">
        <v>1312405472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27"/>
        <v>0</v>
      </c>
      <c r="GM97">
        <f t="shared" si="128"/>
        <v>15826.44</v>
      </c>
      <c r="GN97">
        <f t="shared" si="129"/>
        <v>15826.44</v>
      </c>
      <c r="GO97">
        <f t="shared" si="130"/>
        <v>0</v>
      </c>
      <c r="GP97">
        <f t="shared" si="131"/>
        <v>0</v>
      </c>
      <c r="GR97">
        <v>0</v>
      </c>
      <c r="GS97">
        <v>3</v>
      </c>
      <c r="GT97">
        <v>0</v>
      </c>
      <c r="GU97" t="s">
        <v>6</v>
      </c>
      <c r="GV97">
        <f t="shared" si="132"/>
        <v>0</v>
      </c>
      <c r="GW97">
        <v>1</v>
      </c>
      <c r="GX97">
        <f t="shared" si="133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227</v>
      </c>
      <c r="D98" s="2"/>
      <c r="E98" s="2" t="s">
        <v>173</v>
      </c>
      <c r="F98" s="2" t="s">
        <v>174</v>
      </c>
      <c r="G98" s="2" t="s">
        <v>543</v>
      </c>
      <c r="H98" s="2" t="s">
        <v>176</v>
      </c>
      <c r="I98" s="2">
        <f>I96*J98</f>
        <v>5</v>
      </c>
      <c r="J98" s="2">
        <v>0.3125</v>
      </c>
      <c r="K98" s="2"/>
      <c r="L98" s="2"/>
      <c r="M98" s="2"/>
      <c r="N98" s="2"/>
      <c r="O98" s="2">
        <f t="shared" si="101"/>
        <v>30129.4</v>
      </c>
      <c r="P98" s="2">
        <f t="shared" si="102"/>
        <v>30129.4</v>
      </c>
      <c r="Q98" s="2">
        <f t="shared" si="103"/>
        <v>0</v>
      </c>
      <c r="R98" s="2">
        <f t="shared" si="104"/>
        <v>0</v>
      </c>
      <c r="S98" s="2">
        <f t="shared" si="105"/>
        <v>0</v>
      </c>
      <c r="T98" s="2">
        <f t="shared" si="106"/>
        <v>0</v>
      </c>
      <c r="U98" s="2">
        <f t="shared" si="107"/>
        <v>0</v>
      </c>
      <c r="V98" s="2">
        <f t="shared" si="108"/>
        <v>0</v>
      </c>
      <c r="W98" s="2">
        <f t="shared" si="109"/>
        <v>0</v>
      </c>
      <c r="X98" s="2">
        <f t="shared" si="110"/>
        <v>0</v>
      </c>
      <c r="Y98" s="2">
        <f t="shared" si="111"/>
        <v>0</v>
      </c>
      <c r="Z98" s="2"/>
      <c r="AA98" s="2">
        <v>26914188</v>
      </c>
      <c r="AB98" s="2">
        <f t="shared" si="112"/>
        <v>6025.88</v>
      </c>
      <c r="AC98" s="2">
        <f t="shared" si="100"/>
        <v>6025.88</v>
      </c>
      <c r="AD98" s="2">
        <f t="shared" ref="AD98:AD105" si="136">ROUND((((ET98)-(EU98))+AE98),6)</f>
        <v>0</v>
      </c>
      <c r="AE98" s="2">
        <f t="shared" ref="AE98:AF105" si="137">ROUND((EU98),6)</f>
        <v>0</v>
      </c>
      <c r="AF98" s="2">
        <f t="shared" si="137"/>
        <v>0</v>
      </c>
      <c r="AG98" s="2">
        <f t="shared" si="113"/>
        <v>0</v>
      </c>
      <c r="AH98" s="2">
        <f t="shared" ref="AH98:AI105" si="138">(EW98)</f>
        <v>0</v>
      </c>
      <c r="AI98" s="2">
        <f t="shared" si="138"/>
        <v>0</v>
      </c>
      <c r="AJ98" s="2">
        <f t="shared" si="114"/>
        <v>0</v>
      </c>
      <c r="AK98" s="2">
        <v>6025.88</v>
      </c>
      <c r="AL98" s="2">
        <v>6025.88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81</v>
      </c>
      <c r="AU98" s="2">
        <v>72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177</v>
      </c>
      <c r="BK98" s="2"/>
      <c r="BL98" s="2"/>
      <c r="BM98" s="2">
        <v>9001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90</v>
      </c>
      <c r="CA98" s="2">
        <v>85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15"/>
        <v>30129.4</v>
      </c>
      <c r="CQ98" s="2">
        <f t="shared" si="116"/>
        <v>6025.88</v>
      </c>
      <c r="CR98" s="2">
        <f t="shared" si="117"/>
        <v>0</v>
      </c>
      <c r="CS98" s="2">
        <f t="shared" si="118"/>
        <v>0</v>
      </c>
      <c r="CT98" s="2">
        <f t="shared" si="119"/>
        <v>0</v>
      </c>
      <c r="CU98" s="2">
        <f t="shared" si="120"/>
        <v>0</v>
      </c>
      <c r="CV98" s="2">
        <f t="shared" si="121"/>
        <v>0</v>
      </c>
      <c r="CW98" s="2">
        <f t="shared" si="122"/>
        <v>0</v>
      </c>
      <c r="CX98" s="2">
        <f t="shared" si="123"/>
        <v>0</v>
      </c>
      <c r="CY98" s="2">
        <f t="shared" si="124"/>
        <v>0</v>
      </c>
      <c r="CZ98" s="2">
        <f t="shared" si="125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1010</v>
      </c>
      <c r="DV98" s="2" t="s">
        <v>176</v>
      </c>
      <c r="DW98" s="2" t="s">
        <v>176</v>
      </c>
      <c r="DX98" s="2">
        <v>1</v>
      </c>
      <c r="DY98" s="2"/>
      <c r="DZ98" s="2"/>
      <c r="EA98" s="2"/>
      <c r="EB98" s="2"/>
      <c r="EC98" s="2"/>
      <c r="ED98" s="2"/>
      <c r="EE98" s="2">
        <v>26549059</v>
      </c>
      <c r="EF98" s="2">
        <v>2</v>
      </c>
      <c r="EG98" s="2" t="s">
        <v>42</v>
      </c>
      <c r="EH98" s="2">
        <v>0</v>
      </c>
      <c r="EI98" s="2" t="s">
        <v>6</v>
      </c>
      <c r="EJ98" s="2">
        <v>1</v>
      </c>
      <c r="EK98" s="2">
        <v>9001</v>
      </c>
      <c r="EL98" s="2" t="s">
        <v>171</v>
      </c>
      <c r="EM98" s="2" t="s">
        <v>172</v>
      </c>
      <c r="EN98" s="2"/>
      <c r="EO98" s="2" t="s">
        <v>6</v>
      </c>
      <c r="EP98" s="2"/>
      <c r="EQ98" s="2">
        <v>0</v>
      </c>
      <c r="ER98" s="2">
        <v>6025.88</v>
      </c>
      <c r="ES98" s="2">
        <v>6025.88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6"/>
        <v>0</v>
      </c>
      <c r="FS98" s="2">
        <v>0</v>
      </c>
      <c r="FT98" s="2" t="s">
        <v>45</v>
      </c>
      <c r="FU98" s="2" t="s">
        <v>46</v>
      </c>
      <c r="FV98" s="2"/>
      <c r="FW98" s="2"/>
      <c r="FX98" s="2">
        <v>81</v>
      </c>
      <c r="FY98" s="2">
        <v>72.25</v>
      </c>
      <c r="FZ98" s="2"/>
      <c r="GA98" s="2" t="s">
        <v>6</v>
      </c>
      <c r="GB98" s="2"/>
      <c r="GC98" s="2"/>
      <c r="GD98" s="2">
        <v>0</v>
      </c>
      <c r="GE98" s="2"/>
      <c r="GF98" s="2">
        <v>-181413427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27"/>
        <v>0</v>
      </c>
      <c r="GM98" s="2">
        <f t="shared" si="128"/>
        <v>30129.4</v>
      </c>
      <c r="GN98" s="2">
        <f t="shared" si="129"/>
        <v>30129.4</v>
      </c>
      <c r="GO98" s="2">
        <f t="shared" si="130"/>
        <v>0</v>
      </c>
      <c r="GP98" s="2">
        <f t="shared" si="131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2"/>
        <v>0</v>
      </c>
      <c r="GW98" s="2">
        <v>1</v>
      </c>
      <c r="GX98" s="2">
        <f t="shared" si="133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237</v>
      </c>
      <c r="E99" t="s">
        <v>173</v>
      </c>
      <c r="F99" t="s">
        <v>174</v>
      </c>
      <c r="G99" t="s">
        <v>543</v>
      </c>
      <c r="H99" t="s">
        <v>176</v>
      </c>
      <c r="I99">
        <f>I97*J99</f>
        <v>5</v>
      </c>
      <c r="J99">
        <v>0.3125</v>
      </c>
      <c r="O99">
        <f t="shared" si="101"/>
        <v>231996.38</v>
      </c>
      <c r="P99">
        <f t="shared" si="102"/>
        <v>231996.38</v>
      </c>
      <c r="Q99">
        <f t="shared" si="103"/>
        <v>0</v>
      </c>
      <c r="R99">
        <f t="shared" si="104"/>
        <v>0</v>
      </c>
      <c r="S99">
        <f t="shared" si="105"/>
        <v>0</v>
      </c>
      <c r="T99">
        <f t="shared" si="106"/>
        <v>0</v>
      </c>
      <c r="U99">
        <f t="shared" si="107"/>
        <v>0</v>
      </c>
      <c r="V99">
        <f t="shared" si="108"/>
        <v>0</v>
      </c>
      <c r="W99">
        <f t="shared" si="109"/>
        <v>0</v>
      </c>
      <c r="X99">
        <f t="shared" si="110"/>
        <v>0</v>
      </c>
      <c r="Y99">
        <f t="shared" si="111"/>
        <v>0</v>
      </c>
      <c r="AA99">
        <v>26914189</v>
      </c>
      <c r="AB99">
        <f t="shared" si="112"/>
        <v>6025.88</v>
      </c>
      <c r="AC99">
        <f t="shared" si="100"/>
        <v>6025.88</v>
      </c>
      <c r="AD99">
        <f t="shared" si="136"/>
        <v>0</v>
      </c>
      <c r="AE99">
        <f t="shared" si="137"/>
        <v>0</v>
      </c>
      <c r="AF99">
        <f t="shared" si="137"/>
        <v>0</v>
      </c>
      <c r="AG99">
        <f t="shared" si="113"/>
        <v>0</v>
      </c>
      <c r="AH99">
        <f t="shared" si="138"/>
        <v>0</v>
      </c>
      <c r="AI99">
        <f t="shared" si="138"/>
        <v>0</v>
      </c>
      <c r="AJ99">
        <f t="shared" si="114"/>
        <v>0</v>
      </c>
      <c r="AK99">
        <v>6025.88</v>
      </c>
      <c r="AL99">
        <v>6025.88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81</v>
      </c>
      <c r="AU99">
        <v>72</v>
      </c>
      <c r="AV99">
        <v>1</v>
      </c>
      <c r="AW99">
        <v>1</v>
      </c>
      <c r="AZ99">
        <v>7.7</v>
      </c>
      <c r="BA99">
        <v>1</v>
      </c>
      <c r="BB99">
        <v>1</v>
      </c>
      <c r="BC99">
        <v>7.7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177</v>
      </c>
      <c r="BM99">
        <v>9001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90</v>
      </c>
      <c r="CA99">
        <v>85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15"/>
        <v>231996.38</v>
      </c>
      <c r="CQ99">
        <f t="shared" si="116"/>
        <v>46399.276000000005</v>
      </c>
      <c r="CR99">
        <f t="shared" si="117"/>
        <v>0</v>
      </c>
      <c r="CS99">
        <f t="shared" si="118"/>
        <v>0</v>
      </c>
      <c r="CT99">
        <f t="shared" si="119"/>
        <v>0</v>
      </c>
      <c r="CU99">
        <f t="shared" si="120"/>
        <v>0</v>
      </c>
      <c r="CV99">
        <f t="shared" si="121"/>
        <v>0</v>
      </c>
      <c r="CW99">
        <f t="shared" si="122"/>
        <v>0</v>
      </c>
      <c r="CX99">
        <f t="shared" si="123"/>
        <v>0</v>
      </c>
      <c r="CY99">
        <f t="shared" si="124"/>
        <v>0</v>
      </c>
      <c r="CZ99">
        <f t="shared" si="125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1010</v>
      </c>
      <c r="DV99" t="s">
        <v>176</v>
      </c>
      <c r="DW99" t="s">
        <v>176</v>
      </c>
      <c r="DX99">
        <v>1</v>
      </c>
      <c r="EE99">
        <v>26549059</v>
      </c>
      <c r="EF99">
        <v>2</v>
      </c>
      <c r="EG99" t="s">
        <v>42</v>
      </c>
      <c r="EH99">
        <v>0</v>
      </c>
      <c r="EI99" t="s">
        <v>6</v>
      </c>
      <c r="EJ99">
        <v>1</v>
      </c>
      <c r="EK99">
        <v>9001</v>
      </c>
      <c r="EL99" t="s">
        <v>171</v>
      </c>
      <c r="EM99" t="s">
        <v>172</v>
      </c>
      <c r="EO99" t="s">
        <v>6</v>
      </c>
      <c r="EQ99">
        <v>0</v>
      </c>
      <c r="ER99">
        <v>6025.88</v>
      </c>
      <c r="ES99">
        <v>6025.88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26"/>
        <v>0</v>
      </c>
      <c r="FS99">
        <v>0</v>
      </c>
      <c r="FT99" t="s">
        <v>45</v>
      </c>
      <c r="FU99" t="s">
        <v>46</v>
      </c>
      <c r="FX99">
        <v>81</v>
      </c>
      <c r="FY99">
        <v>72.25</v>
      </c>
      <c r="GA99" t="s">
        <v>6</v>
      </c>
      <c r="GD99">
        <v>0</v>
      </c>
      <c r="GF99">
        <v>-181413427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27"/>
        <v>0</v>
      </c>
      <c r="GM99">
        <f t="shared" si="128"/>
        <v>231996.38</v>
      </c>
      <c r="GN99">
        <f t="shared" si="129"/>
        <v>231996.38</v>
      </c>
      <c r="GO99">
        <f t="shared" si="130"/>
        <v>0</v>
      </c>
      <c r="GP99">
        <f t="shared" si="131"/>
        <v>0</v>
      </c>
      <c r="GR99">
        <v>0</v>
      </c>
      <c r="GS99">
        <v>3</v>
      </c>
      <c r="GT99">
        <v>0</v>
      </c>
      <c r="GU99" t="s">
        <v>6</v>
      </c>
      <c r="GV99">
        <f t="shared" si="132"/>
        <v>0</v>
      </c>
      <c r="GW99">
        <v>1</v>
      </c>
      <c r="GX99">
        <f t="shared" si="133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223</v>
      </c>
      <c r="D100" s="2"/>
      <c r="E100" s="2" t="s">
        <v>178</v>
      </c>
      <c r="F100" s="2" t="s">
        <v>179</v>
      </c>
      <c r="G100" s="2" t="s">
        <v>180</v>
      </c>
      <c r="H100" s="2" t="s">
        <v>176</v>
      </c>
      <c r="I100" s="2">
        <v>5</v>
      </c>
      <c r="J100" s="2">
        <v>0.625</v>
      </c>
      <c r="K100" s="2"/>
      <c r="L100" s="2"/>
      <c r="M100" s="2"/>
      <c r="N100" s="2"/>
      <c r="O100" s="2">
        <f t="shared" si="101"/>
        <v>1361.1</v>
      </c>
      <c r="P100" s="2">
        <f t="shared" si="102"/>
        <v>1361.1</v>
      </c>
      <c r="Q100" s="2">
        <f t="shared" si="103"/>
        <v>0</v>
      </c>
      <c r="R100" s="2">
        <f t="shared" si="104"/>
        <v>0</v>
      </c>
      <c r="S100" s="2">
        <f t="shared" si="105"/>
        <v>0</v>
      </c>
      <c r="T100" s="2">
        <f t="shared" si="106"/>
        <v>0</v>
      </c>
      <c r="U100" s="2">
        <f t="shared" si="107"/>
        <v>0</v>
      </c>
      <c r="V100" s="2">
        <f t="shared" si="108"/>
        <v>0</v>
      </c>
      <c r="W100" s="2">
        <f t="shared" si="109"/>
        <v>0</v>
      </c>
      <c r="X100" s="2">
        <f t="shared" si="110"/>
        <v>0</v>
      </c>
      <c r="Y100" s="2">
        <f t="shared" si="111"/>
        <v>0</v>
      </c>
      <c r="Z100" s="2"/>
      <c r="AA100" s="2">
        <v>26914188</v>
      </c>
      <c r="AB100" s="2">
        <f t="shared" si="112"/>
        <v>272.22000000000003</v>
      </c>
      <c r="AC100" s="2">
        <f t="shared" si="100"/>
        <v>272.22000000000003</v>
      </c>
      <c r="AD100" s="2">
        <f t="shared" si="136"/>
        <v>0</v>
      </c>
      <c r="AE100" s="2">
        <f t="shared" si="137"/>
        <v>0</v>
      </c>
      <c r="AF100" s="2">
        <f t="shared" si="137"/>
        <v>0</v>
      </c>
      <c r="AG100" s="2">
        <f t="shared" si="113"/>
        <v>0</v>
      </c>
      <c r="AH100" s="2">
        <f t="shared" si="138"/>
        <v>0</v>
      </c>
      <c r="AI100" s="2">
        <f t="shared" si="138"/>
        <v>0</v>
      </c>
      <c r="AJ100" s="2">
        <f t="shared" si="114"/>
        <v>0</v>
      </c>
      <c r="AK100" s="2">
        <v>272.22000000000003</v>
      </c>
      <c r="AL100" s="2">
        <v>272.22000000000003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81</v>
      </c>
      <c r="AU100" s="2">
        <v>72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181</v>
      </c>
      <c r="BK100" s="2"/>
      <c r="BL100" s="2"/>
      <c r="BM100" s="2">
        <v>9001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90</v>
      </c>
      <c r="CA100" s="2">
        <v>85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15"/>
        <v>1361.1</v>
      </c>
      <c r="CQ100" s="2">
        <f t="shared" si="116"/>
        <v>272.22000000000003</v>
      </c>
      <c r="CR100" s="2">
        <f t="shared" si="117"/>
        <v>0</v>
      </c>
      <c r="CS100" s="2">
        <f t="shared" si="118"/>
        <v>0</v>
      </c>
      <c r="CT100" s="2">
        <f t="shared" si="119"/>
        <v>0</v>
      </c>
      <c r="CU100" s="2">
        <f t="shared" si="120"/>
        <v>0</v>
      </c>
      <c r="CV100" s="2">
        <f t="shared" si="121"/>
        <v>0</v>
      </c>
      <c r="CW100" s="2">
        <f t="shared" si="122"/>
        <v>0</v>
      </c>
      <c r="CX100" s="2">
        <f t="shared" si="123"/>
        <v>0</v>
      </c>
      <c r="CY100" s="2">
        <f t="shared" si="124"/>
        <v>0</v>
      </c>
      <c r="CZ100" s="2">
        <f t="shared" si="125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1010</v>
      </c>
      <c r="DV100" s="2" t="s">
        <v>176</v>
      </c>
      <c r="DW100" s="2" t="s">
        <v>176</v>
      </c>
      <c r="DX100" s="2">
        <v>1</v>
      </c>
      <c r="DY100" s="2"/>
      <c r="DZ100" s="2"/>
      <c r="EA100" s="2"/>
      <c r="EB100" s="2"/>
      <c r="EC100" s="2"/>
      <c r="ED100" s="2"/>
      <c r="EE100" s="2">
        <v>26549059</v>
      </c>
      <c r="EF100" s="2">
        <v>2</v>
      </c>
      <c r="EG100" s="2" t="s">
        <v>42</v>
      </c>
      <c r="EH100" s="2">
        <v>0</v>
      </c>
      <c r="EI100" s="2" t="s">
        <v>6</v>
      </c>
      <c r="EJ100" s="2">
        <v>1</v>
      </c>
      <c r="EK100" s="2">
        <v>9001</v>
      </c>
      <c r="EL100" s="2" t="s">
        <v>171</v>
      </c>
      <c r="EM100" s="2" t="s">
        <v>172</v>
      </c>
      <c r="EN100" s="2"/>
      <c r="EO100" s="2" t="s">
        <v>6</v>
      </c>
      <c r="EP100" s="2"/>
      <c r="EQ100" s="2">
        <v>0</v>
      </c>
      <c r="ER100" s="2">
        <v>272.22000000000003</v>
      </c>
      <c r="ES100" s="2">
        <v>272.22000000000003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6"/>
        <v>0</v>
      </c>
      <c r="FS100" s="2">
        <v>0</v>
      </c>
      <c r="FT100" s="2" t="s">
        <v>45</v>
      </c>
      <c r="FU100" s="2" t="s">
        <v>46</v>
      </c>
      <c r="FV100" s="2"/>
      <c r="FW100" s="2"/>
      <c r="FX100" s="2">
        <v>81</v>
      </c>
      <c r="FY100" s="2">
        <v>72.25</v>
      </c>
      <c r="FZ100" s="2"/>
      <c r="GA100" s="2" t="s">
        <v>6</v>
      </c>
      <c r="GB100" s="2"/>
      <c r="GC100" s="2"/>
      <c r="GD100" s="2">
        <v>0</v>
      </c>
      <c r="GE100" s="2"/>
      <c r="GF100" s="2">
        <v>735354979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27"/>
        <v>0</v>
      </c>
      <c r="GM100" s="2">
        <f t="shared" si="128"/>
        <v>1361.1</v>
      </c>
      <c r="GN100" s="2">
        <f t="shared" si="129"/>
        <v>1361.1</v>
      </c>
      <c r="GO100" s="2">
        <f t="shared" si="130"/>
        <v>0</v>
      </c>
      <c r="GP100" s="2">
        <f t="shared" si="131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2"/>
        <v>0</v>
      </c>
      <c r="GW100" s="2">
        <v>1</v>
      </c>
      <c r="GX100" s="2">
        <f t="shared" si="133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233</v>
      </c>
      <c r="E101" t="s">
        <v>178</v>
      </c>
      <c r="F101" t="s">
        <v>179</v>
      </c>
      <c r="G101" t="s">
        <v>180</v>
      </c>
      <c r="H101" t="s">
        <v>176</v>
      </c>
      <c r="I101">
        <v>5</v>
      </c>
      <c r="J101">
        <v>0.625</v>
      </c>
      <c r="O101">
        <f t="shared" si="101"/>
        <v>10480.469999999999</v>
      </c>
      <c r="P101">
        <f t="shared" si="102"/>
        <v>10480.469999999999</v>
      </c>
      <c r="Q101">
        <f t="shared" si="103"/>
        <v>0</v>
      </c>
      <c r="R101">
        <f t="shared" si="104"/>
        <v>0</v>
      </c>
      <c r="S101">
        <f t="shared" si="105"/>
        <v>0</v>
      </c>
      <c r="T101">
        <f t="shared" si="106"/>
        <v>0</v>
      </c>
      <c r="U101">
        <f t="shared" si="107"/>
        <v>0</v>
      </c>
      <c r="V101">
        <f t="shared" si="108"/>
        <v>0</v>
      </c>
      <c r="W101">
        <f t="shared" si="109"/>
        <v>0</v>
      </c>
      <c r="X101">
        <f t="shared" si="110"/>
        <v>0</v>
      </c>
      <c r="Y101">
        <f t="shared" si="111"/>
        <v>0</v>
      </c>
      <c r="AA101">
        <v>26914189</v>
      </c>
      <c r="AB101">
        <f t="shared" si="112"/>
        <v>272.22000000000003</v>
      </c>
      <c r="AC101">
        <f t="shared" si="100"/>
        <v>272.22000000000003</v>
      </c>
      <c r="AD101">
        <f t="shared" si="136"/>
        <v>0</v>
      </c>
      <c r="AE101">
        <f t="shared" si="137"/>
        <v>0</v>
      </c>
      <c r="AF101">
        <f t="shared" si="137"/>
        <v>0</v>
      </c>
      <c r="AG101">
        <f t="shared" si="113"/>
        <v>0</v>
      </c>
      <c r="AH101">
        <f t="shared" si="138"/>
        <v>0</v>
      </c>
      <c r="AI101">
        <f t="shared" si="138"/>
        <v>0</v>
      </c>
      <c r="AJ101">
        <f t="shared" si="114"/>
        <v>0</v>
      </c>
      <c r="AK101">
        <v>272.22000000000003</v>
      </c>
      <c r="AL101">
        <v>272.22000000000003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7.7</v>
      </c>
      <c r="BA101">
        <v>1</v>
      </c>
      <c r="BB101">
        <v>1</v>
      </c>
      <c r="BC101">
        <v>7.7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181</v>
      </c>
      <c r="BM101">
        <v>9001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90</v>
      </c>
      <c r="CA101">
        <v>85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15"/>
        <v>10480.469999999999</v>
      </c>
      <c r="CQ101">
        <f t="shared" si="116"/>
        <v>2096.0940000000001</v>
      </c>
      <c r="CR101">
        <f t="shared" si="117"/>
        <v>0</v>
      </c>
      <c r="CS101">
        <f t="shared" si="118"/>
        <v>0</v>
      </c>
      <c r="CT101">
        <f t="shared" si="119"/>
        <v>0</v>
      </c>
      <c r="CU101">
        <f t="shared" si="120"/>
        <v>0</v>
      </c>
      <c r="CV101">
        <f t="shared" si="121"/>
        <v>0</v>
      </c>
      <c r="CW101">
        <f t="shared" si="122"/>
        <v>0</v>
      </c>
      <c r="CX101">
        <f t="shared" si="123"/>
        <v>0</v>
      </c>
      <c r="CY101">
        <f t="shared" si="124"/>
        <v>0</v>
      </c>
      <c r="CZ101">
        <f t="shared" si="125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176</v>
      </c>
      <c r="DW101" t="s">
        <v>176</v>
      </c>
      <c r="DX101">
        <v>1</v>
      </c>
      <c r="EE101">
        <v>26549059</v>
      </c>
      <c r="EF101">
        <v>2</v>
      </c>
      <c r="EG101" t="s">
        <v>42</v>
      </c>
      <c r="EH101">
        <v>0</v>
      </c>
      <c r="EI101" t="s">
        <v>6</v>
      </c>
      <c r="EJ101">
        <v>1</v>
      </c>
      <c r="EK101">
        <v>9001</v>
      </c>
      <c r="EL101" t="s">
        <v>171</v>
      </c>
      <c r="EM101" t="s">
        <v>172</v>
      </c>
      <c r="EO101" t="s">
        <v>6</v>
      </c>
      <c r="EQ101">
        <v>0</v>
      </c>
      <c r="ER101">
        <v>272.22000000000003</v>
      </c>
      <c r="ES101">
        <v>272.22000000000003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6"/>
        <v>0</v>
      </c>
      <c r="FS101">
        <v>0</v>
      </c>
      <c r="FT101" t="s">
        <v>45</v>
      </c>
      <c r="FU101" t="s">
        <v>46</v>
      </c>
      <c r="FX101">
        <v>81</v>
      </c>
      <c r="FY101">
        <v>72.25</v>
      </c>
      <c r="GA101" t="s">
        <v>6</v>
      </c>
      <c r="GD101">
        <v>0</v>
      </c>
      <c r="GF101">
        <v>735354979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27"/>
        <v>0</v>
      </c>
      <c r="GM101">
        <f t="shared" si="128"/>
        <v>10480.469999999999</v>
      </c>
      <c r="GN101">
        <f t="shared" si="129"/>
        <v>10480.469999999999</v>
      </c>
      <c r="GO101">
        <f t="shared" si="130"/>
        <v>0</v>
      </c>
      <c r="GP101">
        <f t="shared" si="131"/>
        <v>0</v>
      </c>
      <c r="GR101">
        <v>0</v>
      </c>
      <c r="GS101">
        <v>3</v>
      </c>
      <c r="GT101">
        <v>0</v>
      </c>
      <c r="GU101" t="s">
        <v>6</v>
      </c>
      <c r="GV101">
        <f t="shared" si="132"/>
        <v>0</v>
      </c>
      <c r="GW101">
        <v>1</v>
      </c>
      <c r="GX101">
        <f t="shared" si="133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224</v>
      </c>
      <c r="D102" s="2"/>
      <c r="E102" s="2" t="s">
        <v>182</v>
      </c>
      <c r="F102" s="2" t="s">
        <v>183</v>
      </c>
      <c r="G102" s="2" t="s">
        <v>184</v>
      </c>
      <c r="H102" s="2" t="s">
        <v>185</v>
      </c>
      <c r="I102" s="2">
        <f>I96*J102</f>
        <v>5</v>
      </c>
      <c r="J102" s="2">
        <v>0.3125</v>
      </c>
      <c r="K102" s="2"/>
      <c r="L102" s="2"/>
      <c r="M102" s="2"/>
      <c r="N102" s="2"/>
      <c r="O102" s="2">
        <f t="shared" si="101"/>
        <v>462.6</v>
      </c>
      <c r="P102" s="2">
        <f t="shared" si="102"/>
        <v>462.6</v>
      </c>
      <c r="Q102" s="2">
        <f t="shared" si="103"/>
        <v>0</v>
      </c>
      <c r="R102" s="2">
        <f t="shared" si="104"/>
        <v>0</v>
      </c>
      <c r="S102" s="2">
        <f t="shared" si="105"/>
        <v>0</v>
      </c>
      <c r="T102" s="2">
        <f t="shared" si="106"/>
        <v>0</v>
      </c>
      <c r="U102" s="2">
        <f t="shared" si="107"/>
        <v>0</v>
      </c>
      <c r="V102" s="2">
        <f t="shared" si="108"/>
        <v>0</v>
      </c>
      <c r="W102" s="2">
        <f t="shared" si="109"/>
        <v>0</v>
      </c>
      <c r="X102" s="2">
        <f t="shared" si="110"/>
        <v>0</v>
      </c>
      <c r="Y102" s="2">
        <f t="shared" si="111"/>
        <v>0</v>
      </c>
      <c r="Z102" s="2"/>
      <c r="AA102" s="2">
        <v>26914188</v>
      </c>
      <c r="AB102" s="2">
        <f t="shared" si="112"/>
        <v>92.52</v>
      </c>
      <c r="AC102" s="2">
        <f t="shared" si="100"/>
        <v>92.52</v>
      </c>
      <c r="AD102" s="2">
        <f t="shared" si="136"/>
        <v>0</v>
      </c>
      <c r="AE102" s="2">
        <f t="shared" si="137"/>
        <v>0</v>
      </c>
      <c r="AF102" s="2">
        <f t="shared" si="137"/>
        <v>0</v>
      </c>
      <c r="AG102" s="2">
        <f t="shared" si="113"/>
        <v>0</v>
      </c>
      <c r="AH102" s="2">
        <f t="shared" si="138"/>
        <v>0</v>
      </c>
      <c r="AI102" s="2">
        <f t="shared" si="138"/>
        <v>0</v>
      </c>
      <c r="AJ102" s="2">
        <f t="shared" si="114"/>
        <v>0</v>
      </c>
      <c r="AK102" s="2">
        <v>92.52</v>
      </c>
      <c r="AL102" s="2">
        <v>92.52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81</v>
      </c>
      <c r="AU102" s="2">
        <v>72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186</v>
      </c>
      <c r="BK102" s="2"/>
      <c r="BL102" s="2"/>
      <c r="BM102" s="2">
        <v>9001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90</v>
      </c>
      <c r="CA102" s="2">
        <v>85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15"/>
        <v>462.6</v>
      </c>
      <c r="CQ102" s="2">
        <f t="shared" si="116"/>
        <v>92.52</v>
      </c>
      <c r="CR102" s="2">
        <f t="shared" si="117"/>
        <v>0</v>
      </c>
      <c r="CS102" s="2">
        <f t="shared" si="118"/>
        <v>0</v>
      </c>
      <c r="CT102" s="2">
        <f t="shared" si="119"/>
        <v>0</v>
      </c>
      <c r="CU102" s="2">
        <f t="shared" si="120"/>
        <v>0</v>
      </c>
      <c r="CV102" s="2">
        <f t="shared" si="121"/>
        <v>0</v>
      </c>
      <c r="CW102" s="2">
        <f t="shared" si="122"/>
        <v>0</v>
      </c>
      <c r="CX102" s="2">
        <f t="shared" si="123"/>
        <v>0</v>
      </c>
      <c r="CY102" s="2">
        <f t="shared" si="124"/>
        <v>0</v>
      </c>
      <c r="CZ102" s="2">
        <f t="shared" si="125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1013</v>
      </c>
      <c r="DV102" s="2" t="s">
        <v>185</v>
      </c>
      <c r="DW102" s="2" t="s">
        <v>185</v>
      </c>
      <c r="DX102" s="2">
        <v>1</v>
      </c>
      <c r="DY102" s="2"/>
      <c r="DZ102" s="2"/>
      <c r="EA102" s="2"/>
      <c r="EB102" s="2"/>
      <c r="EC102" s="2"/>
      <c r="ED102" s="2"/>
      <c r="EE102" s="2">
        <v>26549059</v>
      </c>
      <c r="EF102" s="2">
        <v>2</v>
      </c>
      <c r="EG102" s="2" t="s">
        <v>42</v>
      </c>
      <c r="EH102" s="2">
        <v>0</v>
      </c>
      <c r="EI102" s="2" t="s">
        <v>6</v>
      </c>
      <c r="EJ102" s="2">
        <v>1</v>
      </c>
      <c r="EK102" s="2">
        <v>9001</v>
      </c>
      <c r="EL102" s="2" t="s">
        <v>171</v>
      </c>
      <c r="EM102" s="2" t="s">
        <v>172</v>
      </c>
      <c r="EN102" s="2"/>
      <c r="EO102" s="2" t="s">
        <v>6</v>
      </c>
      <c r="EP102" s="2"/>
      <c r="EQ102" s="2">
        <v>0</v>
      </c>
      <c r="ER102" s="2">
        <v>92.52</v>
      </c>
      <c r="ES102" s="2">
        <v>92.52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6"/>
        <v>0</v>
      </c>
      <c r="FS102" s="2">
        <v>0</v>
      </c>
      <c r="FT102" s="2" t="s">
        <v>45</v>
      </c>
      <c r="FU102" s="2" t="s">
        <v>46</v>
      </c>
      <c r="FV102" s="2"/>
      <c r="FW102" s="2"/>
      <c r="FX102" s="2">
        <v>81</v>
      </c>
      <c r="FY102" s="2">
        <v>72.25</v>
      </c>
      <c r="FZ102" s="2"/>
      <c r="GA102" s="2" t="s">
        <v>6</v>
      </c>
      <c r="GB102" s="2"/>
      <c r="GC102" s="2"/>
      <c r="GD102" s="2">
        <v>0</v>
      </c>
      <c r="GE102" s="2"/>
      <c r="GF102" s="2">
        <v>29789030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27"/>
        <v>0</v>
      </c>
      <c r="GM102" s="2">
        <f t="shared" si="128"/>
        <v>462.6</v>
      </c>
      <c r="GN102" s="2">
        <f t="shared" si="129"/>
        <v>462.6</v>
      </c>
      <c r="GO102" s="2">
        <f t="shared" si="130"/>
        <v>0</v>
      </c>
      <c r="GP102" s="2">
        <f t="shared" si="131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2"/>
        <v>0</v>
      </c>
      <c r="GW102" s="2">
        <v>1</v>
      </c>
      <c r="GX102" s="2">
        <f t="shared" si="133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234</v>
      </c>
      <c r="E103" t="s">
        <v>182</v>
      </c>
      <c r="F103" t="s">
        <v>183</v>
      </c>
      <c r="G103" t="s">
        <v>184</v>
      </c>
      <c r="H103" t="s">
        <v>185</v>
      </c>
      <c r="I103">
        <f>I97*J103</f>
        <v>5</v>
      </c>
      <c r="J103">
        <v>0.3125</v>
      </c>
      <c r="O103">
        <f t="shared" si="101"/>
        <v>3562.02</v>
      </c>
      <c r="P103">
        <f t="shared" si="102"/>
        <v>3562.02</v>
      </c>
      <c r="Q103">
        <f t="shared" si="103"/>
        <v>0</v>
      </c>
      <c r="R103">
        <f t="shared" si="104"/>
        <v>0</v>
      </c>
      <c r="S103">
        <f t="shared" si="105"/>
        <v>0</v>
      </c>
      <c r="T103">
        <f t="shared" si="106"/>
        <v>0</v>
      </c>
      <c r="U103">
        <f t="shared" si="107"/>
        <v>0</v>
      </c>
      <c r="V103">
        <f t="shared" si="108"/>
        <v>0</v>
      </c>
      <c r="W103">
        <f t="shared" si="109"/>
        <v>0</v>
      </c>
      <c r="X103">
        <f t="shared" si="110"/>
        <v>0</v>
      </c>
      <c r="Y103">
        <f t="shared" si="111"/>
        <v>0</v>
      </c>
      <c r="AA103">
        <v>26914189</v>
      </c>
      <c r="AB103">
        <f t="shared" si="112"/>
        <v>92.52</v>
      </c>
      <c r="AC103">
        <f t="shared" si="100"/>
        <v>92.52</v>
      </c>
      <c r="AD103">
        <f t="shared" si="136"/>
        <v>0</v>
      </c>
      <c r="AE103">
        <f t="shared" si="137"/>
        <v>0</v>
      </c>
      <c r="AF103">
        <f t="shared" si="137"/>
        <v>0</v>
      </c>
      <c r="AG103">
        <f t="shared" si="113"/>
        <v>0</v>
      </c>
      <c r="AH103">
        <f t="shared" si="138"/>
        <v>0</v>
      </c>
      <c r="AI103">
        <f t="shared" si="138"/>
        <v>0</v>
      </c>
      <c r="AJ103">
        <f t="shared" si="114"/>
        <v>0</v>
      </c>
      <c r="AK103">
        <v>92.52</v>
      </c>
      <c r="AL103">
        <v>92.52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7.7</v>
      </c>
      <c r="BA103">
        <v>1</v>
      </c>
      <c r="BB103">
        <v>1</v>
      </c>
      <c r="BC103">
        <v>7.7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186</v>
      </c>
      <c r="BM103">
        <v>9001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90</v>
      </c>
      <c r="CA103">
        <v>85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15"/>
        <v>3562.02</v>
      </c>
      <c r="CQ103">
        <f t="shared" si="116"/>
        <v>712.404</v>
      </c>
      <c r="CR103">
        <f t="shared" si="117"/>
        <v>0</v>
      </c>
      <c r="CS103">
        <f t="shared" si="118"/>
        <v>0</v>
      </c>
      <c r="CT103">
        <f t="shared" si="119"/>
        <v>0</v>
      </c>
      <c r="CU103">
        <f t="shared" si="120"/>
        <v>0</v>
      </c>
      <c r="CV103">
        <f t="shared" si="121"/>
        <v>0</v>
      </c>
      <c r="CW103">
        <f t="shared" si="122"/>
        <v>0</v>
      </c>
      <c r="CX103">
        <f t="shared" si="123"/>
        <v>0</v>
      </c>
      <c r="CY103">
        <f t="shared" si="124"/>
        <v>0</v>
      </c>
      <c r="CZ103">
        <f t="shared" si="125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185</v>
      </c>
      <c r="DW103" t="s">
        <v>185</v>
      </c>
      <c r="DX103">
        <v>1</v>
      </c>
      <c r="EE103">
        <v>26549059</v>
      </c>
      <c r="EF103">
        <v>2</v>
      </c>
      <c r="EG103" t="s">
        <v>42</v>
      </c>
      <c r="EH103">
        <v>0</v>
      </c>
      <c r="EI103" t="s">
        <v>6</v>
      </c>
      <c r="EJ103">
        <v>1</v>
      </c>
      <c r="EK103">
        <v>9001</v>
      </c>
      <c r="EL103" t="s">
        <v>171</v>
      </c>
      <c r="EM103" t="s">
        <v>172</v>
      </c>
      <c r="EO103" t="s">
        <v>6</v>
      </c>
      <c r="EQ103">
        <v>0</v>
      </c>
      <c r="ER103">
        <v>92.52</v>
      </c>
      <c r="ES103">
        <v>92.52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26"/>
        <v>0</v>
      </c>
      <c r="FS103">
        <v>0</v>
      </c>
      <c r="FT103" t="s">
        <v>45</v>
      </c>
      <c r="FU103" t="s">
        <v>46</v>
      </c>
      <c r="FX103">
        <v>81</v>
      </c>
      <c r="FY103">
        <v>72.25</v>
      </c>
      <c r="GA103" t="s">
        <v>6</v>
      </c>
      <c r="GD103">
        <v>0</v>
      </c>
      <c r="GF103">
        <v>29789030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27"/>
        <v>0</v>
      </c>
      <c r="GM103">
        <f t="shared" si="128"/>
        <v>3562.02</v>
      </c>
      <c r="GN103">
        <f t="shared" si="129"/>
        <v>3562.02</v>
      </c>
      <c r="GO103">
        <f t="shared" si="130"/>
        <v>0</v>
      </c>
      <c r="GP103">
        <f t="shared" si="131"/>
        <v>0</v>
      </c>
      <c r="GR103">
        <v>0</v>
      </c>
      <c r="GS103">
        <v>3</v>
      </c>
      <c r="GT103">
        <v>0</v>
      </c>
      <c r="GU103" t="s">
        <v>6</v>
      </c>
      <c r="GV103">
        <f t="shared" si="132"/>
        <v>0</v>
      </c>
      <c r="GW103">
        <v>1</v>
      </c>
      <c r="GX103">
        <f t="shared" si="133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ROW(SmtRes!A240)</f>
        <v>240</v>
      </c>
      <c r="D104" s="2">
        <f>ROW(EtalonRes!A232)</f>
        <v>232</v>
      </c>
      <c r="E104" s="2" t="s">
        <v>187</v>
      </c>
      <c r="F104" s="2" t="s">
        <v>188</v>
      </c>
      <c r="G104" s="2" t="s">
        <v>189</v>
      </c>
      <c r="H104" s="2" t="s">
        <v>24</v>
      </c>
      <c r="I104" s="2">
        <f>ROUND(I34,9)</f>
        <v>53.552399999999999</v>
      </c>
      <c r="J104" s="2">
        <v>0</v>
      </c>
      <c r="K104" s="2"/>
      <c r="L104" s="2"/>
      <c r="M104" s="2"/>
      <c r="N104" s="2"/>
      <c r="O104" s="2">
        <f t="shared" si="101"/>
        <v>1275.08</v>
      </c>
      <c r="P104" s="2">
        <f t="shared" si="102"/>
        <v>878.26</v>
      </c>
      <c r="Q104" s="2">
        <f t="shared" si="103"/>
        <v>0</v>
      </c>
      <c r="R104" s="2">
        <f t="shared" si="104"/>
        <v>0</v>
      </c>
      <c r="S104" s="2">
        <f t="shared" si="105"/>
        <v>396.82</v>
      </c>
      <c r="T104" s="2">
        <f t="shared" si="106"/>
        <v>0</v>
      </c>
      <c r="U104" s="2">
        <f t="shared" si="107"/>
        <v>55.158971999999999</v>
      </c>
      <c r="V104" s="2">
        <f t="shared" si="108"/>
        <v>0</v>
      </c>
      <c r="W104" s="2">
        <f t="shared" si="109"/>
        <v>0</v>
      </c>
      <c r="X104" s="2">
        <f t="shared" si="110"/>
        <v>309.52</v>
      </c>
      <c r="Y104" s="2">
        <f t="shared" si="111"/>
        <v>198.41</v>
      </c>
      <c r="Z104" s="2"/>
      <c r="AA104" s="2">
        <v>26914188</v>
      </c>
      <c r="AB104" s="2">
        <f t="shared" si="112"/>
        <v>23.81</v>
      </c>
      <c r="AC104" s="2">
        <f t="shared" si="100"/>
        <v>16.399999999999999</v>
      </c>
      <c r="AD104" s="2">
        <f t="shared" si="136"/>
        <v>0</v>
      </c>
      <c r="AE104" s="2">
        <f t="shared" si="137"/>
        <v>0</v>
      </c>
      <c r="AF104" s="2">
        <f t="shared" si="137"/>
        <v>7.41</v>
      </c>
      <c r="AG104" s="2">
        <f t="shared" si="113"/>
        <v>0</v>
      </c>
      <c r="AH104" s="2">
        <f t="shared" si="138"/>
        <v>1.03</v>
      </c>
      <c r="AI104" s="2">
        <f t="shared" si="138"/>
        <v>0</v>
      </c>
      <c r="AJ104" s="2">
        <f t="shared" si="114"/>
        <v>0</v>
      </c>
      <c r="AK104" s="2">
        <v>23.81</v>
      </c>
      <c r="AL104" s="2">
        <v>16.399999999999999</v>
      </c>
      <c r="AM104" s="2">
        <v>0</v>
      </c>
      <c r="AN104" s="2">
        <v>0</v>
      </c>
      <c r="AO104" s="2">
        <v>7.41</v>
      </c>
      <c r="AP104" s="2">
        <v>0</v>
      </c>
      <c r="AQ104" s="2">
        <v>1.03</v>
      </c>
      <c r="AR104" s="2">
        <v>0</v>
      </c>
      <c r="AS104" s="2">
        <v>0</v>
      </c>
      <c r="AT104" s="2">
        <v>78</v>
      </c>
      <c r="AU104" s="2">
        <v>50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190</v>
      </c>
      <c r="BK104" s="2"/>
      <c r="BL104" s="2"/>
      <c r="BM104" s="2">
        <v>69001</v>
      </c>
      <c r="BN104" s="2">
        <v>0</v>
      </c>
      <c r="BO104" s="2" t="s">
        <v>6</v>
      </c>
      <c r="BP104" s="2">
        <v>0</v>
      </c>
      <c r="BQ104" s="2">
        <v>6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78</v>
      </c>
      <c r="CA104" s="2">
        <v>50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15"/>
        <v>1275.08</v>
      </c>
      <c r="CQ104" s="2">
        <f t="shared" si="116"/>
        <v>16.399999999999999</v>
      </c>
      <c r="CR104" s="2">
        <f t="shared" si="117"/>
        <v>0</v>
      </c>
      <c r="CS104" s="2">
        <f t="shared" si="118"/>
        <v>0</v>
      </c>
      <c r="CT104" s="2">
        <f t="shared" si="119"/>
        <v>7.41</v>
      </c>
      <c r="CU104" s="2">
        <f t="shared" si="120"/>
        <v>0</v>
      </c>
      <c r="CV104" s="2">
        <f t="shared" si="121"/>
        <v>1.03</v>
      </c>
      <c r="CW104" s="2">
        <f t="shared" si="122"/>
        <v>0</v>
      </c>
      <c r="CX104" s="2">
        <f t="shared" si="123"/>
        <v>0</v>
      </c>
      <c r="CY104" s="2">
        <f t="shared" si="124"/>
        <v>309.51959999999997</v>
      </c>
      <c r="CZ104" s="2">
        <f t="shared" si="125"/>
        <v>198.41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24</v>
      </c>
      <c r="DW104" s="2" t="s">
        <v>24</v>
      </c>
      <c r="DX104" s="2">
        <v>1000</v>
      </c>
      <c r="DY104" s="2"/>
      <c r="DZ104" s="2"/>
      <c r="EA104" s="2"/>
      <c r="EB104" s="2"/>
      <c r="EC104" s="2"/>
      <c r="ED104" s="2"/>
      <c r="EE104" s="2">
        <v>26549187</v>
      </c>
      <c r="EF104" s="2">
        <v>6</v>
      </c>
      <c r="EG104" s="2" t="s">
        <v>18</v>
      </c>
      <c r="EH104" s="2">
        <v>0</v>
      </c>
      <c r="EI104" s="2" t="s">
        <v>6</v>
      </c>
      <c r="EJ104" s="2">
        <v>1</v>
      </c>
      <c r="EK104" s="2">
        <v>69001</v>
      </c>
      <c r="EL104" s="2" t="s">
        <v>191</v>
      </c>
      <c r="EM104" s="2" t="s">
        <v>192</v>
      </c>
      <c r="EN104" s="2"/>
      <c r="EO104" s="2" t="s">
        <v>6</v>
      </c>
      <c r="EP104" s="2"/>
      <c r="EQ104" s="2">
        <v>0</v>
      </c>
      <c r="ER104" s="2">
        <v>23.81</v>
      </c>
      <c r="ES104" s="2">
        <v>16.399999999999999</v>
      </c>
      <c r="ET104" s="2">
        <v>0</v>
      </c>
      <c r="EU104" s="2">
        <v>0</v>
      </c>
      <c r="EV104" s="2">
        <v>7.41</v>
      </c>
      <c r="EW104" s="2">
        <v>1.03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6"/>
        <v>0</v>
      </c>
      <c r="FS104" s="2">
        <v>0</v>
      </c>
      <c r="FT104" s="2"/>
      <c r="FU104" s="2"/>
      <c r="FV104" s="2"/>
      <c r="FW104" s="2"/>
      <c r="FX104" s="2">
        <v>78</v>
      </c>
      <c r="FY104" s="2">
        <v>50</v>
      </c>
      <c r="FZ104" s="2"/>
      <c r="GA104" s="2" t="s">
        <v>6</v>
      </c>
      <c r="GB104" s="2"/>
      <c r="GC104" s="2"/>
      <c r="GD104" s="2">
        <v>0</v>
      </c>
      <c r="GE104" s="2"/>
      <c r="GF104" s="2">
        <v>-1073482640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27"/>
        <v>0</v>
      </c>
      <c r="GM104" s="2">
        <f t="shared" si="128"/>
        <v>1783.01</v>
      </c>
      <c r="GN104" s="2">
        <f t="shared" si="129"/>
        <v>1783.01</v>
      </c>
      <c r="GO104" s="2">
        <f t="shared" si="130"/>
        <v>0</v>
      </c>
      <c r="GP104" s="2">
        <f t="shared" si="131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2"/>
        <v>0</v>
      </c>
      <c r="GW104" s="2">
        <v>1</v>
      </c>
      <c r="GX104" s="2">
        <f t="shared" si="133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ROW(SmtRes!A242)</f>
        <v>242</v>
      </c>
      <c r="D105">
        <f>ROW(EtalonRes!A234)</f>
        <v>234</v>
      </c>
      <c r="E105" t="s">
        <v>187</v>
      </c>
      <c r="F105" t="s">
        <v>188</v>
      </c>
      <c r="G105" t="s">
        <v>189</v>
      </c>
      <c r="H105" t="s">
        <v>24</v>
      </c>
      <c r="I105">
        <f>ROUND(I35,9)</f>
        <v>53.552399999999999</v>
      </c>
      <c r="J105">
        <v>0</v>
      </c>
      <c r="O105">
        <f t="shared" si="101"/>
        <v>9818.14</v>
      </c>
      <c r="P105">
        <f t="shared" si="102"/>
        <v>6762.6</v>
      </c>
      <c r="Q105">
        <f t="shared" si="103"/>
        <v>0</v>
      </c>
      <c r="R105">
        <f t="shared" si="104"/>
        <v>0</v>
      </c>
      <c r="S105">
        <f t="shared" si="105"/>
        <v>3055.54</v>
      </c>
      <c r="T105">
        <f t="shared" si="106"/>
        <v>0</v>
      </c>
      <c r="U105">
        <f t="shared" si="107"/>
        <v>55.158971999999999</v>
      </c>
      <c r="V105">
        <f t="shared" si="108"/>
        <v>0</v>
      </c>
      <c r="W105">
        <f t="shared" si="109"/>
        <v>0</v>
      </c>
      <c r="X105">
        <f t="shared" si="110"/>
        <v>2383.3200000000002</v>
      </c>
      <c r="Y105">
        <f t="shared" si="111"/>
        <v>1527.77</v>
      </c>
      <c r="AA105">
        <v>26914189</v>
      </c>
      <c r="AB105">
        <f t="shared" si="112"/>
        <v>23.81</v>
      </c>
      <c r="AC105">
        <f t="shared" si="100"/>
        <v>16.399999999999999</v>
      </c>
      <c r="AD105">
        <f t="shared" si="136"/>
        <v>0</v>
      </c>
      <c r="AE105">
        <f t="shared" si="137"/>
        <v>0</v>
      </c>
      <c r="AF105">
        <f t="shared" si="137"/>
        <v>7.41</v>
      </c>
      <c r="AG105">
        <f t="shared" si="113"/>
        <v>0</v>
      </c>
      <c r="AH105">
        <f t="shared" si="138"/>
        <v>1.03</v>
      </c>
      <c r="AI105">
        <f t="shared" si="138"/>
        <v>0</v>
      </c>
      <c r="AJ105">
        <f t="shared" si="114"/>
        <v>0</v>
      </c>
      <c r="AK105">
        <v>23.81</v>
      </c>
      <c r="AL105">
        <v>16.399999999999999</v>
      </c>
      <c r="AM105">
        <v>0</v>
      </c>
      <c r="AN105">
        <v>0</v>
      </c>
      <c r="AO105">
        <v>7.41</v>
      </c>
      <c r="AP105">
        <v>0</v>
      </c>
      <c r="AQ105">
        <v>1.03</v>
      </c>
      <c r="AR105">
        <v>0</v>
      </c>
      <c r="AS105">
        <v>0</v>
      </c>
      <c r="AT105">
        <v>78</v>
      </c>
      <c r="AU105">
        <v>50</v>
      </c>
      <c r="AV105">
        <v>1</v>
      </c>
      <c r="AW105">
        <v>1</v>
      </c>
      <c r="AZ105">
        <v>7.7</v>
      </c>
      <c r="BA105">
        <v>7.7</v>
      </c>
      <c r="BB105">
        <v>7.7</v>
      </c>
      <c r="BC105">
        <v>7.7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190</v>
      </c>
      <c r="BM105">
        <v>69001</v>
      </c>
      <c r="BN105">
        <v>0</v>
      </c>
      <c r="BO105" t="s">
        <v>6</v>
      </c>
      <c r="BP105">
        <v>0</v>
      </c>
      <c r="BQ105">
        <v>6</v>
      </c>
      <c r="BR105">
        <v>0</v>
      </c>
      <c r="BS105">
        <v>7.7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78</v>
      </c>
      <c r="CA105">
        <v>50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15"/>
        <v>9818.14</v>
      </c>
      <c r="CQ105">
        <f t="shared" si="116"/>
        <v>126.27999999999999</v>
      </c>
      <c r="CR105">
        <f t="shared" si="117"/>
        <v>0</v>
      </c>
      <c r="CS105">
        <f t="shared" si="118"/>
        <v>0</v>
      </c>
      <c r="CT105">
        <f t="shared" si="119"/>
        <v>57.057000000000002</v>
      </c>
      <c r="CU105">
        <f t="shared" si="120"/>
        <v>0</v>
      </c>
      <c r="CV105">
        <f t="shared" si="121"/>
        <v>1.03</v>
      </c>
      <c r="CW105">
        <f t="shared" si="122"/>
        <v>0</v>
      </c>
      <c r="CX105">
        <f t="shared" si="123"/>
        <v>0</v>
      </c>
      <c r="CY105">
        <f t="shared" si="124"/>
        <v>2383.3211999999999</v>
      </c>
      <c r="CZ105">
        <f t="shared" si="125"/>
        <v>1527.77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24</v>
      </c>
      <c r="DW105" t="s">
        <v>24</v>
      </c>
      <c r="DX105">
        <v>1000</v>
      </c>
      <c r="EE105">
        <v>26549187</v>
      </c>
      <c r="EF105">
        <v>6</v>
      </c>
      <c r="EG105" t="s">
        <v>18</v>
      </c>
      <c r="EH105">
        <v>0</v>
      </c>
      <c r="EI105" t="s">
        <v>6</v>
      </c>
      <c r="EJ105">
        <v>1</v>
      </c>
      <c r="EK105">
        <v>69001</v>
      </c>
      <c r="EL105" t="s">
        <v>191</v>
      </c>
      <c r="EM105" t="s">
        <v>192</v>
      </c>
      <c r="EO105" t="s">
        <v>6</v>
      </c>
      <c r="EQ105">
        <v>0</v>
      </c>
      <c r="ER105">
        <v>23.81</v>
      </c>
      <c r="ES105">
        <v>16.399999999999999</v>
      </c>
      <c r="ET105">
        <v>0</v>
      </c>
      <c r="EU105">
        <v>0</v>
      </c>
      <c r="EV105">
        <v>7.41</v>
      </c>
      <c r="EW105">
        <v>1.03</v>
      </c>
      <c r="EX105">
        <v>0</v>
      </c>
      <c r="EY105">
        <v>0</v>
      </c>
      <c r="FQ105">
        <v>0</v>
      </c>
      <c r="FR105">
        <f t="shared" si="126"/>
        <v>0</v>
      </c>
      <c r="FS105">
        <v>0</v>
      </c>
      <c r="FX105">
        <v>78</v>
      </c>
      <c r="FY105">
        <v>50</v>
      </c>
      <c r="GA105" t="s">
        <v>6</v>
      </c>
      <c r="GD105">
        <v>0</v>
      </c>
      <c r="GF105">
        <v>-1073482640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27"/>
        <v>0</v>
      </c>
      <c r="GM105">
        <f t="shared" si="128"/>
        <v>13729.23</v>
      </c>
      <c r="GN105">
        <f t="shared" si="129"/>
        <v>13729.23</v>
      </c>
      <c r="GO105">
        <f t="shared" si="130"/>
        <v>0</v>
      </c>
      <c r="GP105">
        <f t="shared" si="131"/>
        <v>0</v>
      </c>
      <c r="GR105">
        <v>0</v>
      </c>
      <c r="GS105">
        <v>3</v>
      </c>
      <c r="GT105">
        <v>0</v>
      </c>
      <c r="GU105" t="s">
        <v>6</v>
      </c>
      <c r="GV105">
        <f t="shared" si="132"/>
        <v>0</v>
      </c>
      <c r="GW105">
        <v>1</v>
      </c>
      <c r="GX105">
        <f t="shared" si="133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ROW(SmtRes!A244)</f>
        <v>244</v>
      </c>
      <c r="D106" s="2">
        <f>ROW(EtalonRes!A236)</f>
        <v>236</v>
      </c>
      <c r="E106" s="2" t="s">
        <v>193</v>
      </c>
      <c r="F106" s="2" t="s">
        <v>194</v>
      </c>
      <c r="G106" s="2" t="s">
        <v>195</v>
      </c>
      <c r="H106" s="2" t="s">
        <v>196</v>
      </c>
      <c r="I106" s="2">
        <f>ROUND(I26+I30+I34,9)</f>
        <v>58.01014</v>
      </c>
      <c r="J106" s="2">
        <v>0</v>
      </c>
      <c r="K106" s="2"/>
      <c r="L106" s="2"/>
      <c r="M106" s="2"/>
      <c r="N106" s="2"/>
      <c r="O106" s="2">
        <f>0</f>
        <v>0</v>
      </c>
      <c r="P106" s="2">
        <f>0</f>
        <v>0</v>
      </c>
      <c r="Q106" s="2">
        <f>0</f>
        <v>0</v>
      </c>
      <c r="R106" s="2">
        <f>0</f>
        <v>0</v>
      </c>
      <c r="S106" s="2">
        <f>0</f>
        <v>0</v>
      </c>
      <c r="T106" s="2">
        <f>0</f>
        <v>0</v>
      </c>
      <c r="U106" s="2">
        <f>0</f>
        <v>0</v>
      </c>
      <c r="V106" s="2">
        <f>0</f>
        <v>0</v>
      </c>
      <c r="W106" s="2">
        <f>0</f>
        <v>0</v>
      </c>
      <c r="X106" s="2">
        <f>0</f>
        <v>0</v>
      </c>
      <c r="Y106" s="2">
        <f>0</f>
        <v>0</v>
      </c>
      <c r="Z106" s="2"/>
      <c r="AA106" s="2">
        <v>26914188</v>
      </c>
      <c r="AB106" s="2">
        <f>ROUND((AK106),6)</f>
        <v>42.98</v>
      </c>
      <c r="AC106" s="2">
        <f>0</f>
        <v>0</v>
      </c>
      <c r="AD106" s="2">
        <f>0</f>
        <v>0</v>
      </c>
      <c r="AE106" s="2">
        <f>0</f>
        <v>0</v>
      </c>
      <c r="AF106" s="2">
        <f>0</f>
        <v>0</v>
      </c>
      <c r="AG106" s="2">
        <f>0</f>
        <v>0</v>
      </c>
      <c r="AH106" s="2">
        <f>0</f>
        <v>0</v>
      </c>
      <c r="AI106" s="2">
        <f>0</f>
        <v>0</v>
      </c>
      <c r="AJ106" s="2">
        <f>0</f>
        <v>0</v>
      </c>
      <c r="AK106" s="2">
        <v>42.98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197</v>
      </c>
      <c r="BK106" s="2"/>
      <c r="BL106" s="2"/>
      <c r="BM106" s="2">
        <v>700004</v>
      </c>
      <c r="BN106" s="2">
        <v>0</v>
      </c>
      <c r="BO106" s="2" t="s">
        <v>6</v>
      </c>
      <c r="BP106" s="2">
        <v>0</v>
      </c>
      <c r="BQ106" s="2">
        <v>19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4.1500000000000004</v>
      </c>
      <c r="CA106" s="2">
        <v>2.4900000000000002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>AB106*AZ106</f>
        <v>42.98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1013</v>
      </c>
      <c r="DV106" s="2" t="s">
        <v>196</v>
      </c>
      <c r="DW106" s="2" t="s">
        <v>196</v>
      </c>
      <c r="DX106" s="2">
        <v>1</v>
      </c>
      <c r="DY106" s="2"/>
      <c r="DZ106" s="2"/>
      <c r="EA106" s="2"/>
      <c r="EB106" s="2"/>
      <c r="EC106" s="2"/>
      <c r="ED106" s="2"/>
      <c r="EE106" s="2">
        <v>26549248</v>
      </c>
      <c r="EF106" s="2">
        <v>19</v>
      </c>
      <c r="EG106" s="2" t="s">
        <v>198</v>
      </c>
      <c r="EH106" s="2">
        <v>0</v>
      </c>
      <c r="EI106" s="2" t="s">
        <v>6</v>
      </c>
      <c r="EJ106" s="2">
        <v>1</v>
      </c>
      <c r="EK106" s="2">
        <v>700004</v>
      </c>
      <c r="EL106" s="2" t="s">
        <v>199</v>
      </c>
      <c r="EM106" s="2" t="s">
        <v>200</v>
      </c>
      <c r="EN106" s="2"/>
      <c r="EO106" s="2" t="s">
        <v>6</v>
      </c>
      <c r="EP106" s="2"/>
      <c r="EQ106" s="2">
        <v>65536</v>
      </c>
      <c r="ER106" s="2">
        <v>42.98</v>
      </c>
      <c r="ES106" s="2">
        <v>0</v>
      </c>
      <c r="ET106" s="2">
        <v>32.19</v>
      </c>
      <c r="EU106" s="2">
        <v>0</v>
      </c>
      <c r="EV106" s="2">
        <v>4.1500000000000004</v>
      </c>
      <c r="EW106" s="2">
        <v>0.57769999999999999</v>
      </c>
      <c r="EX106" s="2">
        <v>0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6"/>
        <v>0</v>
      </c>
      <c r="FS106" s="2">
        <v>0</v>
      </c>
      <c r="FT106" s="2"/>
      <c r="FU106" s="2"/>
      <c r="FV106" s="2"/>
      <c r="FW106" s="2"/>
      <c r="FX106" s="2">
        <v>0</v>
      </c>
      <c r="FY106" s="2">
        <v>0</v>
      </c>
      <c r="FZ106" s="2"/>
      <c r="GA106" s="2" t="s">
        <v>6</v>
      </c>
      <c r="GB106" s="2"/>
      <c r="GC106" s="2"/>
      <c r="GD106" s="2">
        <v>0</v>
      </c>
      <c r="GE106" s="2"/>
      <c r="GF106" s="2">
        <v>-1752688816</v>
      </c>
      <c r="GG106" s="2">
        <v>2</v>
      </c>
      <c r="GH106" s="2">
        <v>1</v>
      </c>
      <c r="GI106" s="2">
        <v>-2</v>
      </c>
      <c r="GJ106" s="2">
        <v>2</v>
      </c>
      <c r="GK106" s="2">
        <f>ROUND(R106*(R12)/100,2)</f>
        <v>0</v>
      </c>
      <c r="GL106" s="2">
        <f t="shared" si="127"/>
        <v>0</v>
      </c>
      <c r="GM106" s="2">
        <f>ROUND(CP106*I106,2)</f>
        <v>2493.2800000000002</v>
      </c>
      <c r="GN106" s="2">
        <f>IF(OR(BI106=0,BI106=1),ROUND(CP106*I106,2),0)</f>
        <v>2493.2800000000002</v>
      </c>
      <c r="GO106" s="2">
        <f>IF(BI106=2,ROUND(CP106*I106,2),0)</f>
        <v>0</v>
      </c>
      <c r="GP106" s="2">
        <f>IF(BI106=4,ROUND(CP106*I106,2)+GX106,0)</f>
        <v>0</v>
      </c>
      <c r="GQ106" s="2"/>
      <c r="GR106" s="2">
        <v>0</v>
      </c>
      <c r="GS106" s="2">
        <v>3</v>
      </c>
      <c r="GT106" s="2"/>
      <c r="GU106" s="2" t="s">
        <v>6</v>
      </c>
      <c r="GV106" s="2">
        <f>0</f>
        <v>0</v>
      </c>
      <c r="GW106" s="2">
        <v>1</v>
      </c>
      <c r="GX106" s="2">
        <f t="shared" si="133"/>
        <v>0</v>
      </c>
      <c r="GY106" s="2">
        <v>0</v>
      </c>
      <c r="GZ106" s="2">
        <v>0</v>
      </c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ROW(SmtRes!A246)</f>
        <v>246</v>
      </c>
      <c r="D107">
        <f>ROW(EtalonRes!A238)</f>
        <v>238</v>
      </c>
      <c r="E107" t="s">
        <v>193</v>
      </c>
      <c r="F107" t="s">
        <v>194</v>
      </c>
      <c r="G107" t="s">
        <v>195</v>
      </c>
      <c r="H107" t="s">
        <v>196</v>
      </c>
      <c r="I107">
        <f>ROUND(I27+I31+I35,9)</f>
        <v>58.01014</v>
      </c>
      <c r="J107">
        <v>0</v>
      </c>
      <c r="O107">
        <f>0</f>
        <v>0</v>
      </c>
      <c r="P107">
        <f>0</f>
        <v>0</v>
      </c>
      <c r="Q107">
        <f>0</f>
        <v>0</v>
      </c>
      <c r="R107">
        <f>0</f>
        <v>0</v>
      </c>
      <c r="S107">
        <f>0</f>
        <v>0</v>
      </c>
      <c r="T107">
        <f>0</f>
        <v>0</v>
      </c>
      <c r="U107">
        <f>0</f>
        <v>0</v>
      </c>
      <c r="V107">
        <f>0</f>
        <v>0</v>
      </c>
      <c r="W107">
        <f>0</f>
        <v>0</v>
      </c>
      <c r="X107">
        <f>0</f>
        <v>0</v>
      </c>
      <c r="Y107">
        <f>0</f>
        <v>0</v>
      </c>
      <c r="AA107">
        <v>26914189</v>
      </c>
      <c r="AB107">
        <f>ROUND((AK107),6)</f>
        <v>42.98</v>
      </c>
      <c r="AC107">
        <f>0</f>
        <v>0</v>
      </c>
      <c r="AD107">
        <f>0</f>
        <v>0</v>
      </c>
      <c r="AE107">
        <f>0</f>
        <v>0</v>
      </c>
      <c r="AF107">
        <f>0</f>
        <v>0</v>
      </c>
      <c r="AG107">
        <f>0</f>
        <v>0</v>
      </c>
      <c r="AH107">
        <f>0</f>
        <v>0</v>
      </c>
      <c r="AI107">
        <f>0</f>
        <v>0</v>
      </c>
      <c r="AJ107">
        <f>0</f>
        <v>0</v>
      </c>
      <c r="AK107">
        <v>42.98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7.7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197</v>
      </c>
      <c r="BM107">
        <v>700004</v>
      </c>
      <c r="BN107">
        <v>0</v>
      </c>
      <c r="BO107" t="s">
        <v>6</v>
      </c>
      <c r="BP107">
        <v>0</v>
      </c>
      <c r="BQ107">
        <v>19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4.1500000000000004</v>
      </c>
      <c r="CA107">
        <v>2.4900000000000002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>AB107*AZ107</f>
        <v>330.94599999999997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196</v>
      </c>
      <c r="DW107" t="s">
        <v>196</v>
      </c>
      <c r="DX107">
        <v>1</v>
      </c>
      <c r="EE107">
        <v>26549248</v>
      </c>
      <c r="EF107">
        <v>19</v>
      </c>
      <c r="EG107" t="s">
        <v>198</v>
      </c>
      <c r="EH107">
        <v>0</v>
      </c>
      <c r="EI107" t="s">
        <v>6</v>
      </c>
      <c r="EJ107">
        <v>1</v>
      </c>
      <c r="EK107">
        <v>700004</v>
      </c>
      <c r="EL107" t="s">
        <v>199</v>
      </c>
      <c r="EM107" t="s">
        <v>200</v>
      </c>
      <c r="EO107" t="s">
        <v>6</v>
      </c>
      <c r="EQ107">
        <v>65536</v>
      </c>
      <c r="ER107">
        <v>42.98</v>
      </c>
      <c r="ES107">
        <v>0</v>
      </c>
      <c r="ET107">
        <v>32.19</v>
      </c>
      <c r="EU107">
        <v>0</v>
      </c>
      <c r="EV107">
        <v>4.1500000000000004</v>
      </c>
      <c r="EW107">
        <v>0.57769999999999999</v>
      </c>
      <c r="EX107">
        <v>0</v>
      </c>
      <c r="EY107">
        <v>0</v>
      </c>
      <c r="FQ107">
        <v>0</v>
      </c>
      <c r="FR107">
        <f t="shared" si="126"/>
        <v>0</v>
      </c>
      <c r="FS107">
        <v>0</v>
      </c>
      <c r="FX107">
        <v>0</v>
      </c>
      <c r="FY107">
        <v>0</v>
      </c>
      <c r="GA107" t="s">
        <v>6</v>
      </c>
      <c r="GD107">
        <v>0</v>
      </c>
      <c r="GF107">
        <v>-1752688816</v>
      </c>
      <c r="GG107">
        <v>1</v>
      </c>
      <c r="GH107">
        <v>1</v>
      </c>
      <c r="GI107">
        <v>4</v>
      </c>
      <c r="GJ107">
        <v>2</v>
      </c>
      <c r="GK107">
        <f>ROUND(R107*(S12)/100,2)</f>
        <v>0</v>
      </c>
      <c r="GL107">
        <f t="shared" si="127"/>
        <v>0</v>
      </c>
      <c r="GM107">
        <f>ROUND(CP107*I107,2)</f>
        <v>19198.22</v>
      </c>
      <c r="GN107">
        <f>IF(OR(BI107=0,BI107=1),ROUND(CP107*I107,2),0)</f>
        <v>19198.22</v>
      </c>
      <c r="GO107">
        <f>IF(BI107=2,ROUND(CP107*I107,2),0)</f>
        <v>0</v>
      </c>
      <c r="GP107">
        <f>IF(BI107=4,ROUND(CP107*I107,2)+GX107,0)</f>
        <v>0</v>
      </c>
      <c r="GR107">
        <v>0</v>
      </c>
      <c r="GS107">
        <v>0</v>
      </c>
      <c r="GU107" t="s">
        <v>6</v>
      </c>
      <c r="GV107">
        <f>0</f>
        <v>0</v>
      </c>
      <c r="GW107">
        <v>1</v>
      </c>
      <c r="GX107">
        <f t="shared" si="133"/>
        <v>0</v>
      </c>
      <c r="GY107">
        <v>0</v>
      </c>
      <c r="GZ107"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/>
      <c r="D108" s="2"/>
      <c r="E108" s="2" t="s">
        <v>201</v>
      </c>
      <c r="F108" s="2" t="s">
        <v>202</v>
      </c>
      <c r="G108" s="2" t="s">
        <v>203</v>
      </c>
      <c r="H108" s="2" t="s">
        <v>196</v>
      </c>
      <c r="I108" s="2">
        <f>ROUND(I106,9)</f>
        <v>58.01014</v>
      </c>
      <c r="J108" s="2">
        <v>0</v>
      </c>
      <c r="K108" s="2"/>
      <c r="L108" s="2"/>
      <c r="M108" s="2"/>
      <c r="N108" s="2"/>
      <c r="O108" s="2">
        <f>0</f>
        <v>0</v>
      </c>
      <c r="P108" s="2">
        <f>0</f>
        <v>0</v>
      </c>
      <c r="Q108" s="2">
        <f>0</f>
        <v>0</v>
      </c>
      <c r="R108" s="2">
        <f>0</f>
        <v>0</v>
      </c>
      <c r="S108" s="2">
        <f>0</f>
        <v>0</v>
      </c>
      <c r="T108" s="2">
        <f>0</f>
        <v>0</v>
      </c>
      <c r="U108" s="2">
        <f>0</f>
        <v>0</v>
      </c>
      <c r="V108" s="2">
        <f>0</f>
        <v>0</v>
      </c>
      <c r="W108" s="2">
        <f>0</f>
        <v>0</v>
      </c>
      <c r="X108" s="2">
        <f>0</f>
        <v>0</v>
      </c>
      <c r="Y108" s="2">
        <f>0</f>
        <v>0</v>
      </c>
      <c r="Z108" s="2"/>
      <c r="AA108" s="2">
        <v>26914188</v>
      </c>
      <c r="AB108" s="2">
        <f>ROUND((AK108),6)</f>
        <v>23.67</v>
      </c>
      <c r="AC108" s="2">
        <f>0</f>
        <v>0</v>
      </c>
      <c r="AD108" s="2">
        <f>0</f>
        <v>0</v>
      </c>
      <c r="AE108" s="2">
        <f>0</f>
        <v>0</v>
      </c>
      <c r="AF108" s="2">
        <f>0</f>
        <v>0</v>
      </c>
      <c r="AG108" s="2">
        <f>0</f>
        <v>0</v>
      </c>
      <c r="AH108" s="2">
        <f>0</f>
        <v>0</v>
      </c>
      <c r="AI108" s="2">
        <f>0</f>
        <v>0</v>
      </c>
      <c r="AJ108" s="2">
        <f>0</f>
        <v>0</v>
      </c>
      <c r="AK108" s="2">
        <v>23.67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204</v>
      </c>
      <c r="BK108" s="2"/>
      <c r="BL108" s="2"/>
      <c r="BM108" s="2">
        <v>700005</v>
      </c>
      <c r="BN108" s="2">
        <v>0</v>
      </c>
      <c r="BO108" s="2" t="s">
        <v>6</v>
      </c>
      <c r="BP108" s="2">
        <v>0</v>
      </c>
      <c r="BQ108" s="2">
        <v>10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0</v>
      </c>
      <c r="CA108" s="2">
        <v>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>AB108*AZ108</f>
        <v>23.67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1013</v>
      </c>
      <c r="DV108" s="2" t="s">
        <v>196</v>
      </c>
      <c r="DW108" s="2" t="s">
        <v>196</v>
      </c>
      <c r="DX108" s="2">
        <v>1</v>
      </c>
      <c r="DY108" s="2"/>
      <c r="DZ108" s="2"/>
      <c r="EA108" s="2"/>
      <c r="EB108" s="2"/>
      <c r="EC108" s="2"/>
      <c r="ED108" s="2"/>
      <c r="EE108" s="2">
        <v>26549252</v>
      </c>
      <c r="EF108" s="2">
        <v>10</v>
      </c>
      <c r="EG108" s="2" t="s">
        <v>205</v>
      </c>
      <c r="EH108" s="2">
        <v>0</v>
      </c>
      <c r="EI108" s="2" t="s">
        <v>6</v>
      </c>
      <c r="EJ108" s="2">
        <v>1</v>
      </c>
      <c r="EK108" s="2">
        <v>700005</v>
      </c>
      <c r="EL108" s="2" t="s">
        <v>206</v>
      </c>
      <c r="EM108" s="2" t="s">
        <v>207</v>
      </c>
      <c r="EN108" s="2"/>
      <c r="EO108" s="2" t="s">
        <v>6</v>
      </c>
      <c r="EP108" s="2"/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6"/>
        <v>0</v>
      </c>
      <c r="FS108" s="2">
        <v>0</v>
      </c>
      <c r="FT108" s="2"/>
      <c r="FU108" s="2"/>
      <c r="FV108" s="2"/>
      <c r="FW108" s="2"/>
      <c r="FX108" s="2">
        <v>0</v>
      </c>
      <c r="FY108" s="2">
        <v>0</v>
      </c>
      <c r="FZ108" s="2"/>
      <c r="GA108" s="2" t="s">
        <v>6</v>
      </c>
      <c r="GB108" s="2"/>
      <c r="GC108" s="2"/>
      <c r="GD108" s="2">
        <v>0</v>
      </c>
      <c r="GE108" s="2"/>
      <c r="GF108" s="2">
        <v>1886037457</v>
      </c>
      <c r="GG108" s="2">
        <v>2</v>
      </c>
      <c r="GH108" s="2">
        <v>1</v>
      </c>
      <c r="GI108" s="2">
        <v>-2</v>
      </c>
      <c r="GJ108" s="2">
        <v>2</v>
      </c>
      <c r="GK108" s="2">
        <f>ROUND(R108*(R12)/100,2)</f>
        <v>0</v>
      </c>
      <c r="GL108" s="2">
        <f t="shared" si="127"/>
        <v>0</v>
      </c>
      <c r="GM108" s="2">
        <f>ROUND(CP108*I108,2)</f>
        <v>1373.1</v>
      </c>
      <c r="GN108" s="2">
        <f>IF(OR(BI108=0,BI108=1),ROUND(CP108*I108,2),0)</f>
        <v>1373.1</v>
      </c>
      <c r="GO108" s="2">
        <f>IF(BI108=2,ROUND(CP108*I108,2),0)</f>
        <v>0</v>
      </c>
      <c r="GP108" s="2">
        <f>IF(BI108=4,ROUND(CP108*I108,2)+GX108,0)</f>
        <v>0</v>
      </c>
      <c r="GQ108" s="2"/>
      <c r="GR108" s="2">
        <v>0</v>
      </c>
      <c r="GS108" s="2">
        <v>3</v>
      </c>
      <c r="GT108" s="2"/>
      <c r="GU108" s="2" t="s">
        <v>6</v>
      </c>
      <c r="GV108" s="2">
        <f>0</f>
        <v>0</v>
      </c>
      <c r="GW108" s="2">
        <v>1</v>
      </c>
      <c r="GX108" s="2">
        <f t="shared" si="133"/>
        <v>0</v>
      </c>
      <c r="GY108" s="2">
        <v>0</v>
      </c>
      <c r="GZ108" s="2">
        <v>0</v>
      </c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E109" t="s">
        <v>201</v>
      </c>
      <c r="F109" t="s">
        <v>202</v>
      </c>
      <c r="G109" t="s">
        <v>203</v>
      </c>
      <c r="H109" t="s">
        <v>196</v>
      </c>
      <c r="I109">
        <f>ROUND(I107,9)</f>
        <v>58.01014</v>
      </c>
      <c r="J109">
        <v>0</v>
      </c>
      <c r="O109">
        <f>0</f>
        <v>0</v>
      </c>
      <c r="P109">
        <f>0</f>
        <v>0</v>
      </c>
      <c r="Q109">
        <f>0</f>
        <v>0</v>
      </c>
      <c r="R109">
        <f>0</f>
        <v>0</v>
      </c>
      <c r="S109">
        <f>0</f>
        <v>0</v>
      </c>
      <c r="T109">
        <f>0</f>
        <v>0</v>
      </c>
      <c r="U109">
        <f>0</f>
        <v>0</v>
      </c>
      <c r="V109">
        <f>0</f>
        <v>0</v>
      </c>
      <c r="W109">
        <f>0</f>
        <v>0</v>
      </c>
      <c r="X109">
        <f>0</f>
        <v>0</v>
      </c>
      <c r="Y109">
        <f>0</f>
        <v>0</v>
      </c>
      <c r="AA109">
        <v>26914189</v>
      </c>
      <c r="AB109">
        <f>ROUND((AK109),6)</f>
        <v>23.67</v>
      </c>
      <c r="AC109">
        <f>0</f>
        <v>0</v>
      </c>
      <c r="AD109">
        <f>0</f>
        <v>0</v>
      </c>
      <c r="AE109">
        <f>0</f>
        <v>0</v>
      </c>
      <c r="AF109">
        <f>0</f>
        <v>0</v>
      </c>
      <c r="AG109">
        <f>0</f>
        <v>0</v>
      </c>
      <c r="AH109">
        <f>0</f>
        <v>0</v>
      </c>
      <c r="AI109">
        <f>0</f>
        <v>0</v>
      </c>
      <c r="AJ109">
        <f>0</f>
        <v>0</v>
      </c>
      <c r="AK109">
        <v>23.67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7.7</v>
      </c>
      <c r="BA109">
        <v>1</v>
      </c>
      <c r="BB109">
        <v>1</v>
      </c>
      <c r="BC109">
        <v>1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204</v>
      </c>
      <c r="BM109">
        <v>700005</v>
      </c>
      <c r="BN109">
        <v>0</v>
      </c>
      <c r="BO109" t="s">
        <v>6</v>
      </c>
      <c r="BP109">
        <v>0</v>
      </c>
      <c r="BQ109">
        <v>10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0</v>
      </c>
      <c r="CA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>AB109*AZ109</f>
        <v>182.25900000000001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1013</v>
      </c>
      <c r="DV109" t="s">
        <v>196</v>
      </c>
      <c r="DW109" t="s">
        <v>196</v>
      </c>
      <c r="DX109">
        <v>1</v>
      </c>
      <c r="EE109">
        <v>26549252</v>
      </c>
      <c r="EF109">
        <v>10</v>
      </c>
      <c r="EG109" t="s">
        <v>205</v>
      </c>
      <c r="EH109">
        <v>0</v>
      </c>
      <c r="EI109" t="s">
        <v>6</v>
      </c>
      <c r="EJ109">
        <v>1</v>
      </c>
      <c r="EK109">
        <v>700005</v>
      </c>
      <c r="EL109" t="s">
        <v>206</v>
      </c>
      <c r="EM109" t="s">
        <v>207</v>
      </c>
      <c r="EO109" t="s">
        <v>6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26"/>
        <v>0</v>
      </c>
      <c r="FS109">
        <v>0</v>
      </c>
      <c r="FX109">
        <v>0</v>
      </c>
      <c r="FY109">
        <v>0</v>
      </c>
      <c r="GA109" t="s">
        <v>6</v>
      </c>
      <c r="GD109">
        <v>0</v>
      </c>
      <c r="GF109">
        <v>1886037457</v>
      </c>
      <c r="GG109">
        <v>1</v>
      </c>
      <c r="GH109">
        <v>1</v>
      </c>
      <c r="GI109">
        <v>4</v>
      </c>
      <c r="GJ109">
        <v>2</v>
      </c>
      <c r="GK109">
        <f>ROUND(R109*(S12)/100,2)</f>
        <v>0</v>
      </c>
      <c r="GL109">
        <f t="shared" si="127"/>
        <v>0</v>
      </c>
      <c r="GM109">
        <f>ROUND(CP109*I109,2)</f>
        <v>10572.87</v>
      </c>
      <c r="GN109">
        <f>IF(OR(BI109=0,BI109=1),ROUND(CP109*I109,2),0)</f>
        <v>10572.87</v>
      </c>
      <c r="GO109">
        <f>IF(BI109=2,ROUND(CP109*I109,2),0)</f>
        <v>0</v>
      </c>
      <c r="GP109">
        <f>IF(BI109=4,ROUND(CP109*I109,2)+GX109,0)</f>
        <v>0</v>
      </c>
      <c r="GR109">
        <v>0</v>
      </c>
      <c r="GS109">
        <v>3</v>
      </c>
      <c r="GU109" t="s">
        <v>6</v>
      </c>
      <c r="GV109">
        <f>0</f>
        <v>0</v>
      </c>
      <c r="GW109">
        <v>1</v>
      </c>
      <c r="GX109">
        <f t="shared" si="133"/>
        <v>0</v>
      </c>
      <c r="GY109">
        <v>0</v>
      </c>
      <c r="GZ109">
        <v>0</v>
      </c>
      <c r="HA109">
        <v>0</v>
      </c>
      <c r="HB109">
        <v>0</v>
      </c>
      <c r="IK109">
        <v>0</v>
      </c>
    </row>
    <row r="111" spans="1:255" x14ac:dyDescent="0.2">
      <c r="A111" s="3">
        <v>51</v>
      </c>
      <c r="B111" s="3">
        <f>B20</f>
        <v>1</v>
      </c>
      <c r="C111" s="3">
        <f>A20</f>
        <v>3</v>
      </c>
      <c r="D111" s="3">
        <f>ROW(A20)</f>
        <v>20</v>
      </c>
      <c r="E111" s="3"/>
      <c r="F111" s="3" t="str">
        <f>IF(F20&lt;&gt;"",F20,"")</f>
        <v>Новая локальная смета</v>
      </c>
      <c r="G111" s="3" t="str">
        <f>IF(G20&lt;&gt;"",G20,"")</f>
        <v>Новая локальная смета</v>
      </c>
      <c r="H111" s="3">
        <v>0</v>
      </c>
      <c r="I111" s="3"/>
      <c r="J111" s="3"/>
      <c r="K111" s="3"/>
      <c r="L111" s="3"/>
      <c r="M111" s="3"/>
      <c r="N111" s="3"/>
      <c r="O111" s="3">
        <f t="shared" ref="O111:T111" si="139">ROUND(AB111,2)</f>
        <v>445751.13</v>
      </c>
      <c r="P111" s="3">
        <f t="shared" si="139"/>
        <v>394458.49</v>
      </c>
      <c r="Q111" s="3">
        <f t="shared" si="139"/>
        <v>6886.4</v>
      </c>
      <c r="R111" s="3">
        <f t="shared" si="139"/>
        <v>470.6</v>
      </c>
      <c r="S111" s="3">
        <f t="shared" si="139"/>
        <v>44406.239999999998</v>
      </c>
      <c r="T111" s="3">
        <f t="shared" si="139"/>
        <v>0</v>
      </c>
      <c r="U111" s="3">
        <f>AH111</f>
        <v>5052.810042000001</v>
      </c>
      <c r="V111" s="3">
        <f>AI111</f>
        <v>40.088525000000004</v>
      </c>
      <c r="W111" s="3">
        <f>ROUND(AJ111,2)</f>
        <v>0</v>
      </c>
      <c r="X111" s="3">
        <f>ROUND(AK111,2)</f>
        <v>46754.49</v>
      </c>
      <c r="Y111" s="3">
        <f>ROUND(AL111,2)</f>
        <v>29010.05</v>
      </c>
      <c r="Z111" s="3"/>
      <c r="AA111" s="3"/>
      <c r="AB111" s="3">
        <f>ROUND(SUMIF(AA24:AA109,"=26914188",O24:O109),2)</f>
        <v>445751.13</v>
      </c>
      <c r="AC111" s="3">
        <f>ROUND(SUMIF(AA24:AA109,"=26914188",P24:P109),2)</f>
        <v>394458.49</v>
      </c>
      <c r="AD111" s="3">
        <f>ROUND(SUMIF(AA24:AA109,"=26914188",Q24:Q109),2)</f>
        <v>6886.4</v>
      </c>
      <c r="AE111" s="3">
        <f>ROUND(SUMIF(AA24:AA109,"=26914188",R24:R109),2)</f>
        <v>470.6</v>
      </c>
      <c r="AF111" s="3">
        <f>ROUND(SUMIF(AA24:AA109,"=26914188",S24:S109),2)</f>
        <v>44406.239999999998</v>
      </c>
      <c r="AG111" s="3">
        <f>ROUND(SUMIF(AA24:AA109,"=26914188",T24:T109),2)</f>
        <v>0</v>
      </c>
      <c r="AH111" s="3">
        <f>SUMIF(AA24:AA109,"=26914188",U24:U109)</f>
        <v>5052.810042000001</v>
      </c>
      <c r="AI111" s="3">
        <f>SUMIF(AA24:AA109,"=26914188",V24:V109)</f>
        <v>40.088525000000004</v>
      </c>
      <c r="AJ111" s="3">
        <f>ROUND(SUMIF(AA24:AA109,"=26914188",W24:W109),2)</f>
        <v>0</v>
      </c>
      <c r="AK111" s="3">
        <f>ROUND(SUMIF(AA24:AA109,"=26914188",X24:X109),2)</f>
        <v>46754.49</v>
      </c>
      <c r="AL111" s="3">
        <f>ROUND(SUMIF(AA24:AA109,"=26914188",Y24:Y109),2)</f>
        <v>29010.05</v>
      </c>
      <c r="AM111" s="3"/>
      <c r="AN111" s="3"/>
      <c r="AO111" s="3">
        <f t="shared" ref="AO111:BC111" si="140">ROUND(BX111,2)</f>
        <v>0</v>
      </c>
      <c r="AP111" s="3">
        <f t="shared" si="140"/>
        <v>0</v>
      </c>
      <c r="AQ111" s="3">
        <f t="shared" si="140"/>
        <v>0</v>
      </c>
      <c r="AR111" s="3">
        <f t="shared" si="140"/>
        <v>525382.05000000005</v>
      </c>
      <c r="AS111" s="3">
        <f t="shared" si="140"/>
        <v>525382.05000000005</v>
      </c>
      <c r="AT111" s="3">
        <f t="shared" si="140"/>
        <v>0</v>
      </c>
      <c r="AU111" s="3">
        <f t="shared" si="140"/>
        <v>0</v>
      </c>
      <c r="AV111" s="3">
        <f t="shared" si="140"/>
        <v>394458.49</v>
      </c>
      <c r="AW111" s="3">
        <f t="shared" si="140"/>
        <v>394458.49</v>
      </c>
      <c r="AX111" s="3">
        <f t="shared" si="140"/>
        <v>0</v>
      </c>
      <c r="AY111" s="3">
        <f t="shared" si="140"/>
        <v>394458.49</v>
      </c>
      <c r="AZ111" s="3">
        <f t="shared" si="140"/>
        <v>0</v>
      </c>
      <c r="BA111" s="3">
        <f t="shared" si="140"/>
        <v>0</v>
      </c>
      <c r="BB111" s="3">
        <f t="shared" si="140"/>
        <v>0</v>
      </c>
      <c r="BC111" s="3">
        <f t="shared" si="140"/>
        <v>0</v>
      </c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>
        <f>ROUND(SUMIF(AA24:AA109,"=26914188",FQ24:FQ109),2)</f>
        <v>0</v>
      </c>
      <c r="BY111" s="3">
        <f>ROUND(SUMIF(AA24:AA109,"=26914188",FR24:FR109),2)</f>
        <v>0</v>
      </c>
      <c r="BZ111" s="3">
        <f>ROUND(SUMIF(AA24:AA109,"=26914188",GL24:GL109),2)</f>
        <v>0</v>
      </c>
      <c r="CA111" s="3">
        <f>ROUND(SUMIF(AA24:AA109,"=26914188",GM24:GM109),2)</f>
        <v>525382.05000000005</v>
      </c>
      <c r="CB111" s="3">
        <f>ROUND(SUMIF(AA24:AA109,"=26914188",GN24:GN109),2)</f>
        <v>525382.05000000005</v>
      </c>
      <c r="CC111" s="3">
        <f>ROUND(SUMIF(AA24:AA109,"=26914188",GO24:GO109),2)</f>
        <v>0</v>
      </c>
      <c r="CD111" s="3">
        <f>ROUND(SUMIF(AA24:AA109,"=26914188",GP24:GP109),2)</f>
        <v>0</v>
      </c>
      <c r="CE111" s="3">
        <f>AC111-BX111</f>
        <v>394458.49</v>
      </c>
      <c r="CF111" s="3">
        <f>AC111-BY111</f>
        <v>394458.49</v>
      </c>
      <c r="CG111" s="3">
        <f>BX111-BZ111</f>
        <v>0</v>
      </c>
      <c r="CH111" s="3">
        <f>AC111-BX111-BY111+BZ111</f>
        <v>394458.49</v>
      </c>
      <c r="CI111" s="3">
        <f>BY111-BZ111</f>
        <v>0</v>
      </c>
      <c r="CJ111" s="3">
        <f>ROUND(SUMIF(AA24:AA109,"=26914188",GX24:GX109),2)</f>
        <v>0</v>
      </c>
      <c r="CK111" s="3">
        <f>ROUND(SUMIF(AA24:AA109,"=26914188",GY24:GY109),2)</f>
        <v>0</v>
      </c>
      <c r="CL111" s="3">
        <f>ROUND(SUMIF(AA24:AA109,"=26914188",GZ24:GZ109),2)</f>
        <v>0</v>
      </c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4">
        <f t="shared" ref="DG111:DL111" si="141">ROUND(DT111,2)</f>
        <v>3432283.79</v>
      </c>
      <c r="DH111" s="4">
        <f t="shared" si="141"/>
        <v>3037330.38</v>
      </c>
      <c r="DI111" s="4">
        <f t="shared" si="141"/>
        <v>53025.31</v>
      </c>
      <c r="DJ111" s="4">
        <f t="shared" si="141"/>
        <v>3623.65</v>
      </c>
      <c r="DK111" s="4">
        <f t="shared" si="141"/>
        <v>341928.1</v>
      </c>
      <c r="DL111" s="4">
        <f t="shared" si="141"/>
        <v>0</v>
      </c>
      <c r="DM111" s="4">
        <f>DZ111</f>
        <v>5052.810042000001</v>
      </c>
      <c r="DN111" s="4">
        <f>EA111</f>
        <v>40.088525000000004</v>
      </c>
      <c r="DO111" s="4">
        <f>ROUND(EB111,2)</f>
        <v>0</v>
      </c>
      <c r="DP111" s="4">
        <f>ROUND(EC111,2)</f>
        <v>360009.55</v>
      </c>
      <c r="DQ111" s="4">
        <f>ROUND(ED111,2)</f>
        <v>223377.44</v>
      </c>
      <c r="DR111" s="4"/>
      <c r="DS111" s="4"/>
      <c r="DT111" s="4">
        <f>ROUND(SUMIF(AA24:AA109,"=26914189",O24:O109),2)</f>
        <v>3432283.79</v>
      </c>
      <c r="DU111" s="4">
        <f>ROUND(SUMIF(AA24:AA109,"=26914189",P24:P109),2)</f>
        <v>3037330.38</v>
      </c>
      <c r="DV111" s="4">
        <f>ROUND(SUMIF(AA24:AA109,"=26914189",Q24:Q109),2)</f>
        <v>53025.31</v>
      </c>
      <c r="DW111" s="4">
        <f>ROUND(SUMIF(AA24:AA109,"=26914189",R24:R109),2)</f>
        <v>3623.65</v>
      </c>
      <c r="DX111" s="4">
        <f>ROUND(SUMIF(AA24:AA109,"=26914189",S24:S109),2)</f>
        <v>341928.1</v>
      </c>
      <c r="DY111" s="4">
        <f>ROUND(SUMIF(AA24:AA109,"=26914189",T24:T109),2)</f>
        <v>0</v>
      </c>
      <c r="DZ111" s="4">
        <f>SUMIF(AA24:AA109,"=26914189",U24:U109)</f>
        <v>5052.810042000001</v>
      </c>
      <c r="EA111" s="4">
        <f>SUMIF(AA24:AA109,"=26914189",V24:V109)</f>
        <v>40.088525000000004</v>
      </c>
      <c r="EB111" s="4">
        <f>ROUND(SUMIF(AA24:AA109,"=26914189",W24:W109),2)</f>
        <v>0</v>
      </c>
      <c r="EC111" s="4">
        <f>ROUND(SUMIF(AA24:AA109,"=26914189",X24:X109),2)</f>
        <v>360009.55</v>
      </c>
      <c r="ED111" s="4">
        <f>ROUND(SUMIF(AA24:AA109,"=26914189",Y24:Y109),2)</f>
        <v>223377.44</v>
      </c>
      <c r="EE111" s="4"/>
      <c r="EF111" s="4"/>
      <c r="EG111" s="4">
        <f t="shared" ref="EG111:EU111" si="142">ROUND(FP111,2)</f>
        <v>0</v>
      </c>
      <c r="EH111" s="4">
        <f t="shared" si="142"/>
        <v>0</v>
      </c>
      <c r="EI111" s="4">
        <f t="shared" si="142"/>
        <v>0</v>
      </c>
      <c r="EJ111" s="4">
        <f t="shared" si="142"/>
        <v>4045441.87</v>
      </c>
      <c r="EK111" s="4">
        <f t="shared" si="142"/>
        <v>4045441.87</v>
      </c>
      <c r="EL111" s="4">
        <f t="shared" si="142"/>
        <v>0</v>
      </c>
      <c r="EM111" s="4">
        <f t="shared" si="142"/>
        <v>0</v>
      </c>
      <c r="EN111" s="4">
        <f t="shared" si="142"/>
        <v>3037330.38</v>
      </c>
      <c r="EO111" s="4">
        <f t="shared" si="142"/>
        <v>3037330.38</v>
      </c>
      <c r="EP111" s="4">
        <f t="shared" si="142"/>
        <v>0</v>
      </c>
      <c r="EQ111" s="4">
        <f t="shared" si="142"/>
        <v>3037330.38</v>
      </c>
      <c r="ER111" s="4">
        <f t="shared" si="142"/>
        <v>0</v>
      </c>
      <c r="ES111" s="4">
        <f t="shared" si="142"/>
        <v>0</v>
      </c>
      <c r="ET111" s="4">
        <f t="shared" si="142"/>
        <v>0</v>
      </c>
      <c r="EU111" s="4">
        <f t="shared" si="142"/>
        <v>0</v>
      </c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>
        <f>ROUND(SUMIF(AA24:AA109,"=26914189",FQ24:FQ109),2)</f>
        <v>0</v>
      </c>
      <c r="FQ111" s="4">
        <f>ROUND(SUMIF(AA24:AA109,"=26914189",FR24:FR109),2)</f>
        <v>0</v>
      </c>
      <c r="FR111" s="4">
        <f>ROUND(SUMIF(AA24:AA109,"=26914189",GL24:GL109),2)</f>
        <v>0</v>
      </c>
      <c r="FS111" s="4">
        <f>ROUND(SUMIF(AA24:AA109,"=26914189",GM24:GM109),2)</f>
        <v>4045441.87</v>
      </c>
      <c r="FT111" s="4">
        <f>ROUND(SUMIF(AA24:AA109,"=26914189",GN24:GN109),2)</f>
        <v>4045441.87</v>
      </c>
      <c r="FU111" s="4">
        <f>ROUND(SUMIF(AA24:AA109,"=26914189",GO24:GO109),2)</f>
        <v>0</v>
      </c>
      <c r="FV111" s="4">
        <f>ROUND(SUMIF(AA24:AA109,"=26914189",GP24:GP109),2)</f>
        <v>0</v>
      </c>
      <c r="FW111" s="4">
        <f>DU111-FP111</f>
        <v>3037330.38</v>
      </c>
      <c r="FX111" s="4">
        <f>DU111-FQ111</f>
        <v>3037330.38</v>
      </c>
      <c r="FY111" s="4">
        <f>FP111-FR111</f>
        <v>0</v>
      </c>
      <c r="FZ111" s="4">
        <f>DU111-FP111-FQ111+FR111</f>
        <v>3037330.38</v>
      </c>
      <c r="GA111" s="4">
        <f>FQ111-FR111</f>
        <v>0</v>
      </c>
      <c r="GB111" s="4">
        <f>ROUND(SUMIF(AA24:AA109,"=26914189",GX24:GX109),2)</f>
        <v>0</v>
      </c>
      <c r="GC111" s="4">
        <f>ROUND(SUMIF(AA24:AA109,"=26914189",GY24:GY109),2)</f>
        <v>0</v>
      </c>
      <c r="GD111" s="4">
        <f>ROUND(SUMIF(AA24:AA109,"=26914189",GZ24:GZ109),2)</f>
        <v>0</v>
      </c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>
        <v>0</v>
      </c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201</v>
      </c>
      <c r="F113" s="5">
        <f>ROUND(Source!O111,O113)</f>
        <v>445751.13</v>
      </c>
      <c r="G113" s="5" t="s">
        <v>208</v>
      </c>
      <c r="H113" s="5" t="s">
        <v>209</v>
      </c>
      <c r="I113" s="5"/>
      <c r="J113" s="5"/>
      <c r="K113" s="5">
        <v>201</v>
      </c>
      <c r="L113" s="5">
        <v>1</v>
      </c>
      <c r="M113" s="5">
        <v>3</v>
      </c>
      <c r="N113" s="5" t="s">
        <v>6</v>
      </c>
      <c r="O113" s="5">
        <v>2</v>
      </c>
      <c r="P113" s="5">
        <f>ROUND(Source!DG111,O113)</f>
        <v>3432283.79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202</v>
      </c>
      <c r="F114" s="5">
        <f>ROUND(Source!P111,O114)</f>
        <v>394458.49</v>
      </c>
      <c r="G114" s="5" t="s">
        <v>210</v>
      </c>
      <c r="H114" s="5" t="s">
        <v>211</v>
      </c>
      <c r="I114" s="5"/>
      <c r="J114" s="5"/>
      <c r="K114" s="5">
        <v>202</v>
      </c>
      <c r="L114" s="5">
        <v>2</v>
      </c>
      <c r="M114" s="5">
        <v>3</v>
      </c>
      <c r="N114" s="5" t="s">
        <v>6</v>
      </c>
      <c r="O114" s="5">
        <v>2</v>
      </c>
      <c r="P114" s="5">
        <f>ROUND(Source!DH111,O114)</f>
        <v>3037330.38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222</v>
      </c>
      <c r="F115" s="5">
        <f>ROUND(Source!AO111,O115)</f>
        <v>0</v>
      </c>
      <c r="G115" s="5" t="s">
        <v>212</v>
      </c>
      <c r="H115" s="5" t="s">
        <v>213</v>
      </c>
      <c r="I115" s="5"/>
      <c r="J115" s="5"/>
      <c r="K115" s="5">
        <v>222</v>
      </c>
      <c r="L115" s="5">
        <v>3</v>
      </c>
      <c r="M115" s="5">
        <v>3</v>
      </c>
      <c r="N115" s="5" t="s">
        <v>6</v>
      </c>
      <c r="O115" s="5">
        <v>2</v>
      </c>
      <c r="P115" s="5">
        <f>ROUND(Source!EG111,O115)</f>
        <v>0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225</v>
      </c>
      <c r="F116" s="5">
        <f>ROUND(Source!AV111,O116)</f>
        <v>394458.49</v>
      </c>
      <c r="G116" s="5" t="s">
        <v>214</v>
      </c>
      <c r="H116" s="5" t="s">
        <v>215</v>
      </c>
      <c r="I116" s="5"/>
      <c r="J116" s="5"/>
      <c r="K116" s="5">
        <v>225</v>
      </c>
      <c r="L116" s="5">
        <v>4</v>
      </c>
      <c r="M116" s="5">
        <v>3</v>
      </c>
      <c r="N116" s="5" t="s">
        <v>6</v>
      </c>
      <c r="O116" s="5">
        <v>2</v>
      </c>
      <c r="P116" s="5">
        <f>ROUND(Source!EN111,O116)</f>
        <v>3037330.38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226</v>
      </c>
      <c r="F117" s="5">
        <f>ROUND(Source!AW111,O117)</f>
        <v>394458.49</v>
      </c>
      <c r="G117" s="5" t="s">
        <v>216</v>
      </c>
      <c r="H117" s="5" t="s">
        <v>217</v>
      </c>
      <c r="I117" s="5"/>
      <c r="J117" s="5"/>
      <c r="K117" s="5">
        <v>226</v>
      </c>
      <c r="L117" s="5">
        <v>5</v>
      </c>
      <c r="M117" s="5">
        <v>3</v>
      </c>
      <c r="N117" s="5" t="s">
        <v>6</v>
      </c>
      <c r="O117" s="5">
        <v>2</v>
      </c>
      <c r="P117" s="5">
        <f>ROUND(Source!EO111,O117)</f>
        <v>3037330.38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227</v>
      </c>
      <c r="F118" s="5">
        <f>ROUND(Source!AX111,O118)</f>
        <v>0</v>
      </c>
      <c r="G118" s="5" t="s">
        <v>218</v>
      </c>
      <c r="H118" s="5" t="s">
        <v>219</v>
      </c>
      <c r="I118" s="5"/>
      <c r="J118" s="5"/>
      <c r="K118" s="5">
        <v>227</v>
      </c>
      <c r="L118" s="5">
        <v>6</v>
      </c>
      <c r="M118" s="5">
        <v>3</v>
      </c>
      <c r="N118" s="5" t="s">
        <v>6</v>
      </c>
      <c r="O118" s="5">
        <v>2</v>
      </c>
      <c r="P118" s="5">
        <f>ROUND(Source!EP111,O118)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228</v>
      </c>
      <c r="F119" s="5">
        <f>ROUND(Source!AY111,O119)</f>
        <v>394458.49</v>
      </c>
      <c r="G119" s="5" t="s">
        <v>220</v>
      </c>
      <c r="H119" s="5" t="s">
        <v>221</v>
      </c>
      <c r="I119" s="5"/>
      <c r="J119" s="5"/>
      <c r="K119" s="5">
        <v>228</v>
      </c>
      <c r="L119" s="5">
        <v>7</v>
      </c>
      <c r="M119" s="5">
        <v>3</v>
      </c>
      <c r="N119" s="5" t="s">
        <v>6</v>
      </c>
      <c r="O119" s="5">
        <v>2</v>
      </c>
      <c r="P119" s="5">
        <f>ROUND(Source!EQ111,O119)</f>
        <v>3037330.38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216</v>
      </c>
      <c r="F120" s="5">
        <f>ROUND(Source!AP111,O120)</f>
        <v>0</v>
      </c>
      <c r="G120" s="5" t="s">
        <v>222</v>
      </c>
      <c r="H120" s="5" t="s">
        <v>223</v>
      </c>
      <c r="I120" s="5"/>
      <c r="J120" s="5"/>
      <c r="K120" s="5">
        <v>216</v>
      </c>
      <c r="L120" s="5">
        <v>8</v>
      </c>
      <c r="M120" s="5">
        <v>3</v>
      </c>
      <c r="N120" s="5" t="s">
        <v>6</v>
      </c>
      <c r="O120" s="5">
        <v>2</v>
      </c>
      <c r="P120" s="5">
        <f>ROUND(Source!EH111,O120)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223</v>
      </c>
      <c r="F121" s="5">
        <f>ROUND(Source!AQ111,O121)</f>
        <v>0</v>
      </c>
      <c r="G121" s="5" t="s">
        <v>224</v>
      </c>
      <c r="H121" s="5" t="s">
        <v>225</v>
      </c>
      <c r="I121" s="5"/>
      <c r="J121" s="5"/>
      <c r="K121" s="5">
        <v>223</v>
      </c>
      <c r="L121" s="5">
        <v>9</v>
      </c>
      <c r="M121" s="5">
        <v>3</v>
      </c>
      <c r="N121" s="5" t="s">
        <v>6</v>
      </c>
      <c r="O121" s="5">
        <v>2</v>
      </c>
      <c r="P121" s="5">
        <f>ROUND(Source!EI111,O121)</f>
        <v>0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229</v>
      </c>
      <c r="F122" s="5">
        <f>ROUND(Source!AZ111,O122)</f>
        <v>0</v>
      </c>
      <c r="G122" s="5" t="s">
        <v>226</v>
      </c>
      <c r="H122" s="5" t="s">
        <v>227</v>
      </c>
      <c r="I122" s="5"/>
      <c r="J122" s="5"/>
      <c r="K122" s="5">
        <v>229</v>
      </c>
      <c r="L122" s="5">
        <v>10</v>
      </c>
      <c r="M122" s="5">
        <v>3</v>
      </c>
      <c r="N122" s="5" t="s">
        <v>6</v>
      </c>
      <c r="O122" s="5">
        <v>2</v>
      </c>
      <c r="P122" s="5">
        <f>ROUND(Source!ER111,O122)</f>
        <v>0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203</v>
      </c>
      <c r="F123" s="5">
        <f>ROUND(Source!Q111,O123)</f>
        <v>6886.4</v>
      </c>
      <c r="G123" s="5" t="s">
        <v>228</v>
      </c>
      <c r="H123" s="5" t="s">
        <v>229</v>
      </c>
      <c r="I123" s="5"/>
      <c r="J123" s="5"/>
      <c r="K123" s="5">
        <v>203</v>
      </c>
      <c r="L123" s="5">
        <v>11</v>
      </c>
      <c r="M123" s="5">
        <v>3</v>
      </c>
      <c r="N123" s="5" t="s">
        <v>6</v>
      </c>
      <c r="O123" s="5">
        <v>2</v>
      </c>
      <c r="P123" s="5">
        <f>ROUND(Source!DI111,O123)</f>
        <v>53025.31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231</v>
      </c>
      <c r="F124" s="5">
        <f>ROUND(Source!BB111,O124)</f>
        <v>0</v>
      </c>
      <c r="G124" s="5" t="s">
        <v>230</v>
      </c>
      <c r="H124" s="5" t="s">
        <v>231</v>
      </c>
      <c r="I124" s="5"/>
      <c r="J124" s="5"/>
      <c r="K124" s="5">
        <v>231</v>
      </c>
      <c r="L124" s="5">
        <v>12</v>
      </c>
      <c r="M124" s="5">
        <v>3</v>
      </c>
      <c r="N124" s="5" t="s">
        <v>6</v>
      </c>
      <c r="O124" s="5">
        <v>2</v>
      </c>
      <c r="P124" s="5">
        <f>ROUND(Source!ET111,O124)</f>
        <v>0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204</v>
      </c>
      <c r="F125" s="5">
        <f>ROUND(Source!R111,O125)</f>
        <v>470.6</v>
      </c>
      <c r="G125" s="5" t="s">
        <v>232</v>
      </c>
      <c r="H125" s="5" t="s">
        <v>233</v>
      </c>
      <c r="I125" s="5"/>
      <c r="J125" s="5"/>
      <c r="K125" s="5">
        <v>204</v>
      </c>
      <c r="L125" s="5">
        <v>13</v>
      </c>
      <c r="M125" s="5">
        <v>3</v>
      </c>
      <c r="N125" s="5" t="s">
        <v>6</v>
      </c>
      <c r="O125" s="5">
        <v>2</v>
      </c>
      <c r="P125" s="5">
        <f>ROUND(Source!DJ111,O125)</f>
        <v>3623.65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205</v>
      </c>
      <c r="F126" s="5">
        <f>ROUND(Source!S111,O126)</f>
        <v>44406.239999999998</v>
      </c>
      <c r="G126" s="5" t="s">
        <v>234</v>
      </c>
      <c r="H126" s="5" t="s">
        <v>235</v>
      </c>
      <c r="I126" s="5"/>
      <c r="J126" s="5"/>
      <c r="K126" s="5">
        <v>205</v>
      </c>
      <c r="L126" s="5">
        <v>14</v>
      </c>
      <c r="M126" s="5">
        <v>3</v>
      </c>
      <c r="N126" s="5" t="s">
        <v>6</v>
      </c>
      <c r="O126" s="5">
        <v>2</v>
      </c>
      <c r="P126" s="5">
        <f>ROUND(Source!DK111,O126)</f>
        <v>341928.1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232</v>
      </c>
      <c r="F127" s="5">
        <f>ROUND(Source!BC111,O127)</f>
        <v>0</v>
      </c>
      <c r="G127" s="5" t="s">
        <v>236</v>
      </c>
      <c r="H127" s="5" t="s">
        <v>237</v>
      </c>
      <c r="I127" s="5"/>
      <c r="J127" s="5"/>
      <c r="K127" s="5">
        <v>232</v>
      </c>
      <c r="L127" s="5">
        <v>15</v>
      </c>
      <c r="M127" s="5">
        <v>3</v>
      </c>
      <c r="N127" s="5" t="s">
        <v>6</v>
      </c>
      <c r="O127" s="5">
        <v>2</v>
      </c>
      <c r="P127" s="5">
        <f>ROUND(Source!EU111,O127)</f>
        <v>0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214</v>
      </c>
      <c r="F128" s="5">
        <f>ROUND(Source!AS111,O128)</f>
        <v>525382.05000000005</v>
      </c>
      <c r="G128" s="5" t="s">
        <v>238</v>
      </c>
      <c r="H128" s="5" t="s">
        <v>239</v>
      </c>
      <c r="I128" s="5"/>
      <c r="J128" s="5"/>
      <c r="K128" s="5">
        <v>214</v>
      </c>
      <c r="L128" s="5">
        <v>16</v>
      </c>
      <c r="M128" s="5">
        <v>3</v>
      </c>
      <c r="N128" s="5" t="s">
        <v>6</v>
      </c>
      <c r="O128" s="5">
        <v>2</v>
      </c>
      <c r="P128" s="5">
        <f>ROUND(Source!EK111,O128)</f>
        <v>4045441.87</v>
      </c>
      <c r="Q128" s="5"/>
      <c r="R128" s="5"/>
      <c r="S128" s="5"/>
      <c r="T128" s="5"/>
      <c r="U128" s="5"/>
      <c r="V128" s="5"/>
      <c r="W128" s="5"/>
    </row>
    <row r="129" spans="1:206" x14ac:dyDescent="0.2">
      <c r="A129" s="5">
        <v>50</v>
      </c>
      <c r="B129" s="5">
        <v>0</v>
      </c>
      <c r="C129" s="5">
        <v>0</v>
      </c>
      <c r="D129" s="5">
        <v>1</v>
      </c>
      <c r="E129" s="5">
        <v>215</v>
      </c>
      <c r="F129" s="5">
        <f>ROUND(Source!AT111,O129)</f>
        <v>0</v>
      </c>
      <c r="G129" s="5" t="s">
        <v>240</v>
      </c>
      <c r="H129" s="5" t="s">
        <v>241</v>
      </c>
      <c r="I129" s="5"/>
      <c r="J129" s="5"/>
      <c r="K129" s="5">
        <v>215</v>
      </c>
      <c r="L129" s="5">
        <v>17</v>
      </c>
      <c r="M129" s="5">
        <v>3</v>
      </c>
      <c r="N129" s="5" t="s">
        <v>6</v>
      </c>
      <c r="O129" s="5">
        <v>2</v>
      </c>
      <c r="P129" s="5">
        <f>ROUND(Source!EL111,O129)</f>
        <v>0</v>
      </c>
      <c r="Q129" s="5"/>
      <c r="R129" s="5"/>
      <c r="S129" s="5"/>
      <c r="T129" s="5"/>
      <c r="U129" s="5"/>
      <c r="V129" s="5"/>
      <c r="W129" s="5"/>
    </row>
    <row r="130" spans="1:206" x14ac:dyDescent="0.2">
      <c r="A130" s="5">
        <v>50</v>
      </c>
      <c r="B130" s="5">
        <v>0</v>
      </c>
      <c r="C130" s="5">
        <v>0</v>
      </c>
      <c r="D130" s="5">
        <v>1</v>
      </c>
      <c r="E130" s="5">
        <v>217</v>
      </c>
      <c r="F130" s="5">
        <f>ROUND(Source!AU111,O130)</f>
        <v>0</v>
      </c>
      <c r="G130" s="5" t="s">
        <v>242</v>
      </c>
      <c r="H130" s="5" t="s">
        <v>243</v>
      </c>
      <c r="I130" s="5"/>
      <c r="J130" s="5"/>
      <c r="K130" s="5">
        <v>217</v>
      </c>
      <c r="L130" s="5">
        <v>18</v>
      </c>
      <c r="M130" s="5">
        <v>3</v>
      </c>
      <c r="N130" s="5" t="s">
        <v>6</v>
      </c>
      <c r="O130" s="5">
        <v>2</v>
      </c>
      <c r="P130" s="5">
        <f>ROUND(Source!EM111,O130)</f>
        <v>0</v>
      </c>
      <c r="Q130" s="5"/>
      <c r="R130" s="5"/>
      <c r="S130" s="5"/>
      <c r="T130" s="5"/>
      <c r="U130" s="5"/>
      <c r="V130" s="5"/>
      <c r="W130" s="5"/>
    </row>
    <row r="131" spans="1:206" x14ac:dyDescent="0.2">
      <c r="A131" s="5">
        <v>50</v>
      </c>
      <c r="B131" s="5">
        <v>0</v>
      </c>
      <c r="C131" s="5">
        <v>0</v>
      </c>
      <c r="D131" s="5">
        <v>1</v>
      </c>
      <c r="E131" s="5">
        <v>230</v>
      </c>
      <c r="F131" s="5">
        <f>ROUND(Source!BA111,O131)</f>
        <v>0</v>
      </c>
      <c r="G131" s="5" t="s">
        <v>244</v>
      </c>
      <c r="H131" s="5" t="s">
        <v>245</v>
      </c>
      <c r="I131" s="5"/>
      <c r="J131" s="5"/>
      <c r="K131" s="5">
        <v>230</v>
      </c>
      <c r="L131" s="5">
        <v>19</v>
      </c>
      <c r="M131" s="5">
        <v>3</v>
      </c>
      <c r="N131" s="5" t="s">
        <v>6</v>
      </c>
      <c r="O131" s="5">
        <v>2</v>
      </c>
      <c r="P131" s="5">
        <f>ROUND(Source!ES111,O131)</f>
        <v>0</v>
      </c>
      <c r="Q131" s="5"/>
      <c r="R131" s="5"/>
      <c r="S131" s="5"/>
      <c r="T131" s="5"/>
      <c r="U131" s="5"/>
      <c r="V131" s="5"/>
      <c r="W131" s="5"/>
    </row>
    <row r="132" spans="1:206" x14ac:dyDescent="0.2">
      <c r="A132" s="5">
        <v>50</v>
      </c>
      <c r="B132" s="5">
        <v>0</v>
      </c>
      <c r="C132" s="5">
        <v>0</v>
      </c>
      <c r="D132" s="5">
        <v>1</v>
      </c>
      <c r="E132" s="5">
        <v>206</v>
      </c>
      <c r="F132" s="5">
        <f>ROUND(Source!T111,O132)</f>
        <v>0</v>
      </c>
      <c r="G132" s="5" t="s">
        <v>246</v>
      </c>
      <c r="H132" s="5" t="s">
        <v>247</v>
      </c>
      <c r="I132" s="5"/>
      <c r="J132" s="5"/>
      <c r="K132" s="5">
        <v>206</v>
      </c>
      <c r="L132" s="5">
        <v>20</v>
      </c>
      <c r="M132" s="5">
        <v>3</v>
      </c>
      <c r="N132" s="5" t="s">
        <v>6</v>
      </c>
      <c r="O132" s="5">
        <v>2</v>
      </c>
      <c r="P132" s="5">
        <f>ROUND(Source!DL111,O132)</f>
        <v>0</v>
      </c>
      <c r="Q132" s="5"/>
      <c r="R132" s="5"/>
      <c r="S132" s="5"/>
      <c r="T132" s="5"/>
      <c r="U132" s="5"/>
      <c r="V132" s="5"/>
      <c r="W132" s="5"/>
    </row>
    <row r="133" spans="1:206" x14ac:dyDescent="0.2">
      <c r="A133" s="5">
        <v>50</v>
      </c>
      <c r="B133" s="5">
        <v>0</v>
      </c>
      <c r="C133" s="5">
        <v>0</v>
      </c>
      <c r="D133" s="5">
        <v>1</v>
      </c>
      <c r="E133" s="5">
        <v>207</v>
      </c>
      <c r="F133" s="5">
        <f>Source!U111</f>
        <v>5052.810042000001</v>
      </c>
      <c r="G133" s="5" t="s">
        <v>248</v>
      </c>
      <c r="H133" s="5" t="s">
        <v>249</v>
      </c>
      <c r="I133" s="5"/>
      <c r="J133" s="5"/>
      <c r="K133" s="5">
        <v>207</v>
      </c>
      <c r="L133" s="5">
        <v>21</v>
      </c>
      <c r="M133" s="5">
        <v>3</v>
      </c>
      <c r="N133" s="5" t="s">
        <v>6</v>
      </c>
      <c r="O133" s="5">
        <v>-1</v>
      </c>
      <c r="P133" s="5">
        <f>Source!DM111</f>
        <v>5052.810042000001</v>
      </c>
      <c r="Q133" s="5"/>
      <c r="R133" s="5"/>
      <c r="S133" s="5"/>
      <c r="T133" s="5"/>
      <c r="U133" s="5"/>
      <c r="V133" s="5"/>
      <c r="W133" s="5"/>
    </row>
    <row r="134" spans="1:206" x14ac:dyDescent="0.2">
      <c r="A134" s="5">
        <v>50</v>
      </c>
      <c r="B134" s="5">
        <v>0</v>
      </c>
      <c r="C134" s="5">
        <v>0</v>
      </c>
      <c r="D134" s="5">
        <v>1</v>
      </c>
      <c r="E134" s="5">
        <v>208</v>
      </c>
      <c r="F134" s="5">
        <f>Source!V111</f>
        <v>40.088525000000004</v>
      </c>
      <c r="G134" s="5" t="s">
        <v>250</v>
      </c>
      <c r="H134" s="5" t="s">
        <v>251</v>
      </c>
      <c r="I134" s="5"/>
      <c r="J134" s="5"/>
      <c r="K134" s="5">
        <v>208</v>
      </c>
      <c r="L134" s="5">
        <v>22</v>
      </c>
      <c r="M134" s="5">
        <v>3</v>
      </c>
      <c r="N134" s="5" t="s">
        <v>6</v>
      </c>
      <c r="O134" s="5">
        <v>-1</v>
      </c>
      <c r="P134" s="5">
        <f>Source!DN111</f>
        <v>40.088525000000004</v>
      </c>
      <c r="Q134" s="5"/>
      <c r="R134" s="5"/>
      <c r="S134" s="5"/>
      <c r="T134" s="5"/>
      <c r="U134" s="5"/>
      <c r="V134" s="5"/>
      <c r="W134" s="5"/>
    </row>
    <row r="135" spans="1:206" x14ac:dyDescent="0.2">
      <c r="A135" s="5">
        <v>50</v>
      </c>
      <c r="B135" s="5">
        <v>0</v>
      </c>
      <c r="C135" s="5">
        <v>0</v>
      </c>
      <c r="D135" s="5">
        <v>1</v>
      </c>
      <c r="E135" s="5">
        <v>209</v>
      </c>
      <c r="F135" s="5">
        <f>ROUND(Source!W111,O135)</f>
        <v>0</v>
      </c>
      <c r="G135" s="5" t="s">
        <v>252</v>
      </c>
      <c r="H135" s="5" t="s">
        <v>253</v>
      </c>
      <c r="I135" s="5"/>
      <c r="J135" s="5"/>
      <c r="K135" s="5">
        <v>209</v>
      </c>
      <c r="L135" s="5">
        <v>23</v>
      </c>
      <c r="M135" s="5">
        <v>3</v>
      </c>
      <c r="N135" s="5" t="s">
        <v>6</v>
      </c>
      <c r="O135" s="5">
        <v>2</v>
      </c>
      <c r="P135" s="5">
        <f>ROUND(Source!DO111,O135)</f>
        <v>0</v>
      </c>
      <c r="Q135" s="5"/>
      <c r="R135" s="5"/>
      <c r="S135" s="5"/>
      <c r="T135" s="5"/>
      <c r="U135" s="5"/>
      <c r="V135" s="5"/>
      <c r="W135" s="5"/>
    </row>
    <row r="136" spans="1:206" x14ac:dyDescent="0.2">
      <c r="A136" s="5">
        <v>50</v>
      </c>
      <c r="B136" s="5">
        <v>0</v>
      </c>
      <c r="C136" s="5">
        <v>0</v>
      </c>
      <c r="D136" s="5">
        <v>1</v>
      </c>
      <c r="E136" s="5">
        <v>210</v>
      </c>
      <c r="F136" s="5">
        <f>ROUND(Source!X111,O136)</f>
        <v>46754.49</v>
      </c>
      <c r="G136" s="5" t="s">
        <v>254</v>
      </c>
      <c r="H136" s="5" t="s">
        <v>255</v>
      </c>
      <c r="I136" s="5"/>
      <c r="J136" s="5"/>
      <c r="K136" s="5">
        <v>210</v>
      </c>
      <c r="L136" s="5">
        <v>24</v>
      </c>
      <c r="M136" s="5">
        <v>3</v>
      </c>
      <c r="N136" s="5" t="s">
        <v>6</v>
      </c>
      <c r="O136" s="5">
        <v>2</v>
      </c>
      <c r="P136" s="5">
        <f>ROUND(Source!DP111,O136)</f>
        <v>360009.55</v>
      </c>
      <c r="Q136" s="5"/>
      <c r="R136" s="5"/>
      <c r="S136" s="5"/>
      <c r="T136" s="5"/>
      <c r="U136" s="5"/>
      <c r="V136" s="5"/>
      <c r="W136" s="5"/>
    </row>
    <row r="137" spans="1:206" x14ac:dyDescent="0.2">
      <c r="A137" s="5">
        <v>50</v>
      </c>
      <c r="B137" s="5">
        <v>0</v>
      </c>
      <c r="C137" s="5">
        <v>0</v>
      </c>
      <c r="D137" s="5">
        <v>1</v>
      </c>
      <c r="E137" s="5">
        <v>211</v>
      </c>
      <c r="F137" s="5">
        <f>ROUND(Source!Y111,O137)</f>
        <v>29010.05</v>
      </c>
      <c r="G137" s="5" t="s">
        <v>256</v>
      </c>
      <c r="H137" s="5" t="s">
        <v>257</v>
      </c>
      <c r="I137" s="5"/>
      <c r="J137" s="5"/>
      <c r="K137" s="5">
        <v>211</v>
      </c>
      <c r="L137" s="5">
        <v>25</v>
      </c>
      <c r="M137" s="5">
        <v>3</v>
      </c>
      <c r="N137" s="5" t="s">
        <v>6</v>
      </c>
      <c r="O137" s="5">
        <v>2</v>
      </c>
      <c r="P137" s="5">
        <f>ROUND(Source!DQ111,O137)</f>
        <v>223377.44</v>
      </c>
      <c r="Q137" s="5"/>
      <c r="R137" s="5"/>
      <c r="S137" s="5"/>
      <c r="T137" s="5"/>
      <c r="U137" s="5"/>
      <c r="V137" s="5"/>
      <c r="W137" s="5"/>
    </row>
    <row r="138" spans="1:206" x14ac:dyDescent="0.2">
      <c r="A138" s="5">
        <v>50</v>
      </c>
      <c r="B138" s="5">
        <v>0</v>
      </c>
      <c r="C138" s="5">
        <v>0</v>
      </c>
      <c r="D138" s="5">
        <v>1</v>
      </c>
      <c r="E138" s="5">
        <v>224</v>
      </c>
      <c r="F138" s="5">
        <f>ROUND(Source!AR111,O138)</f>
        <v>525382.05000000005</v>
      </c>
      <c r="G138" s="5" t="s">
        <v>258</v>
      </c>
      <c r="H138" s="5" t="s">
        <v>259</v>
      </c>
      <c r="I138" s="5"/>
      <c r="J138" s="5"/>
      <c r="K138" s="5">
        <v>224</v>
      </c>
      <c r="L138" s="5">
        <v>26</v>
      </c>
      <c r="M138" s="5">
        <v>3</v>
      </c>
      <c r="N138" s="5" t="s">
        <v>6</v>
      </c>
      <c r="O138" s="5">
        <v>2</v>
      </c>
      <c r="P138" s="5">
        <f>ROUND(Source!EJ111,O138)</f>
        <v>4045441.87</v>
      </c>
      <c r="Q138" s="5"/>
      <c r="R138" s="5"/>
      <c r="S138" s="5"/>
      <c r="T138" s="5"/>
      <c r="U138" s="5"/>
      <c r="V138" s="5"/>
      <c r="W138" s="5"/>
    </row>
    <row r="139" spans="1:206" x14ac:dyDescent="0.2">
      <c r="A139" s="5">
        <v>50</v>
      </c>
      <c r="B139" s="5">
        <v>1</v>
      </c>
      <c r="C139" s="5">
        <v>0</v>
      </c>
      <c r="D139" s="5">
        <v>2</v>
      </c>
      <c r="E139" s="5">
        <v>0</v>
      </c>
      <c r="F139" s="5">
        <f>ROUND(F138,O139)</f>
        <v>525382.05000000005</v>
      </c>
      <c r="G139" s="5" t="s">
        <v>260</v>
      </c>
      <c r="H139" s="5" t="s">
        <v>259</v>
      </c>
      <c r="I139" s="5"/>
      <c r="J139" s="5"/>
      <c r="K139" s="5">
        <v>212</v>
      </c>
      <c r="L139" s="5">
        <v>27</v>
      </c>
      <c r="M139" s="5">
        <v>0</v>
      </c>
      <c r="N139" s="5" t="s">
        <v>6</v>
      </c>
      <c r="O139" s="5">
        <v>2</v>
      </c>
      <c r="P139" s="5">
        <f>ROUND(P138,O139)</f>
        <v>4045441.87</v>
      </c>
      <c r="Q139" s="5"/>
      <c r="R139" s="5"/>
      <c r="S139" s="5"/>
      <c r="T139" s="5"/>
      <c r="U139" s="5"/>
      <c r="V139" s="5"/>
      <c r="W139" s="5"/>
    </row>
    <row r="140" spans="1:206" x14ac:dyDescent="0.2">
      <c r="A140" s="5">
        <v>50</v>
      </c>
      <c r="B140" s="5">
        <v>1</v>
      </c>
      <c r="C140" s="5">
        <v>0</v>
      </c>
      <c r="D140" s="5">
        <v>2</v>
      </c>
      <c r="E140" s="5">
        <v>0</v>
      </c>
      <c r="F140" s="5">
        <f>ROUND(F139*18/100,O140)</f>
        <v>94568.77</v>
      </c>
      <c r="G140" s="5" t="s">
        <v>261</v>
      </c>
      <c r="H140" s="5" t="s">
        <v>262</v>
      </c>
      <c r="I140" s="5"/>
      <c r="J140" s="5"/>
      <c r="K140" s="5">
        <v>212</v>
      </c>
      <c r="L140" s="5">
        <v>28</v>
      </c>
      <c r="M140" s="5">
        <v>0</v>
      </c>
      <c r="N140" s="5" t="s">
        <v>6</v>
      </c>
      <c r="O140" s="5">
        <v>2</v>
      </c>
      <c r="P140" s="5">
        <f>ROUND(P139*18/100,O140)</f>
        <v>728179.54</v>
      </c>
      <c r="Q140" s="5"/>
      <c r="R140" s="5"/>
      <c r="S140" s="5"/>
      <c r="T140" s="5"/>
      <c r="U140" s="5"/>
      <c r="V140" s="5"/>
      <c r="W140" s="5"/>
    </row>
    <row r="141" spans="1:206" x14ac:dyDescent="0.2">
      <c r="A141" s="5">
        <v>50</v>
      </c>
      <c r="B141" s="5">
        <v>1</v>
      </c>
      <c r="C141" s="5">
        <v>0</v>
      </c>
      <c r="D141" s="5">
        <v>2</v>
      </c>
      <c r="E141" s="5">
        <v>213</v>
      </c>
      <c r="F141" s="5">
        <f>ROUND(F139+F140,O141)</f>
        <v>619950.81999999995</v>
      </c>
      <c r="G141" s="5" t="s">
        <v>263</v>
      </c>
      <c r="H141" s="5" t="s">
        <v>264</v>
      </c>
      <c r="I141" s="5"/>
      <c r="J141" s="5"/>
      <c r="K141" s="5">
        <v>212</v>
      </c>
      <c r="L141" s="5">
        <v>29</v>
      </c>
      <c r="M141" s="5">
        <v>0</v>
      </c>
      <c r="N141" s="5" t="s">
        <v>6</v>
      </c>
      <c r="O141" s="5">
        <v>2</v>
      </c>
      <c r="P141" s="5">
        <f>ROUND(P139+P140,O141)</f>
        <v>4773621.41</v>
      </c>
      <c r="Q141" s="5"/>
      <c r="R141" s="5"/>
      <c r="S141" s="5"/>
      <c r="T141" s="5"/>
      <c r="U141" s="5"/>
      <c r="V141" s="5"/>
      <c r="W141" s="5"/>
    </row>
    <row r="143" spans="1:206" x14ac:dyDescent="0.2">
      <c r="A143" s="3">
        <v>51</v>
      </c>
      <c r="B143" s="3">
        <f>B12</f>
        <v>204</v>
      </c>
      <c r="C143" s="3">
        <f>A12</f>
        <v>1</v>
      </c>
      <c r="D143" s="3">
        <f>ROW(A12)</f>
        <v>12</v>
      </c>
      <c r="E143" s="3"/>
      <c r="F143" s="3" t="str">
        <f>IF(F12&lt;&gt;"",F12,"")</f>
        <v>на 4 кв 2017</v>
      </c>
      <c r="G143" s="3" t="str">
        <f>IF(G12&lt;&gt;"",G12,"")</f>
        <v>На капитальный ремонт напольного покрытия коридоров со 2-го по  5-й этажи с установкой противопожарных перегородок коридоров с 1-го по 5-й этажи здания общежития НИЯУ МИФИ по адресу: г. Москва, ул. Москворечье, д. 19, к. 4</v>
      </c>
      <c r="H143" s="3">
        <v>0</v>
      </c>
      <c r="I143" s="3"/>
      <c r="J143" s="3"/>
      <c r="K143" s="3"/>
      <c r="L143" s="3"/>
      <c r="M143" s="3"/>
      <c r="N143" s="3"/>
      <c r="O143" s="3">
        <f t="shared" ref="O143:T143" si="143">ROUND(O111,2)</f>
        <v>445751.13</v>
      </c>
      <c r="P143" s="3">
        <f t="shared" si="143"/>
        <v>394458.49</v>
      </c>
      <c r="Q143" s="3">
        <f t="shared" si="143"/>
        <v>6886.4</v>
      </c>
      <c r="R143" s="3">
        <f t="shared" si="143"/>
        <v>470.6</v>
      </c>
      <c r="S143" s="3">
        <f t="shared" si="143"/>
        <v>44406.239999999998</v>
      </c>
      <c r="T143" s="3">
        <f t="shared" si="143"/>
        <v>0</v>
      </c>
      <c r="U143" s="3">
        <f>U111</f>
        <v>5052.810042000001</v>
      </c>
      <c r="V143" s="3">
        <f>V111</f>
        <v>40.088525000000004</v>
      </c>
      <c r="W143" s="3">
        <f>ROUND(W111,2)</f>
        <v>0</v>
      </c>
      <c r="X143" s="3">
        <f>ROUND(X111,2)</f>
        <v>46754.49</v>
      </c>
      <c r="Y143" s="3">
        <f>ROUND(Y111,2)</f>
        <v>29010.05</v>
      </c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>
        <f t="shared" ref="AO143:BC143" si="144">ROUND(AO111,2)</f>
        <v>0</v>
      </c>
      <c r="AP143" s="3">
        <f t="shared" si="144"/>
        <v>0</v>
      </c>
      <c r="AQ143" s="3">
        <f t="shared" si="144"/>
        <v>0</v>
      </c>
      <c r="AR143" s="3">
        <f t="shared" si="144"/>
        <v>525382.05000000005</v>
      </c>
      <c r="AS143" s="3">
        <f t="shared" si="144"/>
        <v>525382.05000000005</v>
      </c>
      <c r="AT143" s="3">
        <f t="shared" si="144"/>
        <v>0</v>
      </c>
      <c r="AU143" s="3">
        <f t="shared" si="144"/>
        <v>0</v>
      </c>
      <c r="AV143" s="3">
        <f t="shared" si="144"/>
        <v>394458.49</v>
      </c>
      <c r="AW143" s="3">
        <f t="shared" si="144"/>
        <v>394458.49</v>
      </c>
      <c r="AX143" s="3">
        <f t="shared" si="144"/>
        <v>0</v>
      </c>
      <c r="AY143" s="3">
        <f t="shared" si="144"/>
        <v>394458.49</v>
      </c>
      <c r="AZ143" s="3">
        <f t="shared" si="144"/>
        <v>0</v>
      </c>
      <c r="BA143" s="3">
        <f t="shared" si="144"/>
        <v>0</v>
      </c>
      <c r="BB143" s="3">
        <f t="shared" si="144"/>
        <v>0</v>
      </c>
      <c r="BC143" s="3">
        <f t="shared" si="144"/>
        <v>0</v>
      </c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4">
        <f t="shared" ref="DG143:DL143" si="145">ROUND(DG111,2)</f>
        <v>3432283.79</v>
      </c>
      <c r="DH143" s="4">
        <f t="shared" si="145"/>
        <v>3037330.38</v>
      </c>
      <c r="DI143" s="4">
        <f t="shared" si="145"/>
        <v>53025.31</v>
      </c>
      <c r="DJ143" s="4">
        <f t="shared" si="145"/>
        <v>3623.65</v>
      </c>
      <c r="DK143" s="4">
        <f t="shared" si="145"/>
        <v>341928.1</v>
      </c>
      <c r="DL143" s="4">
        <f t="shared" si="145"/>
        <v>0</v>
      </c>
      <c r="DM143" s="4">
        <f>DM111</f>
        <v>5052.810042000001</v>
      </c>
      <c r="DN143" s="4">
        <f>DN111</f>
        <v>40.088525000000004</v>
      </c>
      <c r="DO143" s="4">
        <f>ROUND(DO111,2)</f>
        <v>0</v>
      </c>
      <c r="DP143" s="4">
        <f>ROUND(DP111,2)</f>
        <v>360009.55</v>
      </c>
      <c r="DQ143" s="4">
        <f>ROUND(DQ111,2)</f>
        <v>223377.44</v>
      </c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>
        <f t="shared" ref="EG143:EU143" si="146">ROUND(EG111,2)</f>
        <v>0</v>
      </c>
      <c r="EH143" s="4">
        <f t="shared" si="146"/>
        <v>0</v>
      </c>
      <c r="EI143" s="4">
        <f t="shared" si="146"/>
        <v>0</v>
      </c>
      <c r="EJ143" s="4">
        <f t="shared" si="146"/>
        <v>4045441.87</v>
      </c>
      <c r="EK143" s="4">
        <f t="shared" si="146"/>
        <v>4045441.87</v>
      </c>
      <c r="EL143" s="4">
        <f t="shared" si="146"/>
        <v>0</v>
      </c>
      <c r="EM143" s="4">
        <f t="shared" si="146"/>
        <v>0</v>
      </c>
      <c r="EN143" s="4">
        <f t="shared" si="146"/>
        <v>3037330.38</v>
      </c>
      <c r="EO143" s="4">
        <f t="shared" si="146"/>
        <v>3037330.38</v>
      </c>
      <c r="EP143" s="4">
        <f t="shared" si="146"/>
        <v>0</v>
      </c>
      <c r="EQ143" s="4">
        <f t="shared" si="146"/>
        <v>3037330.38</v>
      </c>
      <c r="ER143" s="4">
        <f t="shared" si="146"/>
        <v>0</v>
      </c>
      <c r="ES143" s="4">
        <f t="shared" si="146"/>
        <v>0</v>
      </c>
      <c r="ET143" s="4">
        <f t="shared" si="146"/>
        <v>0</v>
      </c>
      <c r="EU143" s="4">
        <f t="shared" si="146"/>
        <v>0</v>
      </c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>
        <v>0</v>
      </c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201</v>
      </c>
      <c r="F145" s="5">
        <f>ROUND(Source!O143,O145)</f>
        <v>445751.13</v>
      </c>
      <c r="G145" s="5" t="s">
        <v>208</v>
      </c>
      <c r="H145" s="5" t="s">
        <v>209</v>
      </c>
      <c r="I145" s="5"/>
      <c r="J145" s="5"/>
      <c r="K145" s="5">
        <v>201</v>
      </c>
      <c r="L145" s="5">
        <v>1</v>
      </c>
      <c r="M145" s="5">
        <v>3</v>
      </c>
      <c r="N145" s="5" t="s">
        <v>6</v>
      </c>
      <c r="O145" s="5">
        <v>2</v>
      </c>
      <c r="P145" s="5">
        <f>ROUND(Source!DG143,O145)</f>
        <v>3432283.79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202</v>
      </c>
      <c r="F146" s="5">
        <f>ROUND(Source!P143,O146)</f>
        <v>394458.49</v>
      </c>
      <c r="G146" s="5" t="s">
        <v>210</v>
      </c>
      <c r="H146" s="5" t="s">
        <v>211</v>
      </c>
      <c r="I146" s="5"/>
      <c r="J146" s="5"/>
      <c r="K146" s="5">
        <v>202</v>
      </c>
      <c r="L146" s="5">
        <v>2</v>
      </c>
      <c r="M146" s="5">
        <v>3</v>
      </c>
      <c r="N146" s="5" t="s">
        <v>6</v>
      </c>
      <c r="O146" s="5">
        <v>2</v>
      </c>
      <c r="P146" s="5">
        <f>ROUND(Source!DH143,O146)</f>
        <v>3037330.38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222</v>
      </c>
      <c r="F147" s="5">
        <f>ROUND(Source!AO143,O147)</f>
        <v>0</v>
      </c>
      <c r="G147" s="5" t="s">
        <v>212</v>
      </c>
      <c r="H147" s="5" t="s">
        <v>213</v>
      </c>
      <c r="I147" s="5"/>
      <c r="J147" s="5"/>
      <c r="K147" s="5">
        <v>222</v>
      </c>
      <c r="L147" s="5">
        <v>3</v>
      </c>
      <c r="M147" s="5">
        <v>3</v>
      </c>
      <c r="N147" s="5" t="s">
        <v>6</v>
      </c>
      <c r="O147" s="5">
        <v>2</v>
      </c>
      <c r="P147" s="5">
        <f>ROUND(Source!EG143,O147)</f>
        <v>0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225</v>
      </c>
      <c r="F148" s="5">
        <f>ROUND(Source!AV143,O148)</f>
        <v>394458.49</v>
      </c>
      <c r="G148" s="5" t="s">
        <v>214</v>
      </c>
      <c r="H148" s="5" t="s">
        <v>215</v>
      </c>
      <c r="I148" s="5"/>
      <c r="J148" s="5"/>
      <c r="K148" s="5">
        <v>225</v>
      </c>
      <c r="L148" s="5">
        <v>4</v>
      </c>
      <c r="M148" s="5">
        <v>3</v>
      </c>
      <c r="N148" s="5" t="s">
        <v>6</v>
      </c>
      <c r="O148" s="5">
        <v>2</v>
      </c>
      <c r="P148" s="5">
        <f>ROUND(Source!EN143,O148)</f>
        <v>3037330.38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226</v>
      </c>
      <c r="F149" s="5">
        <f>ROUND(Source!AW143,O149)</f>
        <v>394458.49</v>
      </c>
      <c r="G149" s="5" t="s">
        <v>216</v>
      </c>
      <c r="H149" s="5" t="s">
        <v>217</v>
      </c>
      <c r="I149" s="5"/>
      <c r="J149" s="5"/>
      <c r="K149" s="5">
        <v>226</v>
      </c>
      <c r="L149" s="5">
        <v>5</v>
      </c>
      <c r="M149" s="5">
        <v>3</v>
      </c>
      <c r="N149" s="5" t="s">
        <v>6</v>
      </c>
      <c r="O149" s="5">
        <v>2</v>
      </c>
      <c r="P149" s="5">
        <f>ROUND(Source!EO143,O149)</f>
        <v>3037330.38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227</v>
      </c>
      <c r="F150" s="5">
        <f>ROUND(Source!AX143,O150)</f>
        <v>0</v>
      </c>
      <c r="G150" s="5" t="s">
        <v>218</v>
      </c>
      <c r="H150" s="5" t="s">
        <v>219</v>
      </c>
      <c r="I150" s="5"/>
      <c r="J150" s="5"/>
      <c r="K150" s="5">
        <v>227</v>
      </c>
      <c r="L150" s="5">
        <v>6</v>
      </c>
      <c r="M150" s="5">
        <v>3</v>
      </c>
      <c r="N150" s="5" t="s">
        <v>6</v>
      </c>
      <c r="O150" s="5">
        <v>2</v>
      </c>
      <c r="P150" s="5">
        <f>ROUND(Source!EP143,O150)</f>
        <v>0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228</v>
      </c>
      <c r="F151" s="5">
        <f>ROUND(Source!AY143,O151)</f>
        <v>394458.49</v>
      </c>
      <c r="G151" s="5" t="s">
        <v>220</v>
      </c>
      <c r="H151" s="5" t="s">
        <v>221</v>
      </c>
      <c r="I151" s="5"/>
      <c r="J151" s="5"/>
      <c r="K151" s="5">
        <v>228</v>
      </c>
      <c r="L151" s="5">
        <v>7</v>
      </c>
      <c r="M151" s="5">
        <v>3</v>
      </c>
      <c r="N151" s="5" t="s">
        <v>6</v>
      </c>
      <c r="O151" s="5">
        <v>2</v>
      </c>
      <c r="P151" s="5">
        <f>ROUND(Source!EQ143,O151)</f>
        <v>3037330.38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216</v>
      </c>
      <c r="F152" s="5">
        <f>ROUND(Source!AP143,O152)</f>
        <v>0</v>
      </c>
      <c r="G152" s="5" t="s">
        <v>222</v>
      </c>
      <c r="H152" s="5" t="s">
        <v>223</v>
      </c>
      <c r="I152" s="5"/>
      <c r="J152" s="5"/>
      <c r="K152" s="5">
        <v>216</v>
      </c>
      <c r="L152" s="5">
        <v>8</v>
      </c>
      <c r="M152" s="5">
        <v>3</v>
      </c>
      <c r="N152" s="5" t="s">
        <v>6</v>
      </c>
      <c r="O152" s="5">
        <v>2</v>
      </c>
      <c r="P152" s="5">
        <f>ROUND(Source!EH143,O152)</f>
        <v>0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1</v>
      </c>
      <c r="E153" s="5">
        <v>223</v>
      </c>
      <c r="F153" s="5">
        <f>ROUND(Source!AQ143,O153)</f>
        <v>0</v>
      </c>
      <c r="G153" s="5" t="s">
        <v>224</v>
      </c>
      <c r="H153" s="5" t="s">
        <v>225</v>
      </c>
      <c r="I153" s="5"/>
      <c r="J153" s="5"/>
      <c r="K153" s="5">
        <v>223</v>
      </c>
      <c r="L153" s="5">
        <v>9</v>
      </c>
      <c r="M153" s="5">
        <v>3</v>
      </c>
      <c r="N153" s="5" t="s">
        <v>6</v>
      </c>
      <c r="O153" s="5">
        <v>2</v>
      </c>
      <c r="P153" s="5">
        <f>ROUND(Source!EI143,O153)</f>
        <v>0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1</v>
      </c>
      <c r="E154" s="5">
        <v>229</v>
      </c>
      <c r="F154" s="5">
        <f>ROUND(Source!AZ143,O154)</f>
        <v>0</v>
      </c>
      <c r="G154" s="5" t="s">
        <v>226</v>
      </c>
      <c r="H154" s="5" t="s">
        <v>227</v>
      </c>
      <c r="I154" s="5"/>
      <c r="J154" s="5"/>
      <c r="K154" s="5">
        <v>229</v>
      </c>
      <c r="L154" s="5">
        <v>10</v>
      </c>
      <c r="M154" s="5">
        <v>3</v>
      </c>
      <c r="N154" s="5" t="s">
        <v>6</v>
      </c>
      <c r="O154" s="5">
        <v>2</v>
      </c>
      <c r="P154" s="5">
        <f>ROUND(Source!ER143,O154)</f>
        <v>0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0</v>
      </c>
      <c r="C155" s="5">
        <v>0</v>
      </c>
      <c r="D155" s="5">
        <v>1</v>
      </c>
      <c r="E155" s="5">
        <v>203</v>
      </c>
      <c r="F155" s="5">
        <f>ROUND(Source!Q143,O155)</f>
        <v>6886.4</v>
      </c>
      <c r="G155" s="5" t="s">
        <v>228</v>
      </c>
      <c r="H155" s="5" t="s">
        <v>229</v>
      </c>
      <c r="I155" s="5"/>
      <c r="J155" s="5"/>
      <c r="K155" s="5">
        <v>203</v>
      </c>
      <c r="L155" s="5">
        <v>11</v>
      </c>
      <c r="M155" s="5">
        <v>3</v>
      </c>
      <c r="N155" s="5" t="s">
        <v>6</v>
      </c>
      <c r="O155" s="5">
        <v>2</v>
      </c>
      <c r="P155" s="5">
        <f>ROUND(Source!DI143,O155)</f>
        <v>53025.31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0</v>
      </c>
      <c r="C156" s="5">
        <v>0</v>
      </c>
      <c r="D156" s="5">
        <v>1</v>
      </c>
      <c r="E156" s="5">
        <v>231</v>
      </c>
      <c r="F156" s="5">
        <f>ROUND(Source!BB143,O156)</f>
        <v>0</v>
      </c>
      <c r="G156" s="5" t="s">
        <v>230</v>
      </c>
      <c r="H156" s="5" t="s">
        <v>231</v>
      </c>
      <c r="I156" s="5"/>
      <c r="J156" s="5"/>
      <c r="K156" s="5">
        <v>231</v>
      </c>
      <c r="L156" s="5">
        <v>12</v>
      </c>
      <c r="M156" s="5">
        <v>3</v>
      </c>
      <c r="N156" s="5" t="s">
        <v>6</v>
      </c>
      <c r="O156" s="5">
        <v>2</v>
      </c>
      <c r="P156" s="5">
        <f>ROUND(Source!ET143,O156)</f>
        <v>0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0</v>
      </c>
      <c r="C157" s="5">
        <v>0</v>
      </c>
      <c r="D157" s="5">
        <v>1</v>
      </c>
      <c r="E157" s="5">
        <v>204</v>
      </c>
      <c r="F157" s="5">
        <f>ROUND(Source!R143,O157)</f>
        <v>470.6</v>
      </c>
      <c r="G157" s="5" t="s">
        <v>232</v>
      </c>
      <c r="H157" s="5" t="s">
        <v>233</v>
      </c>
      <c r="I157" s="5"/>
      <c r="J157" s="5"/>
      <c r="K157" s="5">
        <v>204</v>
      </c>
      <c r="L157" s="5">
        <v>13</v>
      </c>
      <c r="M157" s="5">
        <v>3</v>
      </c>
      <c r="N157" s="5" t="s">
        <v>6</v>
      </c>
      <c r="O157" s="5">
        <v>2</v>
      </c>
      <c r="P157" s="5">
        <f>ROUND(Source!DJ143,O157)</f>
        <v>3623.65</v>
      </c>
      <c r="Q157" s="5"/>
      <c r="R157" s="5"/>
      <c r="S157" s="5"/>
      <c r="T157" s="5"/>
      <c r="U157" s="5"/>
      <c r="V157" s="5"/>
      <c r="W157" s="5"/>
    </row>
    <row r="158" spans="1:23" x14ac:dyDescent="0.2">
      <c r="A158" s="5">
        <v>50</v>
      </c>
      <c r="B158" s="5">
        <v>0</v>
      </c>
      <c r="C158" s="5">
        <v>0</v>
      </c>
      <c r="D158" s="5">
        <v>1</v>
      </c>
      <c r="E158" s="5">
        <v>205</v>
      </c>
      <c r="F158" s="5">
        <f>ROUND(Source!S143,O158)</f>
        <v>44406.239999999998</v>
      </c>
      <c r="G158" s="5" t="s">
        <v>234</v>
      </c>
      <c r="H158" s="5" t="s">
        <v>235</v>
      </c>
      <c r="I158" s="5"/>
      <c r="J158" s="5"/>
      <c r="K158" s="5">
        <v>205</v>
      </c>
      <c r="L158" s="5">
        <v>14</v>
      </c>
      <c r="M158" s="5">
        <v>3</v>
      </c>
      <c r="N158" s="5" t="s">
        <v>6</v>
      </c>
      <c r="O158" s="5">
        <v>2</v>
      </c>
      <c r="P158" s="5">
        <f>ROUND(Source!DK143,O158)</f>
        <v>341928.1</v>
      </c>
      <c r="Q158" s="5"/>
      <c r="R158" s="5"/>
      <c r="S158" s="5"/>
      <c r="T158" s="5"/>
      <c r="U158" s="5"/>
      <c r="V158" s="5"/>
      <c r="W158" s="5"/>
    </row>
    <row r="159" spans="1:23" x14ac:dyDescent="0.2">
      <c r="A159" s="5">
        <v>50</v>
      </c>
      <c r="B159" s="5">
        <v>0</v>
      </c>
      <c r="C159" s="5">
        <v>0</v>
      </c>
      <c r="D159" s="5">
        <v>1</v>
      </c>
      <c r="E159" s="5">
        <v>232</v>
      </c>
      <c r="F159" s="5">
        <f>ROUND(Source!BC143,O159)</f>
        <v>0</v>
      </c>
      <c r="G159" s="5" t="s">
        <v>236</v>
      </c>
      <c r="H159" s="5" t="s">
        <v>237</v>
      </c>
      <c r="I159" s="5"/>
      <c r="J159" s="5"/>
      <c r="K159" s="5">
        <v>232</v>
      </c>
      <c r="L159" s="5">
        <v>15</v>
      </c>
      <c r="M159" s="5">
        <v>3</v>
      </c>
      <c r="N159" s="5" t="s">
        <v>6</v>
      </c>
      <c r="O159" s="5">
        <v>2</v>
      </c>
      <c r="P159" s="5">
        <f>ROUND(Source!EU143,O159)</f>
        <v>0</v>
      </c>
      <c r="Q159" s="5"/>
      <c r="R159" s="5"/>
      <c r="S159" s="5"/>
      <c r="T159" s="5"/>
      <c r="U159" s="5"/>
      <c r="V159" s="5"/>
      <c r="W159" s="5"/>
    </row>
    <row r="160" spans="1:23" x14ac:dyDescent="0.2">
      <c r="A160" s="5">
        <v>50</v>
      </c>
      <c r="B160" s="5">
        <v>0</v>
      </c>
      <c r="C160" s="5">
        <v>0</v>
      </c>
      <c r="D160" s="5">
        <v>1</v>
      </c>
      <c r="E160" s="5">
        <v>214</v>
      </c>
      <c r="F160" s="5">
        <f>ROUND(Source!AS143,O160)</f>
        <v>525382.05000000005</v>
      </c>
      <c r="G160" s="5" t="s">
        <v>238</v>
      </c>
      <c r="H160" s="5" t="s">
        <v>239</v>
      </c>
      <c r="I160" s="5"/>
      <c r="J160" s="5"/>
      <c r="K160" s="5">
        <v>214</v>
      </c>
      <c r="L160" s="5">
        <v>16</v>
      </c>
      <c r="M160" s="5">
        <v>3</v>
      </c>
      <c r="N160" s="5" t="s">
        <v>6</v>
      </c>
      <c r="O160" s="5">
        <v>2</v>
      </c>
      <c r="P160" s="5">
        <f>ROUND(Source!EK143,O160)</f>
        <v>4045441.87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215</v>
      </c>
      <c r="F161" s="5">
        <f>ROUND(Source!AT143,O161)</f>
        <v>0</v>
      </c>
      <c r="G161" s="5" t="s">
        <v>240</v>
      </c>
      <c r="H161" s="5" t="s">
        <v>241</v>
      </c>
      <c r="I161" s="5"/>
      <c r="J161" s="5"/>
      <c r="K161" s="5">
        <v>215</v>
      </c>
      <c r="L161" s="5">
        <v>17</v>
      </c>
      <c r="M161" s="5">
        <v>3</v>
      </c>
      <c r="N161" s="5" t="s">
        <v>6</v>
      </c>
      <c r="O161" s="5">
        <v>2</v>
      </c>
      <c r="P161" s="5">
        <f>ROUND(Source!EL143,O161)</f>
        <v>0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217</v>
      </c>
      <c r="F162" s="5">
        <f>ROUND(Source!AU143,O162)</f>
        <v>0</v>
      </c>
      <c r="G162" s="5" t="s">
        <v>242</v>
      </c>
      <c r="H162" s="5" t="s">
        <v>243</v>
      </c>
      <c r="I162" s="5"/>
      <c r="J162" s="5"/>
      <c r="K162" s="5">
        <v>217</v>
      </c>
      <c r="L162" s="5">
        <v>18</v>
      </c>
      <c r="M162" s="5">
        <v>3</v>
      </c>
      <c r="N162" s="5" t="s">
        <v>6</v>
      </c>
      <c r="O162" s="5">
        <v>2</v>
      </c>
      <c r="P162" s="5">
        <f>ROUND(Source!EM143,O162)</f>
        <v>0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230</v>
      </c>
      <c r="F163" s="5">
        <f>ROUND(Source!BA143,O163)</f>
        <v>0</v>
      </c>
      <c r="G163" s="5" t="s">
        <v>244</v>
      </c>
      <c r="H163" s="5" t="s">
        <v>245</v>
      </c>
      <c r="I163" s="5"/>
      <c r="J163" s="5"/>
      <c r="K163" s="5">
        <v>230</v>
      </c>
      <c r="L163" s="5">
        <v>19</v>
      </c>
      <c r="M163" s="5">
        <v>3</v>
      </c>
      <c r="N163" s="5" t="s">
        <v>6</v>
      </c>
      <c r="O163" s="5">
        <v>2</v>
      </c>
      <c r="P163" s="5">
        <f>ROUND(Source!ES143,O163)</f>
        <v>0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206</v>
      </c>
      <c r="F164" s="5">
        <f>ROUND(Source!T143,O164)</f>
        <v>0</v>
      </c>
      <c r="G164" s="5" t="s">
        <v>246</v>
      </c>
      <c r="H164" s="5" t="s">
        <v>247</v>
      </c>
      <c r="I164" s="5"/>
      <c r="J164" s="5"/>
      <c r="K164" s="5">
        <v>206</v>
      </c>
      <c r="L164" s="5">
        <v>20</v>
      </c>
      <c r="M164" s="5">
        <v>3</v>
      </c>
      <c r="N164" s="5" t="s">
        <v>6</v>
      </c>
      <c r="O164" s="5">
        <v>2</v>
      </c>
      <c r="P164" s="5">
        <f>ROUND(Source!DL143,O164)</f>
        <v>0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207</v>
      </c>
      <c r="F165" s="5">
        <f>Source!U143</f>
        <v>5052.810042000001</v>
      </c>
      <c r="G165" s="5" t="s">
        <v>248</v>
      </c>
      <c r="H165" s="5" t="s">
        <v>249</v>
      </c>
      <c r="I165" s="5"/>
      <c r="J165" s="5"/>
      <c r="K165" s="5">
        <v>207</v>
      </c>
      <c r="L165" s="5">
        <v>21</v>
      </c>
      <c r="M165" s="5">
        <v>3</v>
      </c>
      <c r="N165" s="5" t="s">
        <v>6</v>
      </c>
      <c r="O165" s="5">
        <v>-1</v>
      </c>
      <c r="P165" s="5">
        <f>Source!DM143</f>
        <v>5052.810042000001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208</v>
      </c>
      <c r="F166" s="5">
        <f>Source!V143</f>
        <v>40.088525000000004</v>
      </c>
      <c r="G166" s="5" t="s">
        <v>250</v>
      </c>
      <c r="H166" s="5" t="s">
        <v>251</v>
      </c>
      <c r="I166" s="5"/>
      <c r="J166" s="5"/>
      <c r="K166" s="5">
        <v>208</v>
      </c>
      <c r="L166" s="5">
        <v>22</v>
      </c>
      <c r="M166" s="5">
        <v>3</v>
      </c>
      <c r="N166" s="5" t="s">
        <v>6</v>
      </c>
      <c r="O166" s="5">
        <v>-1</v>
      </c>
      <c r="P166" s="5">
        <f>Source!DN143</f>
        <v>40.088525000000004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209</v>
      </c>
      <c r="F167" s="5">
        <f>ROUND(Source!W143,O167)</f>
        <v>0</v>
      </c>
      <c r="G167" s="5" t="s">
        <v>252</v>
      </c>
      <c r="H167" s="5" t="s">
        <v>253</v>
      </c>
      <c r="I167" s="5"/>
      <c r="J167" s="5"/>
      <c r="K167" s="5">
        <v>209</v>
      </c>
      <c r="L167" s="5">
        <v>23</v>
      </c>
      <c r="M167" s="5">
        <v>3</v>
      </c>
      <c r="N167" s="5" t="s">
        <v>6</v>
      </c>
      <c r="O167" s="5">
        <v>2</v>
      </c>
      <c r="P167" s="5">
        <f>ROUND(Source!DO143,O167)</f>
        <v>0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210</v>
      </c>
      <c r="F168" s="5">
        <f>ROUND(Source!X143,O168)</f>
        <v>46754.49</v>
      </c>
      <c r="G168" s="5" t="s">
        <v>254</v>
      </c>
      <c r="H168" s="5" t="s">
        <v>255</v>
      </c>
      <c r="I168" s="5"/>
      <c r="J168" s="5"/>
      <c r="K168" s="5">
        <v>210</v>
      </c>
      <c r="L168" s="5">
        <v>24</v>
      </c>
      <c r="M168" s="5">
        <v>3</v>
      </c>
      <c r="N168" s="5" t="s">
        <v>6</v>
      </c>
      <c r="O168" s="5">
        <v>2</v>
      </c>
      <c r="P168" s="5">
        <f>ROUND(Source!DP143,O168)</f>
        <v>360009.55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211</v>
      </c>
      <c r="F169" s="5">
        <f>ROUND(Source!Y143,O169)</f>
        <v>29010.05</v>
      </c>
      <c r="G169" s="5" t="s">
        <v>256</v>
      </c>
      <c r="H169" s="5" t="s">
        <v>257</v>
      </c>
      <c r="I169" s="5"/>
      <c r="J169" s="5"/>
      <c r="K169" s="5">
        <v>211</v>
      </c>
      <c r="L169" s="5">
        <v>25</v>
      </c>
      <c r="M169" s="5">
        <v>3</v>
      </c>
      <c r="N169" s="5" t="s">
        <v>6</v>
      </c>
      <c r="O169" s="5">
        <v>2</v>
      </c>
      <c r="P169" s="5">
        <f>ROUND(Source!DQ143,O169)</f>
        <v>223377.44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224</v>
      </c>
      <c r="F170" s="5">
        <f>ROUND(Source!AR143,O170)</f>
        <v>525382.05000000005</v>
      </c>
      <c r="G170" s="5" t="s">
        <v>258</v>
      </c>
      <c r="H170" s="5" t="s">
        <v>259</v>
      </c>
      <c r="I170" s="5"/>
      <c r="J170" s="5"/>
      <c r="K170" s="5">
        <v>224</v>
      </c>
      <c r="L170" s="5">
        <v>26</v>
      </c>
      <c r="M170" s="5">
        <v>3</v>
      </c>
      <c r="N170" s="5" t="s">
        <v>6</v>
      </c>
      <c r="O170" s="5">
        <v>2</v>
      </c>
      <c r="P170" s="5">
        <f>ROUND(Source!EJ143,O170)</f>
        <v>4045441.87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1</v>
      </c>
      <c r="C171" s="5">
        <v>0</v>
      </c>
      <c r="D171" s="5">
        <v>2</v>
      </c>
      <c r="E171" s="5">
        <v>0</v>
      </c>
      <c r="F171" s="5">
        <f>ROUND(F170,O171)</f>
        <v>525382.05000000005</v>
      </c>
      <c r="G171" s="5" t="s">
        <v>260</v>
      </c>
      <c r="H171" s="5" t="s">
        <v>259</v>
      </c>
      <c r="I171" s="5"/>
      <c r="J171" s="5"/>
      <c r="K171" s="5">
        <v>212</v>
      </c>
      <c r="L171" s="5">
        <v>27</v>
      </c>
      <c r="M171" s="5">
        <v>0</v>
      </c>
      <c r="N171" s="5" t="s">
        <v>6</v>
      </c>
      <c r="O171" s="5">
        <v>2</v>
      </c>
      <c r="P171" s="5">
        <f>ROUND(P170,O171)</f>
        <v>4045441.87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1</v>
      </c>
      <c r="C172" s="5">
        <v>0</v>
      </c>
      <c r="D172" s="5">
        <v>2</v>
      </c>
      <c r="E172" s="5">
        <v>0</v>
      </c>
      <c r="F172" s="5">
        <f>ROUND(F171*18/100,O172)</f>
        <v>94568.77</v>
      </c>
      <c r="G172" s="5" t="s">
        <v>261</v>
      </c>
      <c r="H172" s="5" t="s">
        <v>262</v>
      </c>
      <c r="I172" s="5"/>
      <c r="J172" s="5"/>
      <c r="K172" s="5">
        <v>212</v>
      </c>
      <c r="L172" s="5">
        <v>28</v>
      </c>
      <c r="M172" s="5">
        <v>0</v>
      </c>
      <c r="N172" s="5" t="s">
        <v>6</v>
      </c>
      <c r="O172" s="5">
        <v>2</v>
      </c>
      <c r="P172" s="5">
        <f>ROUND(P171*18/100,O172)</f>
        <v>728179.54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1</v>
      </c>
      <c r="C173" s="5">
        <v>0</v>
      </c>
      <c r="D173" s="5">
        <v>2</v>
      </c>
      <c r="E173" s="5">
        <v>213</v>
      </c>
      <c r="F173" s="5">
        <f>ROUND(F171+F172,O173)</f>
        <v>619950.81999999995</v>
      </c>
      <c r="G173" s="5" t="s">
        <v>263</v>
      </c>
      <c r="H173" s="5" t="s">
        <v>264</v>
      </c>
      <c r="I173" s="5"/>
      <c r="J173" s="5"/>
      <c r="K173" s="5">
        <v>212</v>
      </c>
      <c r="L173" s="5">
        <v>29</v>
      </c>
      <c r="M173" s="5">
        <v>0</v>
      </c>
      <c r="N173" s="5" t="s">
        <v>6</v>
      </c>
      <c r="O173" s="5">
        <v>2</v>
      </c>
      <c r="P173" s="5">
        <f>ROUND(P171+P172,O173)</f>
        <v>4773621.41</v>
      </c>
      <c r="Q173" s="5"/>
      <c r="R173" s="5"/>
      <c r="S173" s="5"/>
      <c r="T173" s="5"/>
      <c r="U173" s="5"/>
      <c r="V173" s="5"/>
      <c r="W173" s="5"/>
    </row>
    <row r="176" spans="1:23" x14ac:dyDescent="0.2">
      <c r="A176">
        <v>70</v>
      </c>
      <c r="B176">
        <v>1</v>
      </c>
      <c r="D176">
        <v>1</v>
      </c>
      <c r="E176" t="s">
        <v>265</v>
      </c>
      <c r="F176" t="s">
        <v>266</v>
      </c>
      <c r="G176">
        <v>0</v>
      </c>
      <c r="H176">
        <v>0</v>
      </c>
      <c r="I176" t="s">
        <v>6</v>
      </c>
      <c r="J176">
        <v>1</v>
      </c>
      <c r="K176">
        <v>0</v>
      </c>
      <c r="L176" t="s">
        <v>6</v>
      </c>
      <c r="M176" t="s">
        <v>6</v>
      </c>
      <c r="N176">
        <v>0</v>
      </c>
      <c r="O176">
        <v>0</v>
      </c>
    </row>
    <row r="177" spans="1:15" x14ac:dyDescent="0.2">
      <c r="A177">
        <v>70</v>
      </c>
      <c r="B177">
        <v>1</v>
      </c>
      <c r="D177">
        <v>2</v>
      </c>
      <c r="E177" t="s">
        <v>267</v>
      </c>
      <c r="F177" t="s">
        <v>268</v>
      </c>
      <c r="G177">
        <v>1</v>
      </c>
      <c r="H177">
        <v>0</v>
      </c>
      <c r="I177" t="s">
        <v>6</v>
      </c>
      <c r="J177">
        <v>1</v>
      </c>
      <c r="K177">
        <v>0</v>
      </c>
      <c r="L177" t="s">
        <v>6</v>
      </c>
      <c r="M177" t="s">
        <v>6</v>
      </c>
      <c r="N177">
        <v>0</v>
      </c>
      <c r="O177">
        <v>1</v>
      </c>
    </row>
    <row r="178" spans="1:15" x14ac:dyDescent="0.2">
      <c r="A178">
        <v>70</v>
      </c>
      <c r="B178">
        <v>1</v>
      </c>
      <c r="D178">
        <v>3</v>
      </c>
      <c r="E178" t="s">
        <v>269</v>
      </c>
      <c r="F178" t="s">
        <v>270</v>
      </c>
      <c r="G178">
        <v>0</v>
      </c>
      <c r="H178">
        <v>0</v>
      </c>
      <c r="I178" t="s">
        <v>6</v>
      </c>
      <c r="J178">
        <v>1</v>
      </c>
      <c r="K178">
        <v>0</v>
      </c>
      <c r="L178" t="s">
        <v>6</v>
      </c>
      <c r="M178" t="s">
        <v>6</v>
      </c>
      <c r="N178">
        <v>0</v>
      </c>
      <c r="O178">
        <v>0</v>
      </c>
    </row>
    <row r="179" spans="1:15" x14ac:dyDescent="0.2">
      <c r="A179">
        <v>70</v>
      </c>
      <c r="B179">
        <v>1</v>
      </c>
      <c r="D179">
        <v>4</v>
      </c>
      <c r="E179" t="s">
        <v>271</v>
      </c>
      <c r="F179" t="s">
        <v>272</v>
      </c>
      <c r="G179">
        <v>0</v>
      </c>
      <c r="H179">
        <v>0</v>
      </c>
      <c r="I179" t="s">
        <v>273</v>
      </c>
      <c r="J179">
        <v>0</v>
      </c>
      <c r="K179">
        <v>0</v>
      </c>
      <c r="L179" t="s">
        <v>6</v>
      </c>
      <c r="M179" t="s">
        <v>6</v>
      </c>
      <c r="N179">
        <v>0</v>
      </c>
      <c r="O179">
        <v>0</v>
      </c>
    </row>
    <row r="180" spans="1:15" x14ac:dyDescent="0.2">
      <c r="A180">
        <v>70</v>
      </c>
      <c r="B180">
        <v>1</v>
      </c>
      <c r="D180">
        <v>5</v>
      </c>
      <c r="E180" t="s">
        <v>274</v>
      </c>
      <c r="F180" t="s">
        <v>275</v>
      </c>
      <c r="G180">
        <v>0</v>
      </c>
      <c r="H180">
        <v>0</v>
      </c>
      <c r="I180" t="s">
        <v>276</v>
      </c>
      <c r="J180">
        <v>0</v>
      </c>
      <c r="K180">
        <v>0</v>
      </c>
      <c r="L180" t="s">
        <v>6</v>
      </c>
      <c r="M180" t="s">
        <v>6</v>
      </c>
      <c r="N180">
        <v>0</v>
      </c>
      <c r="O180">
        <v>0</v>
      </c>
    </row>
    <row r="181" spans="1:15" x14ac:dyDescent="0.2">
      <c r="A181">
        <v>70</v>
      </c>
      <c r="B181">
        <v>1</v>
      </c>
      <c r="D181">
        <v>6</v>
      </c>
      <c r="E181" t="s">
        <v>277</v>
      </c>
      <c r="F181" t="s">
        <v>278</v>
      </c>
      <c r="G181">
        <v>0</v>
      </c>
      <c r="H181">
        <v>0</v>
      </c>
      <c r="I181" t="s">
        <v>279</v>
      </c>
      <c r="J181">
        <v>0</v>
      </c>
      <c r="K181">
        <v>0</v>
      </c>
      <c r="L181" t="s">
        <v>6</v>
      </c>
      <c r="M181" t="s">
        <v>6</v>
      </c>
      <c r="N181">
        <v>0</v>
      </c>
      <c r="O181">
        <v>0</v>
      </c>
    </row>
    <row r="182" spans="1:15" x14ac:dyDescent="0.2">
      <c r="A182">
        <v>70</v>
      </c>
      <c r="B182">
        <v>1</v>
      </c>
      <c r="D182">
        <v>7</v>
      </c>
      <c r="E182" t="s">
        <v>280</v>
      </c>
      <c r="F182" t="s">
        <v>281</v>
      </c>
      <c r="G182">
        <v>0</v>
      </c>
      <c r="H182">
        <v>0</v>
      </c>
      <c r="I182" t="s">
        <v>6</v>
      </c>
      <c r="J182">
        <v>0</v>
      </c>
      <c r="K182">
        <v>0</v>
      </c>
      <c r="L182" t="s">
        <v>6</v>
      </c>
      <c r="M182" t="s">
        <v>6</v>
      </c>
      <c r="N182">
        <v>0</v>
      </c>
      <c r="O182">
        <v>0</v>
      </c>
    </row>
    <row r="183" spans="1:15" x14ac:dyDescent="0.2">
      <c r="A183">
        <v>70</v>
      </c>
      <c r="B183">
        <v>1</v>
      </c>
      <c r="D183">
        <v>8</v>
      </c>
      <c r="E183" t="s">
        <v>282</v>
      </c>
      <c r="F183" t="s">
        <v>283</v>
      </c>
      <c r="G183">
        <v>0</v>
      </c>
      <c r="H183">
        <v>0</v>
      </c>
      <c r="I183" t="s">
        <v>284</v>
      </c>
      <c r="J183">
        <v>0</v>
      </c>
      <c r="K183">
        <v>0</v>
      </c>
      <c r="L183" t="s">
        <v>6</v>
      </c>
      <c r="M183" t="s">
        <v>6</v>
      </c>
      <c r="N183">
        <v>0</v>
      </c>
      <c r="O183">
        <v>0</v>
      </c>
    </row>
    <row r="184" spans="1:15" x14ac:dyDescent="0.2">
      <c r="A184">
        <v>70</v>
      </c>
      <c r="B184">
        <v>1</v>
      </c>
      <c r="D184">
        <v>9</v>
      </c>
      <c r="E184" t="s">
        <v>285</v>
      </c>
      <c r="F184" t="s">
        <v>286</v>
      </c>
      <c r="G184">
        <v>0</v>
      </c>
      <c r="H184">
        <v>0</v>
      </c>
      <c r="I184" t="s">
        <v>287</v>
      </c>
      <c r="J184">
        <v>0</v>
      </c>
      <c r="K184">
        <v>0</v>
      </c>
      <c r="L184" t="s">
        <v>6</v>
      </c>
      <c r="M184" t="s">
        <v>6</v>
      </c>
      <c r="N184">
        <v>0</v>
      </c>
      <c r="O184">
        <v>0</v>
      </c>
    </row>
    <row r="185" spans="1:15" x14ac:dyDescent="0.2">
      <c r="A185">
        <v>70</v>
      </c>
      <c r="B185">
        <v>1</v>
      </c>
      <c r="D185">
        <v>10</v>
      </c>
      <c r="E185" t="s">
        <v>288</v>
      </c>
      <c r="F185" t="s">
        <v>289</v>
      </c>
      <c r="G185">
        <v>0</v>
      </c>
      <c r="H185">
        <v>0</v>
      </c>
      <c r="I185" t="s">
        <v>290</v>
      </c>
      <c r="J185">
        <v>0</v>
      </c>
      <c r="K185">
        <v>0</v>
      </c>
      <c r="L185" t="s">
        <v>6</v>
      </c>
      <c r="M185" t="s">
        <v>6</v>
      </c>
      <c r="N185">
        <v>0</v>
      </c>
      <c r="O185">
        <v>0</v>
      </c>
    </row>
    <row r="186" spans="1:15" x14ac:dyDescent="0.2">
      <c r="A186">
        <v>70</v>
      </c>
      <c r="B186">
        <v>1</v>
      </c>
      <c r="D186">
        <v>11</v>
      </c>
      <c r="E186" t="s">
        <v>291</v>
      </c>
      <c r="F186" t="s">
        <v>292</v>
      </c>
      <c r="G186">
        <v>0</v>
      </c>
      <c r="H186">
        <v>0</v>
      </c>
      <c r="I186" t="s">
        <v>293</v>
      </c>
      <c r="J186">
        <v>0</v>
      </c>
      <c r="K186">
        <v>0</v>
      </c>
      <c r="L186" t="s">
        <v>6</v>
      </c>
      <c r="M186" t="s">
        <v>6</v>
      </c>
      <c r="N186">
        <v>0</v>
      </c>
      <c r="O186">
        <v>0</v>
      </c>
    </row>
    <row r="187" spans="1:15" x14ac:dyDescent="0.2">
      <c r="A187">
        <v>70</v>
      </c>
      <c r="B187">
        <v>1</v>
      </c>
      <c r="D187">
        <v>12</v>
      </c>
      <c r="E187" t="s">
        <v>294</v>
      </c>
      <c r="F187" t="s">
        <v>295</v>
      </c>
      <c r="G187">
        <v>0</v>
      </c>
      <c r="H187">
        <v>0</v>
      </c>
      <c r="I187" t="s">
        <v>6</v>
      </c>
      <c r="J187">
        <v>0</v>
      </c>
      <c r="K187">
        <v>0</v>
      </c>
      <c r="L187" t="s">
        <v>6</v>
      </c>
      <c r="M187" t="s">
        <v>6</v>
      </c>
      <c r="N187">
        <v>0</v>
      </c>
      <c r="O187">
        <v>0</v>
      </c>
    </row>
    <row r="188" spans="1:15" x14ac:dyDescent="0.2">
      <c r="A188">
        <v>70</v>
      </c>
      <c r="B188">
        <v>1</v>
      </c>
      <c r="D188">
        <v>1</v>
      </c>
      <c r="E188" t="s">
        <v>296</v>
      </c>
      <c r="F188" t="s">
        <v>297</v>
      </c>
      <c r="G188">
        <v>0.9</v>
      </c>
      <c r="H188">
        <v>1</v>
      </c>
      <c r="I188" t="s">
        <v>298</v>
      </c>
      <c r="J188">
        <v>0</v>
      </c>
      <c r="K188">
        <v>0</v>
      </c>
      <c r="L188" t="s">
        <v>6</v>
      </c>
      <c r="M188" t="s">
        <v>6</v>
      </c>
      <c r="N188">
        <v>0</v>
      </c>
      <c r="O188">
        <v>0.9</v>
      </c>
    </row>
    <row r="189" spans="1:15" x14ac:dyDescent="0.2">
      <c r="A189">
        <v>70</v>
      </c>
      <c r="B189">
        <v>1</v>
      </c>
      <c r="D189">
        <v>2</v>
      </c>
      <c r="E189" t="s">
        <v>299</v>
      </c>
      <c r="F189" t="s">
        <v>300</v>
      </c>
      <c r="G189">
        <v>0.85</v>
      </c>
      <c r="H189">
        <v>1</v>
      </c>
      <c r="I189" t="s">
        <v>301</v>
      </c>
      <c r="J189">
        <v>0</v>
      </c>
      <c r="K189">
        <v>0</v>
      </c>
      <c r="L189" t="s">
        <v>6</v>
      </c>
      <c r="M189" t="s">
        <v>6</v>
      </c>
      <c r="N189">
        <v>0</v>
      </c>
      <c r="O189">
        <v>0.85</v>
      </c>
    </row>
    <row r="190" spans="1:15" x14ac:dyDescent="0.2">
      <c r="A190">
        <v>70</v>
      </c>
      <c r="B190">
        <v>1</v>
      </c>
      <c r="D190">
        <v>3</v>
      </c>
      <c r="E190" t="s">
        <v>302</v>
      </c>
      <c r="F190" t="s">
        <v>303</v>
      </c>
      <c r="G190">
        <v>1</v>
      </c>
      <c r="H190">
        <v>0.85</v>
      </c>
      <c r="I190" t="s">
        <v>304</v>
      </c>
      <c r="J190">
        <v>0</v>
      </c>
      <c r="K190">
        <v>0</v>
      </c>
      <c r="L190" t="s">
        <v>6</v>
      </c>
      <c r="M190" t="s">
        <v>6</v>
      </c>
      <c r="N190">
        <v>0</v>
      </c>
      <c r="O190">
        <v>1</v>
      </c>
    </row>
    <row r="191" spans="1:15" x14ac:dyDescent="0.2">
      <c r="A191">
        <v>70</v>
      </c>
      <c r="B191">
        <v>1</v>
      </c>
      <c r="D191">
        <v>4</v>
      </c>
      <c r="E191" t="s">
        <v>305</v>
      </c>
      <c r="F191" t="s">
        <v>306</v>
      </c>
      <c r="G191">
        <v>1</v>
      </c>
      <c r="H191">
        <v>0</v>
      </c>
      <c r="I191" t="s">
        <v>6</v>
      </c>
      <c r="J191">
        <v>0</v>
      </c>
      <c r="K191">
        <v>0</v>
      </c>
      <c r="L191" t="s">
        <v>6</v>
      </c>
      <c r="M191" t="s">
        <v>6</v>
      </c>
      <c r="N191">
        <v>0</v>
      </c>
      <c r="O191">
        <v>1</v>
      </c>
    </row>
    <row r="192" spans="1:15" x14ac:dyDescent="0.2">
      <c r="A192">
        <v>70</v>
      </c>
      <c r="B192">
        <v>1</v>
      </c>
      <c r="D192">
        <v>5</v>
      </c>
      <c r="E192" t="s">
        <v>307</v>
      </c>
      <c r="F192" t="s">
        <v>308</v>
      </c>
      <c r="G192">
        <v>1</v>
      </c>
      <c r="H192">
        <v>0.8</v>
      </c>
      <c r="I192" t="s">
        <v>309</v>
      </c>
      <c r="J192">
        <v>0</v>
      </c>
      <c r="K192">
        <v>0</v>
      </c>
      <c r="L192" t="s">
        <v>6</v>
      </c>
      <c r="M192" t="s">
        <v>6</v>
      </c>
      <c r="N192">
        <v>0</v>
      </c>
      <c r="O192">
        <v>1</v>
      </c>
    </row>
    <row r="193" spans="1:34" x14ac:dyDescent="0.2">
      <c r="A193">
        <v>70</v>
      </c>
      <c r="B193">
        <v>1</v>
      </c>
      <c r="D193">
        <v>6</v>
      </c>
      <c r="E193" t="s">
        <v>310</v>
      </c>
      <c r="F193" t="s">
        <v>311</v>
      </c>
      <c r="G193">
        <v>1</v>
      </c>
      <c r="H193">
        <v>0</v>
      </c>
      <c r="I193" t="s">
        <v>6</v>
      </c>
      <c r="J193">
        <v>0</v>
      </c>
      <c r="K193">
        <v>0</v>
      </c>
      <c r="L193" t="s">
        <v>6</v>
      </c>
      <c r="M193" t="s">
        <v>6</v>
      </c>
      <c r="N193">
        <v>0</v>
      </c>
      <c r="O193">
        <v>0.85</v>
      </c>
    </row>
    <row r="194" spans="1:34" x14ac:dyDescent="0.2">
      <c r="A194">
        <v>70</v>
      </c>
      <c r="B194">
        <v>1</v>
      </c>
      <c r="D194">
        <v>7</v>
      </c>
      <c r="E194" t="s">
        <v>312</v>
      </c>
      <c r="F194" t="s">
        <v>313</v>
      </c>
      <c r="G194">
        <v>1</v>
      </c>
      <c r="H194">
        <v>0</v>
      </c>
      <c r="I194" t="s">
        <v>6</v>
      </c>
      <c r="J194">
        <v>0</v>
      </c>
      <c r="K194">
        <v>0</v>
      </c>
      <c r="L194" t="s">
        <v>6</v>
      </c>
      <c r="M194" t="s">
        <v>6</v>
      </c>
      <c r="N194">
        <v>0</v>
      </c>
      <c r="O194">
        <v>0.8</v>
      </c>
    </row>
    <row r="195" spans="1:34" x14ac:dyDescent="0.2">
      <c r="A195">
        <v>70</v>
      </c>
      <c r="B195">
        <v>1</v>
      </c>
      <c r="D195">
        <v>8</v>
      </c>
      <c r="E195" t="s">
        <v>314</v>
      </c>
      <c r="F195" t="s">
        <v>315</v>
      </c>
      <c r="G195">
        <v>0.7</v>
      </c>
      <c r="H195">
        <v>0</v>
      </c>
      <c r="I195" t="s">
        <v>6</v>
      </c>
      <c r="J195">
        <v>0</v>
      </c>
      <c r="K195">
        <v>0</v>
      </c>
      <c r="L195" t="s">
        <v>6</v>
      </c>
      <c r="M195" t="s">
        <v>6</v>
      </c>
      <c r="N195">
        <v>0</v>
      </c>
      <c r="O195">
        <v>0.94</v>
      </c>
    </row>
    <row r="196" spans="1:34" x14ac:dyDescent="0.2">
      <c r="A196">
        <v>70</v>
      </c>
      <c r="B196">
        <v>1</v>
      </c>
      <c r="D196">
        <v>9</v>
      </c>
      <c r="E196" t="s">
        <v>316</v>
      </c>
      <c r="F196" t="s">
        <v>317</v>
      </c>
      <c r="G196">
        <v>0.9</v>
      </c>
      <c r="H196">
        <v>0</v>
      </c>
      <c r="I196" t="s">
        <v>6</v>
      </c>
      <c r="J196">
        <v>0</v>
      </c>
      <c r="K196">
        <v>0</v>
      </c>
      <c r="L196" t="s">
        <v>6</v>
      </c>
      <c r="M196" t="s">
        <v>6</v>
      </c>
      <c r="N196">
        <v>0</v>
      </c>
      <c r="O196">
        <v>0.9</v>
      </c>
    </row>
    <row r="197" spans="1:34" x14ac:dyDescent="0.2">
      <c r="A197">
        <v>70</v>
      </c>
      <c r="B197">
        <v>1</v>
      </c>
      <c r="D197">
        <v>10</v>
      </c>
      <c r="E197" t="s">
        <v>318</v>
      </c>
      <c r="F197" t="s">
        <v>319</v>
      </c>
      <c r="G197">
        <v>0.6</v>
      </c>
      <c r="H197">
        <v>0</v>
      </c>
      <c r="I197" t="s">
        <v>6</v>
      </c>
      <c r="J197">
        <v>0</v>
      </c>
      <c r="K197">
        <v>0</v>
      </c>
      <c r="L197" t="s">
        <v>6</v>
      </c>
      <c r="M197" t="s">
        <v>6</v>
      </c>
      <c r="N197">
        <v>0</v>
      </c>
      <c r="O197">
        <v>0.6</v>
      </c>
    </row>
    <row r="198" spans="1:34" x14ac:dyDescent="0.2">
      <c r="A198">
        <v>70</v>
      </c>
      <c r="B198">
        <v>1</v>
      </c>
      <c r="D198">
        <v>11</v>
      </c>
      <c r="E198" t="s">
        <v>320</v>
      </c>
      <c r="F198" t="s">
        <v>321</v>
      </c>
      <c r="G198">
        <v>1.2</v>
      </c>
      <c r="H198">
        <v>0</v>
      </c>
      <c r="I198" t="s">
        <v>6</v>
      </c>
      <c r="J198">
        <v>0</v>
      </c>
      <c r="K198">
        <v>0</v>
      </c>
      <c r="L198" t="s">
        <v>6</v>
      </c>
      <c r="M198" t="s">
        <v>6</v>
      </c>
      <c r="N198">
        <v>0</v>
      </c>
      <c r="O198">
        <v>1.2</v>
      </c>
    </row>
    <row r="199" spans="1:34" x14ac:dyDescent="0.2">
      <c r="A199">
        <v>70</v>
      </c>
      <c r="B199">
        <v>1</v>
      </c>
      <c r="D199">
        <v>12</v>
      </c>
      <c r="E199" t="s">
        <v>322</v>
      </c>
      <c r="F199" t="s">
        <v>323</v>
      </c>
      <c r="G199">
        <v>0</v>
      </c>
      <c r="H199">
        <v>0</v>
      </c>
      <c r="I199" t="s">
        <v>6</v>
      </c>
      <c r="J199">
        <v>0</v>
      </c>
      <c r="K199">
        <v>0</v>
      </c>
      <c r="L199" t="s">
        <v>6</v>
      </c>
      <c r="M199" t="s">
        <v>6</v>
      </c>
      <c r="N199">
        <v>0</v>
      </c>
      <c r="O199">
        <v>0</v>
      </c>
    </row>
    <row r="200" spans="1:34" x14ac:dyDescent="0.2">
      <c r="A200">
        <v>70</v>
      </c>
      <c r="B200">
        <v>1</v>
      </c>
      <c r="D200">
        <v>13</v>
      </c>
      <c r="E200" t="s">
        <v>324</v>
      </c>
      <c r="F200" t="s">
        <v>325</v>
      </c>
      <c r="G200">
        <v>1</v>
      </c>
      <c r="H200">
        <v>0</v>
      </c>
      <c r="I200" t="s">
        <v>6</v>
      </c>
      <c r="J200">
        <v>0</v>
      </c>
      <c r="K200">
        <v>0</v>
      </c>
      <c r="L200" t="s">
        <v>6</v>
      </c>
      <c r="M200" t="s">
        <v>6</v>
      </c>
      <c r="N200">
        <v>0</v>
      </c>
      <c r="O200">
        <v>0.94</v>
      </c>
    </row>
    <row r="202" spans="1:34" x14ac:dyDescent="0.2">
      <c r="A202">
        <v>-1</v>
      </c>
    </row>
    <row r="204" spans="1:34" x14ac:dyDescent="0.2">
      <c r="A204" s="4">
        <v>75</v>
      </c>
      <c r="B204" s="4" t="s">
        <v>326</v>
      </c>
      <c r="C204" s="4">
        <v>2000</v>
      </c>
      <c r="D204" s="4">
        <v>0</v>
      </c>
      <c r="E204" s="4">
        <v>1</v>
      </c>
      <c r="F204" s="4">
        <v>0</v>
      </c>
      <c r="G204" s="4">
        <v>0</v>
      </c>
      <c r="H204" s="4">
        <v>1</v>
      </c>
      <c r="I204" s="4">
        <v>0</v>
      </c>
      <c r="J204" s="4">
        <v>1</v>
      </c>
      <c r="K204" s="4">
        <v>0</v>
      </c>
      <c r="L204" s="4">
        <v>0</v>
      </c>
      <c r="M204" s="4">
        <v>0</v>
      </c>
      <c r="N204" s="4">
        <v>26914188</v>
      </c>
      <c r="O204" s="4">
        <v>1</v>
      </c>
    </row>
    <row r="205" spans="1:34" x14ac:dyDescent="0.2">
      <c r="A205" s="4">
        <v>75</v>
      </c>
      <c r="B205" s="4" t="s">
        <v>327</v>
      </c>
      <c r="C205" s="4">
        <v>2017</v>
      </c>
      <c r="D205" s="4">
        <v>4</v>
      </c>
      <c r="E205" s="4">
        <v>0</v>
      </c>
      <c r="F205" s="4"/>
      <c r="G205" s="4">
        <v>0</v>
      </c>
      <c r="H205" s="4">
        <v>1</v>
      </c>
      <c r="I205" s="4">
        <v>0</v>
      </c>
      <c r="J205" s="4">
        <v>1</v>
      </c>
      <c r="K205" s="4">
        <v>0</v>
      </c>
      <c r="L205" s="4">
        <v>0</v>
      </c>
      <c r="M205" s="4">
        <v>1</v>
      </c>
      <c r="N205" s="4">
        <v>26914189</v>
      </c>
      <c r="O205" s="4">
        <v>2</v>
      </c>
    </row>
    <row r="206" spans="1:34" x14ac:dyDescent="0.2">
      <c r="A206" s="6">
        <v>3</v>
      </c>
      <c r="B206" s="6" t="s">
        <v>328</v>
      </c>
      <c r="C206" s="6">
        <v>7.7</v>
      </c>
      <c r="D206" s="6">
        <v>1</v>
      </c>
      <c r="E206" s="6">
        <v>1</v>
      </c>
      <c r="F206" s="6">
        <v>1</v>
      </c>
      <c r="G206" s="6">
        <v>1</v>
      </c>
      <c r="H206" s="6">
        <v>3.54</v>
      </c>
      <c r="I206" s="6">
        <v>7.14</v>
      </c>
      <c r="J206" s="6">
        <v>1</v>
      </c>
      <c r="K206" s="6">
        <v>18.690000000000001</v>
      </c>
      <c r="L206" s="6">
        <v>6.31</v>
      </c>
      <c r="M206" s="6">
        <v>7.7</v>
      </c>
      <c r="N206" s="6">
        <v>1</v>
      </c>
      <c r="O206" s="6">
        <v>3.54</v>
      </c>
      <c r="P206" s="6">
        <v>7.14</v>
      </c>
      <c r="Q206" s="6">
        <v>18.690000000000001</v>
      </c>
      <c r="R206" s="6">
        <v>6.31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  <c r="AC206" s="6" t="s">
        <v>6</v>
      </c>
      <c r="AD206" s="6" t="s">
        <v>6</v>
      </c>
      <c r="AE206" s="6" t="s">
        <v>6</v>
      </c>
      <c r="AF206" s="6" t="s">
        <v>6</v>
      </c>
      <c r="AG206" s="6" t="s">
        <v>6</v>
      </c>
      <c r="AH206" s="6" t="s">
        <v>6</v>
      </c>
    </row>
    <row r="210" spans="1:5" x14ac:dyDescent="0.2">
      <c r="A210">
        <v>65</v>
      </c>
      <c r="C210">
        <v>1</v>
      </c>
      <c r="D210">
        <v>0</v>
      </c>
      <c r="E21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329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26914188</v>
      </c>
      <c r="E14" s="1">
        <v>26914189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(Source!F128)/1000</f>
        <v>525.38205000000005</v>
      </c>
      <c r="F16" s="8">
        <f>(Source!F129)/1000</f>
        <v>0</v>
      </c>
      <c r="G16" s="8">
        <f>(Source!F120)/1000</f>
        <v>0</v>
      </c>
      <c r="H16" s="8">
        <f>(Source!F130)/1000+(Source!F131)/1000</f>
        <v>0</v>
      </c>
      <c r="I16" s="8">
        <f>E16+F16+G16+H16</f>
        <v>525.38205000000005</v>
      </c>
      <c r="J16" s="8">
        <f>(Source!F126)/1000</f>
        <v>44.406239999999997</v>
      </c>
      <c r="T16" s="9">
        <f>(Source!P128)/1000</f>
        <v>4045.4418700000001</v>
      </c>
      <c r="U16" s="9">
        <f>(Source!P129)/1000</f>
        <v>0</v>
      </c>
      <c r="V16" s="9">
        <f>(Source!P120)/1000</f>
        <v>0</v>
      </c>
      <c r="W16" s="9">
        <f>(Source!P130)/1000+(Source!P131)/1000</f>
        <v>0</v>
      </c>
      <c r="X16" s="9">
        <f>T16+U16+V16+W16</f>
        <v>4045.4418700000001</v>
      </c>
      <c r="Y16" s="9">
        <f>(Source!P126)/1000</f>
        <v>341.92809999999997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447140.6</v>
      </c>
      <c r="AU16" s="8">
        <v>395844.55</v>
      </c>
      <c r="AV16" s="8">
        <v>0</v>
      </c>
      <c r="AW16" s="8">
        <v>0</v>
      </c>
      <c r="AX16" s="8">
        <v>0</v>
      </c>
      <c r="AY16" s="8">
        <v>6886.48</v>
      </c>
      <c r="AZ16" s="8">
        <v>470.62</v>
      </c>
      <c r="BA16" s="8">
        <v>44409.57</v>
      </c>
      <c r="BB16" s="8">
        <v>526776.28</v>
      </c>
      <c r="BC16" s="8">
        <v>0</v>
      </c>
      <c r="BD16" s="8">
        <v>0</v>
      </c>
      <c r="BE16" s="8">
        <v>0</v>
      </c>
      <c r="BF16" s="8">
        <v>5053.1864370000003</v>
      </c>
      <c r="BG16" s="8">
        <v>40.089899999999993</v>
      </c>
      <c r="BH16" s="8">
        <v>0</v>
      </c>
      <c r="BI16" s="8">
        <v>46757.68</v>
      </c>
      <c r="BJ16" s="8">
        <v>29011.62</v>
      </c>
      <c r="BK16" s="8">
        <v>526776.28</v>
      </c>
      <c r="BR16" s="9">
        <v>3442982.82</v>
      </c>
      <c r="BS16" s="9">
        <v>3048003.07</v>
      </c>
      <c r="BT16" s="9">
        <v>0</v>
      </c>
      <c r="BU16" s="9">
        <v>0</v>
      </c>
      <c r="BV16" s="9">
        <v>0</v>
      </c>
      <c r="BW16" s="9">
        <v>53025.97</v>
      </c>
      <c r="BX16" s="9">
        <v>3623.77</v>
      </c>
      <c r="BY16" s="9">
        <v>341953.78</v>
      </c>
      <c r="BZ16" s="9">
        <v>4056177.53</v>
      </c>
      <c r="CA16" s="9">
        <v>0</v>
      </c>
      <c r="CB16" s="9">
        <v>0</v>
      </c>
      <c r="CC16" s="9">
        <v>0</v>
      </c>
      <c r="CD16" s="9">
        <v>5053.1864370000003</v>
      </c>
      <c r="CE16" s="9">
        <v>40.089899999999993</v>
      </c>
      <c r="CF16" s="9">
        <v>0</v>
      </c>
      <c r="CG16" s="9">
        <v>360034.06</v>
      </c>
      <c r="CH16" s="9">
        <v>223389.56</v>
      </c>
      <c r="CI16" s="9">
        <v>4056177.53</v>
      </c>
    </row>
    <row r="18" spans="1:40" x14ac:dyDescent="0.2">
      <c r="A18">
        <v>51</v>
      </c>
      <c r="E18" s="10">
        <f>SUMIF(A16:A17,3,E16:E17)</f>
        <v>525.38205000000005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525.38205000000005</v>
      </c>
      <c r="J18" s="10">
        <f>SUMIF(A16:A17,3,J16:J17)</f>
        <v>44.406239999999997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4045.4418700000001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4045.4418700000001</v>
      </c>
      <c r="Y18" s="3">
        <f>SUMIF(A16:A17,3,Y16:Y17)</f>
        <v>341.92809999999997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447140.6</v>
      </c>
      <c r="G20" s="5" t="s">
        <v>208</v>
      </c>
      <c r="H20" s="5" t="s">
        <v>209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3442982.82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395844.55</v>
      </c>
      <c r="G21" s="5" t="s">
        <v>210</v>
      </c>
      <c r="H21" s="5" t="s">
        <v>211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3048003.07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212</v>
      </c>
      <c r="H22" s="5" t="s">
        <v>213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395844.55</v>
      </c>
      <c r="G23" s="5" t="s">
        <v>214</v>
      </c>
      <c r="H23" s="5" t="s">
        <v>215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3048003.07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395844.55</v>
      </c>
      <c r="G24" s="5" t="s">
        <v>216</v>
      </c>
      <c r="H24" s="5" t="s">
        <v>217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3048003.07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218</v>
      </c>
      <c r="H25" s="5" t="s">
        <v>219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395844.55</v>
      </c>
      <c r="G26" s="5" t="s">
        <v>220</v>
      </c>
      <c r="H26" s="5" t="s">
        <v>221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3048003.07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222</v>
      </c>
      <c r="H27" s="5" t="s">
        <v>223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224</v>
      </c>
      <c r="H28" s="5" t="s">
        <v>225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226</v>
      </c>
      <c r="H29" s="5" t="s">
        <v>227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6886.48</v>
      </c>
      <c r="G30" s="5" t="s">
        <v>228</v>
      </c>
      <c r="H30" s="5" t="s">
        <v>229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53025.97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230</v>
      </c>
      <c r="H31" s="5" t="s">
        <v>231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470.62</v>
      </c>
      <c r="G32" s="5" t="s">
        <v>232</v>
      </c>
      <c r="H32" s="5" t="s">
        <v>233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3623.77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44409.57</v>
      </c>
      <c r="G33" s="5" t="s">
        <v>234</v>
      </c>
      <c r="H33" s="5" t="s">
        <v>235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341953.78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236</v>
      </c>
      <c r="H34" s="5" t="s">
        <v>237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526776.28</v>
      </c>
      <c r="G35" s="5" t="s">
        <v>238</v>
      </c>
      <c r="H35" s="5" t="s">
        <v>239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4056177.53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240</v>
      </c>
      <c r="H36" s="5" t="s">
        <v>241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242</v>
      </c>
      <c r="H37" s="5" t="s">
        <v>243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244</v>
      </c>
      <c r="H38" s="5" t="s">
        <v>245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246</v>
      </c>
      <c r="H39" s="5" t="s">
        <v>247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5053.1864370000003</v>
      </c>
      <c r="G40" s="5" t="s">
        <v>248</v>
      </c>
      <c r="H40" s="5" t="s">
        <v>249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5053.1864370000003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40.089899999999993</v>
      </c>
      <c r="G41" s="5" t="s">
        <v>250</v>
      </c>
      <c r="H41" s="5" t="s">
        <v>251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40.089899999999993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252</v>
      </c>
      <c r="H42" s="5" t="s">
        <v>253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46757.68</v>
      </c>
      <c r="G43" s="5" t="s">
        <v>254</v>
      </c>
      <c r="H43" s="5" t="s">
        <v>255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360034.06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29011.62</v>
      </c>
      <c r="G44" s="5" t="s">
        <v>256</v>
      </c>
      <c r="H44" s="5" t="s">
        <v>257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223389.56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526776.28</v>
      </c>
      <c r="G45" s="5" t="s">
        <v>258</v>
      </c>
      <c r="H45" s="5" t="s">
        <v>259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4056177.53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526776.28</v>
      </c>
      <c r="G46" s="5" t="s">
        <v>260</v>
      </c>
      <c r="H46" s="5" t="s">
        <v>259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4056177.53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94819.73</v>
      </c>
      <c r="G47" s="5" t="s">
        <v>261</v>
      </c>
      <c r="H47" s="5" t="s">
        <v>262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730111.96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621596.01</v>
      </c>
      <c r="G48" s="5" t="s">
        <v>263</v>
      </c>
      <c r="H48" s="5" t="s">
        <v>264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4786289.49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326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26914188</v>
      </c>
      <c r="O53" s="4">
        <v>1</v>
      </c>
    </row>
    <row r="54" spans="1:34" x14ac:dyDescent="0.2">
      <c r="A54" s="4">
        <v>75</v>
      </c>
      <c r="B54" s="4" t="s">
        <v>327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26914189</v>
      </c>
      <c r="O54" s="4">
        <v>2</v>
      </c>
    </row>
    <row r="55" spans="1:34" x14ac:dyDescent="0.2">
      <c r="A55" s="6">
        <v>3</v>
      </c>
      <c r="B55" s="6" t="s">
        <v>328</v>
      </c>
      <c r="C55" s="6">
        <v>7.7</v>
      </c>
      <c r="D55" s="6">
        <v>1</v>
      </c>
      <c r="E55" s="6">
        <v>1</v>
      </c>
      <c r="F55" s="6">
        <v>1</v>
      </c>
      <c r="G55" s="6">
        <v>1</v>
      </c>
      <c r="H55" s="6">
        <v>3.54</v>
      </c>
      <c r="I55" s="6">
        <v>7.14</v>
      </c>
      <c r="J55" s="6">
        <v>1</v>
      </c>
      <c r="K55" s="6">
        <v>18.690000000000001</v>
      </c>
      <c r="L55" s="6">
        <v>6.31</v>
      </c>
      <c r="M55" s="6">
        <v>7.7</v>
      </c>
      <c r="N55" s="6">
        <v>1</v>
      </c>
      <c r="O55" s="6">
        <v>3.54</v>
      </c>
      <c r="P55" s="6">
        <v>7.14</v>
      </c>
      <c r="Q55" s="6">
        <v>18.690000000000001</v>
      </c>
      <c r="R55" s="6">
        <v>6.31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4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26914188</v>
      </c>
      <c r="C1">
        <v>26914251</v>
      </c>
      <c r="D1">
        <v>25413050</v>
      </c>
      <c r="E1">
        <v>1</v>
      </c>
      <c r="F1">
        <v>1</v>
      </c>
      <c r="G1">
        <v>1</v>
      </c>
      <c r="H1">
        <v>1</v>
      </c>
      <c r="I1" t="s">
        <v>330</v>
      </c>
      <c r="J1" t="s">
        <v>6</v>
      </c>
      <c r="K1" t="s">
        <v>331</v>
      </c>
      <c r="L1">
        <v>1191</v>
      </c>
      <c r="N1">
        <v>1013</v>
      </c>
      <c r="O1" t="s">
        <v>332</v>
      </c>
      <c r="P1" t="s">
        <v>332</v>
      </c>
      <c r="Q1">
        <v>1</v>
      </c>
      <c r="W1">
        <v>0</v>
      </c>
      <c r="X1">
        <v>735429535</v>
      </c>
      <c r="Y1">
        <v>11.39</v>
      </c>
      <c r="AA1">
        <v>0</v>
      </c>
      <c r="AB1">
        <v>0</v>
      </c>
      <c r="AC1">
        <v>0</v>
      </c>
      <c r="AD1">
        <v>7.8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11.39</v>
      </c>
      <c r="AU1" t="s">
        <v>6</v>
      </c>
      <c r="AV1">
        <v>1</v>
      </c>
      <c r="AW1">
        <v>2</v>
      </c>
      <c r="AX1">
        <v>26914256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92.41846000000001</v>
      </c>
      <c r="CY1">
        <f>AD1</f>
        <v>7.8</v>
      </c>
      <c r="CZ1">
        <f>AH1</f>
        <v>7.8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26914188</v>
      </c>
      <c r="C2">
        <v>26914251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333</v>
      </c>
      <c r="J2" t="s">
        <v>6</v>
      </c>
      <c r="K2" t="s">
        <v>334</v>
      </c>
      <c r="L2">
        <v>1191</v>
      </c>
      <c r="N2">
        <v>1013</v>
      </c>
      <c r="O2" t="s">
        <v>332</v>
      </c>
      <c r="P2" t="s">
        <v>332</v>
      </c>
      <c r="Q2">
        <v>1</v>
      </c>
      <c r="W2">
        <v>0</v>
      </c>
      <c r="X2">
        <v>-1417349443</v>
      </c>
      <c r="Y2">
        <v>0.13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0.13</v>
      </c>
      <c r="AU2" t="s">
        <v>6</v>
      </c>
      <c r="AV2">
        <v>2</v>
      </c>
      <c r="AW2">
        <v>2</v>
      </c>
      <c r="AX2">
        <v>26914257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1.0548200000000001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26914188</v>
      </c>
      <c r="C3">
        <v>26914251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335</v>
      </c>
      <c r="J3" t="s">
        <v>336</v>
      </c>
      <c r="K3" t="s">
        <v>337</v>
      </c>
      <c r="L3">
        <v>1368</v>
      </c>
      <c r="N3">
        <v>1011</v>
      </c>
      <c r="O3" t="s">
        <v>338</v>
      </c>
      <c r="P3" t="s">
        <v>338</v>
      </c>
      <c r="Q3">
        <v>1</v>
      </c>
      <c r="W3">
        <v>0</v>
      </c>
      <c r="X3">
        <v>1188625873</v>
      </c>
      <c r="Y3">
        <v>0.13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0.13</v>
      </c>
      <c r="AU3" t="s">
        <v>6</v>
      </c>
      <c r="AV3">
        <v>0</v>
      </c>
      <c r="AW3">
        <v>2</v>
      </c>
      <c r="AX3">
        <v>26914258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1.0548200000000001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ROW(Source!A24)</f>
        <v>24</v>
      </c>
      <c r="B4">
        <v>26914188</v>
      </c>
      <c r="C4">
        <v>26914251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22</v>
      </c>
      <c r="J4" t="s">
        <v>6</v>
      </c>
      <c r="K4" t="s">
        <v>23</v>
      </c>
      <c r="L4">
        <v>1348</v>
      </c>
      <c r="N4">
        <v>1009</v>
      </c>
      <c r="O4" t="s">
        <v>24</v>
      </c>
      <c r="P4" t="s">
        <v>24</v>
      </c>
      <c r="Q4">
        <v>1000</v>
      </c>
      <c r="W4">
        <v>0</v>
      </c>
      <c r="X4">
        <v>-179832266</v>
      </c>
      <c r="Y4">
        <v>0.47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</v>
      </c>
      <c r="AT4">
        <v>0.47</v>
      </c>
      <c r="AU4" t="s">
        <v>6</v>
      </c>
      <c r="AV4">
        <v>0</v>
      </c>
      <c r="AW4">
        <v>2</v>
      </c>
      <c r="AX4">
        <v>26914259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3.81358</v>
      </c>
      <c r="CY4">
        <f>AA4</f>
        <v>0</v>
      </c>
      <c r="CZ4">
        <f>AE4</f>
        <v>0</v>
      </c>
      <c r="DA4">
        <f>AI4</f>
        <v>1</v>
      </c>
      <c r="DB4">
        <v>0</v>
      </c>
    </row>
    <row r="5" spans="1:106" x14ac:dyDescent="0.2">
      <c r="A5">
        <f>ROW(Source!A25)</f>
        <v>25</v>
      </c>
      <c r="B5">
        <v>26914189</v>
      </c>
      <c r="C5">
        <v>26914251</v>
      </c>
      <c r="D5">
        <v>25413050</v>
      </c>
      <c r="E5">
        <v>1</v>
      </c>
      <c r="F5">
        <v>1</v>
      </c>
      <c r="G5">
        <v>1</v>
      </c>
      <c r="H5">
        <v>1</v>
      </c>
      <c r="I5" t="s">
        <v>330</v>
      </c>
      <c r="J5" t="s">
        <v>6</v>
      </c>
      <c r="K5" t="s">
        <v>331</v>
      </c>
      <c r="L5">
        <v>1191</v>
      </c>
      <c r="N5">
        <v>1013</v>
      </c>
      <c r="O5" t="s">
        <v>332</v>
      </c>
      <c r="P5" t="s">
        <v>332</v>
      </c>
      <c r="Q5">
        <v>1</v>
      </c>
      <c r="W5">
        <v>0</v>
      </c>
      <c r="X5">
        <v>735429535</v>
      </c>
      <c r="Y5">
        <v>11.39</v>
      </c>
      <c r="AA5">
        <v>0</v>
      </c>
      <c r="AB5">
        <v>0</v>
      </c>
      <c r="AC5">
        <v>0</v>
      </c>
      <c r="AD5">
        <v>60.06</v>
      </c>
      <c r="AE5">
        <v>0</v>
      </c>
      <c r="AF5">
        <v>0</v>
      </c>
      <c r="AG5">
        <v>0</v>
      </c>
      <c r="AH5">
        <v>7.8</v>
      </c>
      <c r="AI5">
        <v>1</v>
      </c>
      <c r="AJ5">
        <v>1</v>
      </c>
      <c r="AK5">
        <v>1</v>
      </c>
      <c r="AL5">
        <v>7.7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11.39</v>
      </c>
      <c r="AU5" t="s">
        <v>6</v>
      </c>
      <c r="AV5">
        <v>1</v>
      </c>
      <c r="AW5">
        <v>2</v>
      </c>
      <c r="AX5">
        <v>26914256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92.41846000000001</v>
      </c>
      <c r="CY5">
        <f>AD5</f>
        <v>60.06</v>
      </c>
      <c r="CZ5">
        <f>AH5</f>
        <v>7.8</v>
      </c>
      <c r="DA5">
        <f>AL5</f>
        <v>7.7</v>
      </c>
      <c r="DB5">
        <v>0</v>
      </c>
    </row>
    <row r="6" spans="1:106" x14ac:dyDescent="0.2">
      <c r="A6">
        <f>ROW(Source!A25)</f>
        <v>25</v>
      </c>
      <c r="B6">
        <v>26914189</v>
      </c>
      <c r="C6">
        <v>26914251</v>
      </c>
      <c r="D6">
        <v>25412928</v>
      </c>
      <c r="E6">
        <v>1</v>
      </c>
      <c r="F6">
        <v>1</v>
      </c>
      <c r="G6">
        <v>1</v>
      </c>
      <c r="H6">
        <v>1</v>
      </c>
      <c r="I6" t="s">
        <v>333</v>
      </c>
      <c r="J6" t="s">
        <v>6</v>
      </c>
      <c r="K6" t="s">
        <v>334</v>
      </c>
      <c r="L6">
        <v>1191</v>
      </c>
      <c r="N6">
        <v>1013</v>
      </c>
      <c r="O6" t="s">
        <v>332</v>
      </c>
      <c r="P6" t="s">
        <v>332</v>
      </c>
      <c r="Q6">
        <v>1</v>
      </c>
      <c r="W6">
        <v>0</v>
      </c>
      <c r="X6">
        <v>-1417349443</v>
      </c>
      <c r="Y6">
        <v>0.13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7.7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0.13</v>
      </c>
      <c r="AU6" t="s">
        <v>6</v>
      </c>
      <c r="AV6">
        <v>2</v>
      </c>
      <c r="AW6">
        <v>2</v>
      </c>
      <c r="AX6">
        <v>26914257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1.0548200000000001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ROW(Source!A25)</f>
        <v>25</v>
      </c>
      <c r="B7">
        <v>26914189</v>
      </c>
      <c r="C7">
        <v>26914251</v>
      </c>
      <c r="D7">
        <v>25230514</v>
      </c>
      <c r="E7">
        <v>1</v>
      </c>
      <c r="F7">
        <v>1</v>
      </c>
      <c r="G7">
        <v>1</v>
      </c>
      <c r="H7">
        <v>2</v>
      </c>
      <c r="I7" t="s">
        <v>335</v>
      </c>
      <c r="J7" t="s">
        <v>336</v>
      </c>
      <c r="K7" t="s">
        <v>337</v>
      </c>
      <c r="L7">
        <v>1368</v>
      </c>
      <c r="N7">
        <v>1011</v>
      </c>
      <c r="O7" t="s">
        <v>338</v>
      </c>
      <c r="P7" t="s">
        <v>338</v>
      </c>
      <c r="Q7">
        <v>1</v>
      </c>
      <c r="W7">
        <v>0</v>
      </c>
      <c r="X7">
        <v>1188625873</v>
      </c>
      <c r="Y7">
        <v>0.13</v>
      </c>
      <c r="AA7">
        <v>0</v>
      </c>
      <c r="AB7">
        <v>240.7</v>
      </c>
      <c r="AC7">
        <v>13.5</v>
      </c>
      <c r="AD7">
        <v>0</v>
      </c>
      <c r="AE7">
        <v>0</v>
      </c>
      <c r="AF7">
        <v>31.26</v>
      </c>
      <c r="AG7">
        <v>13.5</v>
      </c>
      <c r="AH7">
        <v>0</v>
      </c>
      <c r="AI7">
        <v>1</v>
      </c>
      <c r="AJ7">
        <v>7.7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0.13</v>
      </c>
      <c r="AU7" t="s">
        <v>6</v>
      </c>
      <c r="AV7">
        <v>0</v>
      </c>
      <c r="AW7">
        <v>2</v>
      </c>
      <c r="AX7">
        <v>26914258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1.0548200000000001</v>
      </c>
      <c r="CY7">
        <f>AB7</f>
        <v>240.7</v>
      </c>
      <c r="CZ7">
        <f>AF7</f>
        <v>31.26</v>
      </c>
      <c r="DA7">
        <f>AJ7</f>
        <v>7.7</v>
      </c>
      <c r="DB7">
        <v>0</v>
      </c>
    </row>
    <row r="8" spans="1:106" x14ac:dyDescent="0.2">
      <c r="A8">
        <f>ROW(Source!A25)</f>
        <v>25</v>
      </c>
      <c r="B8">
        <v>26914189</v>
      </c>
      <c r="C8">
        <v>26914251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22</v>
      </c>
      <c r="J8" t="s">
        <v>6</v>
      </c>
      <c r="K8" t="s">
        <v>23</v>
      </c>
      <c r="L8">
        <v>1348</v>
      </c>
      <c r="N8">
        <v>1009</v>
      </c>
      <c r="O8" t="s">
        <v>24</v>
      </c>
      <c r="P8" t="s">
        <v>24</v>
      </c>
      <c r="Q8">
        <v>1000</v>
      </c>
      <c r="W8">
        <v>0</v>
      </c>
      <c r="X8">
        <v>-179832266</v>
      </c>
      <c r="Y8">
        <v>0.47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7.7</v>
      </c>
      <c r="AJ8">
        <v>1</v>
      </c>
      <c r="AK8">
        <v>1</v>
      </c>
      <c r="AL8">
        <v>1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</v>
      </c>
      <c r="AT8">
        <v>0.47</v>
      </c>
      <c r="AU8" t="s">
        <v>6</v>
      </c>
      <c r="AV8">
        <v>0</v>
      </c>
      <c r="AW8">
        <v>2</v>
      </c>
      <c r="AX8">
        <v>26914259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3.81358</v>
      </c>
      <c r="CY8">
        <f>AA8</f>
        <v>0</v>
      </c>
      <c r="CZ8">
        <f>AE8</f>
        <v>0</v>
      </c>
      <c r="DA8">
        <f>AI8</f>
        <v>7.7</v>
      </c>
      <c r="DB8">
        <v>0</v>
      </c>
    </row>
    <row r="9" spans="1:106" x14ac:dyDescent="0.2">
      <c r="A9">
        <f>ROW(Source!A28)</f>
        <v>28</v>
      </c>
      <c r="B9">
        <v>26914188</v>
      </c>
      <c r="C9">
        <v>26914261</v>
      </c>
      <c r="D9">
        <v>25413050</v>
      </c>
      <c r="E9">
        <v>1</v>
      </c>
      <c r="F9">
        <v>1</v>
      </c>
      <c r="G9">
        <v>1</v>
      </c>
      <c r="H9">
        <v>1</v>
      </c>
      <c r="I9" t="s">
        <v>330</v>
      </c>
      <c r="J9" t="s">
        <v>6</v>
      </c>
      <c r="K9" t="s">
        <v>331</v>
      </c>
      <c r="L9">
        <v>1191</v>
      </c>
      <c r="N9">
        <v>1013</v>
      </c>
      <c r="O9" t="s">
        <v>332</v>
      </c>
      <c r="P9" t="s">
        <v>332</v>
      </c>
      <c r="Q9">
        <v>1</v>
      </c>
      <c r="W9">
        <v>0</v>
      </c>
      <c r="X9">
        <v>735429535</v>
      </c>
      <c r="Y9">
        <v>3.77</v>
      </c>
      <c r="AA9">
        <v>0</v>
      </c>
      <c r="AB9">
        <v>0</v>
      </c>
      <c r="AC9">
        <v>0</v>
      </c>
      <c r="AD9">
        <v>7.8</v>
      </c>
      <c r="AE9">
        <v>0</v>
      </c>
      <c r="AF9">
        <v>0</v>
      </c>
      <c r="AG9">
        <v>0</v>
      </c>
      <c r="AH9">
        <v>7.8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3.77</v>
      </c>
      <c r="AU9" t="s">
        <v>6</v>
      </c>
      <c r="AV9">
        <v>1</v>
      </c>
      <c r="AW9">
        <v>2</v>
      </c>
      <c r="AX9">
        <v>26914264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22.077120000000001</v>
      </c>
      <c r="CY9">
        <f>AD9</f>
        <v>7.8</v>
      </c>
      <c r="CZ9">
        <f>AH9</f>
        <v>7.8</v>
      </c>
      <c r="DA9">
        <f>AL9</f>
        <v>1</v>
      </c>
      <c r="DB9">
        <v>0</v>
      </c>
    </row>
    <row r="10" spans="1:106" x14ac:dyDescent="0.2">
      <c r="A10">
        <f>ROW(Source!A28)</f>
        <v>28</v>
      </c>
      <c r="B10">
        <v>26914188</v>
      </c>
      <c r="C10">
        <v>26914261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22</v>
      </c>
      <c r="J10" t="s">
        <v>6</v>
      </c>
      <c r="K10" t="s">
        <v>23</v>
      </c>
      <c r="L10">
        <v>1348</v>
      </c>
      <c r="N10">
        <v>1009</v>
      </c>
      <c r="O10" t="s">
        <v>24</v>
      </c>
      <c r="P10" t="s">
        <v>24</v>
      </c>
      <c r="Q10">
        <v>1000</v>
      </c>
      <c r="W10">
        <v>0</v>
      </c>
      <c r="X10">
        <v>-179832266</v>
      </c>
      <c r="Y10">
        <v>0.11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</v>
      </c>
      <c r="AT10">
        <v>0.11</v>
      </c>
      <c r="AU10" t="s">
        <v>6</v>
      </c>
      <c r="AV10">
        <v>0</v>
      </c>
      <c r="AW10">
        <v>2</v>
      </c>
      <c r="AX10">
        <v>26914265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0.64415999999999995</v>
      </c>
      <c r="CY10">
        <f>AA10</f>
        <v>0</v>
      </c>
      <c r="CZ10">
        <f>AE10</f>
        <v>0</v>
      </c>
      <c r="DA10">
        <f>AI10</f>
        <v>1</v>
      </c>
      <c r="DB10">
        <v>0</v>
      </c>
    </row>
    <row r="11" spans="1:106" x14ac:dyDescent="0.2">
      <c r="A11">
        <f>ROW(Source!A29)</f>
        <v>29</v>
      </c>
      <c r="B11">
        <v>26914189</v>
      </c>
      <c r="C11">
        <v>26914261</v>
      </c>
      <c r="D11">
        <v>25413050</v>
      </c>
      <c r="E11">
        <v>1</v>
      </c>
      <c r="F11">
        <v>1</v>
      </c>
      <c r="G11">
        <v>1</v>
      </c>
      <c r="H11">
        <v>1</v>
      </c>
      <c r="I11" t="s">
        <v>330</v>
      </c>
      <c r="J11" t="s">
        <v>6</v>
      </c>
      <c r="K11" t="s">
        <v>331</v>
      </c>
      <c r="L11">
        <v>1191</v>
      </c>
      <c r="N11">
        <v>1013</v>
      </c>
      <c r="O11" t="s">
        <v>332</v>
      </c>
      <c r="P11" t="s">
        <v>332</v>
      </c>
      <c r="Q11">
        <v>1</v>
      </c>
      <c r="W11">
        <v>0</v>
      </c>
      <c r="X11">
        <v>735429535</v>
      </c>
      <c r="Y11">
        <v>3.77</v>
      </c>
      <c r="AA11">
        <v>0</v>
      </c>
      <c r="AB11">
        <v>0</v>
      </c>
      <c r="AC11">
        <v>0</v>
      </c>
      <c r="AD11">
        <v>60.06</v>
      </c>
      <c r="AE11">
        <v>0</v>
      </c>
      <c r="AF11">
        <v>0</v>
      </c>
      <c r="AG11">
        <v>0</v>
      </c>
      <c r="AH11">
        <v>7.8</v>
      </c>
      <c r="AI11">
        <v>1</v>
      </c>
      <c r="AJ11">
        <v>1</v>
      </c>
      <c r="AK11">
        <v>1</v>
      </c>
      <c r="AL11">
        <v>7.7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3.77</v>
      </c>
      <c r="AU11" t="s">
        <v>6</v>
      </c>
      <c r="AV11">
        <v>1</v>
      </c>
      <c r="AW11">
        <v>2</v>
      </c>
      <c r="AX11">
        <v>26914264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22.077120000000001</v>
      </c>
      <c r="CY11">
        <f>AD11</f>
        <v>60.06</v>
      </c>
      <c r="CZ11">
        <f>AH11</f>
        <v>7.8</v>
      </c>
      <c r="DA11">
        <f>AL11</f>
        <v>7.7</v>
      </c>
      <c r="DB11">
        <v>0</v>
      </c>
    </row>
    <row r="12" spans="1:106" x14ac:dyDescent="0.2">
      <c r="A12">
        <f>ROW(Source!A29)</f>
        <v>29</v>
      </c>
      <c r="B12">
        <v>26914189</v>
      </c>
      <c r="C12">
        <v>26914261</v>
      </c>
      <c r="D12">
        <v>25147242</v>
      </c>
      <c r="E12">
        <v>17</v>
      </c>
      <c r="F12">
        <v>1</v>
      </c>
      <c r="G12">
        <v>1</v>
      </c>
      <c r="H12">
        <v>3</v>
      </c>
      <c r="I12" t="s">
        <v>22</v>
      </c>
      <c r="J12" t="s">
        <v>6</v>
      </c>
      <c r="K12" t="s">
        <v>23</v>
      </c>
      <c r="L12">
        <v>1348</v>
      </c>
      <c r="N12">
        <v>1009</v>
      </c>
      <c r="O12" t="s">
        <v>24</v>
      </c>
      <c r="P12" t="s">
        <v>24</v>
      </c>
      <c r="Q12">
        <v>1000</v>
      </c>
      <c r="W12">
        <v>0</v>
      </c>
      <c r="X12">
        <v>-179832266</v>
      </c>
      <c r="Y12">
        <v>0.11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7.7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</v>
      </c>
      <c r="AT12">
        <v>0.11</v>
      </c>
      <c r="AU12" t="s">
        <v>6</v>
      </c>
      <c r="AV12">
        <v>0</v>
      </c>
      <c r="AW12">
        <v>2</v>
      </c>
      <c r="AX12">
        <v>26914265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0.64415999999999995</v>
      </c>
      <c r="CY12">
        <f>AA12</f>
        <v>0</v>
      </c>
      <c r="CZ12">
        <f>AE12</f>
        <v>0</v>
      </c>
      <c r="DA12">
        <f>AI12</f>
        <v>7.7</v>
      </c>
      <c r="DB12">
        <v>0</v>
      </c>
    </row>
    <row r="13" spans="1:106" x14ac:dyDescent="0.2">
      <c r="A13">
        <f>ROW(Source!A32)</f>
        <v>32</v>
      </c>
      <c r="B13">
        <v>26914188</v>
      </c>
      <c r="C13">
        <v>26914267</v>
      </c>
      <c r="D13">
        <v>25413300</v>
      </c>
      <c r="E13">
        <v>1</v>
      </c>
      <c r="F13">
        <v>1</v>
      </c>
      <c r="G13">
        <v>1</v>
      </c>
      <c r="H13">
        <v>1</v>
      </c>
      <c r="I13" t="s">
        <v>339</v>
      </c>
      <c r="J13" t="s">
        <v>6</v>
      </c>
      <c r="K13" t="s">
        <v>340</v>
      </c>
      <c r="L13">
        <v>1191</v>
      </c>
      <c r="N13">
        <v>1013</v>
      </c>
      <c r="O13" t="s">
        <v>332</v>
      </c>
      <c r="P13" t="s">
        <v>332</v>
      </c>
      <c r="Q13">
        <v>1</v>
      </c>
      <c r="W13">
        <v>0</v>
      </c>
      <c r="X13">
        <v>-400197608</v>
      </c>
      <c r="Y13">
        <v>111.2</v>
      </c>
      <c r="AA13">
        <v>0</v>
      </c>
      <c r="AB13">
        <v>0</v>
      </c>
      <c r="AC13">
        <v>0</v>
      </c>
      <c r="AD13">
        <v>8.5299999999999994</v>
      </c>
      <c r="AE13">
        <v>0</v>
      </c>
      <c r="AF13">
        <v>0</v>
      </c>
      <c r="AG13">
        <v>0</v>
      </c>
      <c r="AH13">
        <v>8.5299999999999994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111.2</v>
      </c>
      <c r="AU13" t="s">
        <v>6</v>
      </c>
      <c r="AV13">
        <v>1</v>
      </c>
      <c r="AW13">
        <v>2</v>
      </c>
      <c r="AX13">
        <v>26914274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902.27680000000009</v>
      </c>
      <c r="CY13">
        <f>AD13</f>
        <v>8.5299999999999994</v>
      </c>
      <c r="CZ13">
        <f>AH13</f>
        <v>8.5299999999999994</v>
      </c>
      <c r="DA13">
        <f>AL13</f>
        <v>1</v>
      </c>
      <c r="DB13">
        <v>0</v>
      </c>
    </row>
    <row r="14" spans="1:106" x14ac:dyDescent="0.2">
      <c r="A14">
        <f>ROW(Source!A32)</f>
        <v>32</v>
      </c>
      <c r="B14">
        <v>26914188</v>
      </c>
      <c r="C14">
        <v>26914267</v>
      </c>
      <c r="D14">
        <v>25412928</v>
      </c>
      <c r="E14">
        <v>1</v>
      </c>
      <c r="F14">
        <v>1</v>
      </c>
      <c r="G14">
        <v>1</v>
      </c>
      <c r="H14">
        <v>1</v>
      </c>
      <c r="I14" t="s">
        <v>333</v>
      </c>
      <c r="J14" t="s">
        <v>6</v>
      </c>
      <c r="K14" t="s">
        <v>334</v>
      </c>
      <c r="L14">
        <v>1191</v>
      </c>
      <c r="N14">
        <v>1013</v>
      </c>
      <c r="O14" t="s">
        <v>332</v>
      </c>
      <c r="P14" t="s">
        <v>332</v>
      </c>
      <c r="Q14">
        <v>1</v>
      </c>
      <c r="W14">
        <v>0</v>
      </c>
      <c r="X14">
        <v>-1417349443</v>
      </c>
      <c r="Y14">
        <v>1.8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1.8</v>
      </c>
      <c r="AU14" t="s">
        <v>6</v>
      </c>
      <c r="AV14">
        <v>2</v>
      </c>
      <c r="AW14">
        <v>2</v>
      </c>
      <c r="AX14">
        <v>26914275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14.605200000000002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ROW(Source!A32)</f>
        <v>32</v>
      </c>
      <c r="B15">
        <v>26914188</v>
      </c>
      <c r="C15">
        <v>26914267</v>
      </c>
      <c r="D15">
        <v>25230514</v>
      </c>
      <c r="E15">
        <v>1</v>
      </c>
      <c r="F15">
        <v>1</v>
      </c>
      <c r="G15">
        <v>1</v>
      </c>
      <c r="H15">
        <v>2</v>
      </c>
      <c r="I15" t="s">
        <v>335</v>
      </c>
      <c r="J15" t="s">
        <v>336</v>
      </c>
      <c r="K15" t="s">
        <v>337</v>
      </c>
      <c r="L15">
        <v>1368</v>
      </c>
      <c r="N15">
        <v>1011</v>
      </c>
      <c r="O15" t="s">
        <v>338</v>
      </c>
      <c r="P15" t="s">
        <v>338</v>
      </c>
      <c r="Q15">
        <v>1</v>
      </c>
      <c r="W15">
        <v>0</v>
      </c>
      <c r="X15">
        <v>1188625873</v>
      </c>
      <c r="Y15">
        <v>1.8</v>
      </c>
      <c r="AA15">
        <v>0</v>
      </c>
      <c r="AB15">
        <v>31.26</v>
      </c>
      <c r="AC15">
        <v>13.5</v>
      </c>
      <c r="AD15">
        <v>0</v>
      </c>
      <c r="AE15">
        <v>0</v>
      </c>
      <c r="AF15">
        <v>31.26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1.8</v>
      </c>
      <c r="AU15" t="s">
        <v>6</v>
      </c>
      <c r="AV15">
        <v>0</v>
      </c>
      <c r="AW15">
        <v>2</v>
      </c>
      <c r="AX15">
        <v>26914276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14.605200000000002</v>
      </c>
      <c r="CY15">
        <f>AB15</f>
        <v>31.26</v>
      </c>
      <c r="CZ15">
        <f>AF15</f>
        <v>31.26</v>
      </c>
      <c r="DA15">
        <f>AJ15</f>
        <v>1</v>
      </c>
      <c r="DB15">
        <v>0</v>
      </c>
    </row>
    <row r="16" spans="1:106" x14ac:dyDescent="0.2">
      <c r="A16">
        <f>ROW(Source!A32)</f>
        <v>32</v>
      </c>
      <c r="B16">
        <v>26914188</v>
      </c>
      <c r="C16">
        <v>26914267</v>
      </c>
      <c r="D16">
        <v>25231936</v>
      </c>
      <c r="E16">
        <v>1</v>
      </c>
      <c r="F16">
        <v>1</v>
      </c>
      <c r="G16">
        <v>1</v>
      </c>
      <c r="H16">
        <v>2</v>
      </c>
      <c r="I16" t="s">
        <v>341</v>
      </c>
      <c r="J16" t="s">
        <v>342</v>
      </c>
      <c r="K16" t="s">
        <v>343</v>
      </c>
      <c r="L16">
        <v>1368</v>
      </c>
      <c r="N16">
        <v>1011</v>
      </c>
      <c r="O16" t="s">
        <v>338</v>
      </c>
      <c r="P16" t="s">
        <v>338</v>
      </c>
      <c r="Q16">
        <v>1</v>
      </c>
      <c r="W16">
        <v>0</v>
      </c>
      <c r="X16">
        <v>-2111251057</v>
      </c>
      <c r="Y16">
        <v>19.2</v>
      </c>
      <c r="AA16">
        <v>0</v>
      </c>
      <c r="AB16">
        <v>32.5</v>
      </c>
      <c r="AC16">
        <v>0</v>
      </c>
      <c r="AD16">
        <v>0</v>
      </c>
      <c r="AE16">
        <v>0</v>
      </c>
      <c r="AF16">
        <v>32.5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19.2</v>
      </c>
      <c r="AU16" t="s">
        <v>6</v>
      </c>
      <c r="AV16">
        <v>0</v>
      </c>
      <c r="AW16">
        <v>2</v>
      </c>
      <c r="AX16">
        <v>26914277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155.78880000000001</v>
      </c>
      <c r="CY16">
        <f>AB16</f>
        <v>32.5</v>
      </c>
      <c r="CZ16">
        <f>AF16</f>
        <v>32.5</v>
      </c>
      <c r="DA16">
        <f>AJ16</f>
        <v>1</v>
      </c>
      <c r="DB16">
        <v>0</v>
      </c>
    </row>
    <row r="17" spans="1:106" x14ac:dyDescent="0.2">
      <c r="A17">
        <f>ROW(Source!A32)</f>
        <v>32</v>
      </c>
      <c r="B17">
        <v>26914188</v>
      </c>
      <c r="C17">
        <v>26914267</v>
      </c>
      <c r="D17">
        <v>25232531</v>
      </c>
      <c r="E17">
        <v>1</v>
      </c>
      <c r="F17">
        <v>1</v>
      </c>
      <c r="G17">
        <v>1</v>
      </c>
      <c r="H17">
        <v>2</v>
      </c>
      <c r="I17" t="s">
        <v>344</v>
      </c>
      <c r="J17" t="s">
        <v>345</v>
      </c>
      <c r="K17" t="s">
        <v>346</v>
      </c>
      <c r="L17">
        <v>1368</v>
      </c>
      <c r="N17">
        <v>1011</v>
      </c>
      <c r="O17" t="s">
        <v>338</v>
      </c>
      <c r="P17" t="s">
        <v>338</v>
      </c>
      <c r="Q17">
        <v>1</v>
      </c>
      <c r="W17">
        <v>0</v>
      </c>
      <c r="X17">
        <v>1518765163</v>
      </c>
      <c r="Y17">
        <v>38.4</v>
      </c>
      <c r="AA17">
        <v>0</v>
      </c>
      <c r="AB17">
        <v>1.53</v>
      </c>
      <c r="AC17">
        <v>0</v>
      </c>
      <c r="AD17">
        <v>0</v>
      </c>
      <c r="AE17">
        <v>0</v>
      </c>
      <c r="AF17">
        <v>1.53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38.4</v>
      </c>
      <c r="AU17" t="s">
        <v>6</v>
      </c>
      <c r="AV17">
        <v>0</v>
      </c>
      <c r="AW17">
        <v>2</v>
      </c>
      <c r="AX17">
        <v>26914278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311.57760000000002</v>
      </c>
      <c r="CY17">
        <f>AB17</f>
        <v>1.53</v>
      </c>
      <c r="CZ17">
        <f>AF17</f>
        <v>1.53</v>
      </c>
      <c r="DA17">
        <f>AJ17</f>
        <v>1</v>
      </c>
      <c r="DB17">
        <v>0</v>
      </c>
    </row>
    <row r="18" spans="1:106" x14ac:dyDescent="0.2">
      <c r="A18">
        <f>ROW(Source!A32)</f>
        <v>32</v>
      </c>
      <c r="B18">
        <v>26914188</v>
      </c>
      <c r="C18">
        <v>26914267</v>
      </c>
      <c r="D18">
        <v>25147242</v>
      </c>
      <c r="E18">
        <v>17</v>
      </c>
      <c r="F18">
        <v>1</v>
      </c>
      <c r="G18">
        <v>1</v>
      </c>
      <c r="H18">
        <v>3</v>
      </c>
      <c r="I18" t="s">
        <v>22</v>
      </c>
      <c r="J18" t="s">
        <v>6</v>
      </c>
      <c r="K18" t="s">
        <v>23</v>
      </c>
      <c r="L18">
        <v>1348</v>
      </c>
      <c r="N18">
        <v>1009</v>
      </c>
      <c r="O18" t="s">
        <v>24</v>
      </c>
      <c r="P18" t="s">
        <v>24</v>
      </c>
      <c r="Q18">
        <v>1000</v>
      </c>
      <c r="W18">
        <v>0</v>
      </c>
      <c r="X18">
        <v>-179832266</v>
      </c>
      <c r="Y18">
        <v>6.6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</v>
      </c>
      <c r="AT18">
        <v>6.6</v>
      </c>
      <c r="AU18" t="s">
        <v>6</v>
      </c>
      <c r="AV18">
        <v>0</v>
      </c>
      <c r="AW18">
        <v>2</v>
      </c>
      <c r="AX18">
        <v>26914279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53.552399999999999</v>
      </c>
      <c r="CY18">
        <f>AA18</f>
        <v>0</v>
      </c>
      <c r="CZ18">
        <f>AE18</f>
        <v>0</v>
      </c>
      <c r="DA18">
        <f>AI18</f>
        <v>1</v>
      </c>
      <c r="DB18">
        <v>0</v>
      </c>
    </row>
    <row r="19" spans="1:106" x14ac:dyDescent="0.2">
      <c r="A19">
        <f>ROW(Source!A33)</f>
        <v>33</v>
      </c>
      <c r="B19">
        <v>26914189</v>
      </c>
      <c r="C19">
        <v>26914267</v>
      </c>
      <c r="D19">
        <v>25413300</v>
      </c>
      <c r="E19">
        <v>1</v>
      </c>
      <c r="F19">
        <v>1</v>
      </c>
      <c r="G19">
        <v>1</v>
      </c>
      <c r="H19">
        <v>1</v>
      </c>
      <c r="I19" t="s">
        <v>339</v>
      </c>
      <c r="J19" t="s">
        <v>6</v>
      </c>
      <c r="K19" t="s">
        <v>340</v>
      </c>
      <c r="L19">
        <v>1191</v>
      </c>
      <c r="N19">
        <v>1013</v>
      </c>
      <c r="O19" t="s">
        <v>332</v>
      </c>
      <c r="P19" t="s">
        <v>332</v>
      </c>
      <c r="Q19">
        <v>1</v>
      </c>
      <c r="W19">
        <v>0</v>
      </c>
      <c r="X19">
        <v>-400197608</v>
      </c>
      <c r="Y19">
        <v>111.2</v>
      </c>
      <c r="AA19">
        <v>0</v>
      </c>
      <c r="AB19">
        <v>0</v>
      </c>
      <c r="AC19">
        <v>0</v>
      </c>
      <c r="AD19">
        <v>65.680000000000007</v>
      </c>
      <c r="AE19">
        <v>0</v>
      </c>
      <c r="AF19">
        <v>0</v>
      </c>
      <c r="AG19">
        <v>0</v>
      </c>
      <c r="AH19">
        <v>8.5299999999999994</v>
      </c>
      <c r="AI19">
        <v>1</v>
      </c>
      <c r="AJ19">
        <v>1</v>
      </c>
      <c r="AK19">
        <v>1</v>
      </c>
      <c r="AL19">
        <v>7.7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111.2</v>
      </c>
      <c r="AU19" t="s">
        <v>6</v>
      </c>
      <c r="AV19">
        <v>1</v>
      </c>
      <c r="AW19">
        <v>2</v>
      </c>
      <c r="AX19">
        <v>26914274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902.27680000000009</v>
      </c>
      <c r="CY19">
        <f>AD19</f>
        <v>65.680000000000007</v>
      </c>
      <c r="CZ19">
        <f>AH19</f>
        <v>8.5299999999999994</v>
      </c>
      <c r="DA19">
        <f>AL19</f>
        <v>7.7</v>
      </c>
      <c r="DB19">
        <v>0</v>
      </c>
    </row>
    <row r="20" spans="1:106" x14ac:dyDescent="0.2">
      <c r="A20">
        <f>ROW(Source!A33)</f>
        <v>33</v>
      </c>
      <c r="B20">
        <v>26914189</v>
      </c>
      <c r="C20">
        <v>26914267</v>
      </c>
      <c r="D20">
        <v>25412928</v>
      </c>
      <c r="E20">
        <v>1</v>
      </c>
      <c r="F20">
        <v>1</v>
      </c>
      <c r="G20">
        <v>1</v>
      </c>
      <c r="H20">
        <v>1</v>
      </c>
      <c r="I20" t="s">
        <v>333</v>
      </c>
      <c r="J20" t="s">
        <v>6</v>
      </c>
      <c r="K20" t="s">
        <v>334</v>
      </c>
      <c r="L20">
        <v>1191</v>
      </c>
      <c r="N20">
        <v>1013</v>
      </c>
      <c r="O20" t="s">
        <v>332</v>
      </c>
      <c r="P20" t="s">
        <v>332</v>
      </c>
      <c r="Q20">
        <v>1</v>
      </c>
      <c r="W20">
        <v>0</v>
      </c>
      <c r="X20">
        <v>-1417349443</v>
      </c>
      <c r="Y20">
        <v>1.8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7.7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1.8</v>
      </c>
      <c r="AU20" t="s">
        <v>6</v>
      </c>
      <c r="AV20">
        <v>2</v>
      </c>
      <c r="AW20">
        <v>2</v>
      </c>
      <c r="AX20">
        <v>26914275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Y20*Source!I33</f>
        <v>14.605200000000002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ROW(Source!A33)</f>
        <v>33</v>
      </c>
      <c r="B21">
        <v>26914189</v>
      </c>
      <c r="C21">
        <v>26914267</v>
      </c>
      <c r="D21">
        <v>25230514</v>
      </c>
      <c r="E21">
        <v>1</v>
      </c>
      <c r="F21">
        <v>1</v>
      </c>
      <c r="G21">
        <v>1</v>
      </c>
      <c r="H21">
        <v>2</v>
      </c>
      <c r="I21" t="s">
        <v>335</v>
      </c>
      <c r="J21" t="s">
        <v>336</v>
      </c>
      <c r="K21" t="s">
        <v>337</v>
      </c>
      <c r="L21">
        <v>1368</v>
      </c>
      <c r="N21">
        <v>1011</v>
      </c>
      <c r="O21" t="s">
        <v>338</v>
      </c>
      <c r="P21" t="s">
        <v>338</v>
      </c>
      <c r="Q21">
        <v>1</v>
      </c>
      <c r="W21">
        <v>0</v>
      </c>
      <c r="X21">
        <v>1188625873</v>
      </c>
      <c r="Y21">
        <v>1.8</v>
      </c>
      <c r="AA21">
        <v>0</v>
      </c>
      <c r="AB21">
        <v>240.7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7.7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1.8</v>
      </c>
      <c r="AU21" t="s">
        <v>6</v>
      </c>
      <c r="AV21">
        <v>0</v>
      </c>
      <c r="AW21">
        <v>2</v>
      </c>
      <c r="AX21">
        <v>26914276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14.605200000000002</v>
      </c>
      <c r="CY21">
        <f>AB21</f>
        <v>240.7</v>
      </c>
      <c r="CZ21">
        <f>AF21</f>
        <v>31.26</v>
      </c>
      <c r="DA21">
        <f>AJ21</f>
        <v>7.7</v>
      </c>
      <c r="DB21">
        <v>0</v>
      </c>
    </row>
    <row r="22" spans="1:106" x14ac:dyDescent="0.2">
      <c r="A22">
        <f>ROW(Source!A33)</f>
        <v>33</v>
      </c>
      <c r="B22">
        <v>26914189</v>
      </c>
      <c r="C22">
        <v>26914267</v>
      </c>
      <c r="D22">
        <v>25231936</v>
      </c>
      <c r="E22">
        <v>1</v>
      </c>
      <c r="F22">
        <v>1</v>
      </c>
      <c r="G22">
        <v>1</v>
      </c>
      <c r="H22">
        <v>2</v>
      </c>
      <c r="I22" t="s">
        <v>341</v>
      </c>
      <c r="J22" t="s">
        <v>342</v>
      </c>
      <c r="K22" t="s">
        <v>343</v>
      </c>
      <c r="L22">
        <v>1368</v>
      </c>
      <c r="N22">
        <v>1011</v>
      </c>
      <c r="O22" t="s">
        <v>338</v>
      </c>
      <c r="P22" t="s">
        <v>338</v>
      </c>
      <c r="Q22">
        <v>1</v>
      </c>
      <c r="W22">
        <v>0</v>
      </c>
      <c r="X22">
        <v>-2111251057</v>
      </c>
      <c r="Y22">
        <v>19.2</v>
      </c>
      <c r="AA22">
        <v>0</v>
      </c>
      <c r="AB22">
        <v>250.25</v>
      </c>
      <c r="AC22">
        <v>0</v>
      </c>
      <c r="AD22">
        <v>0</v>
      </c>
      <c r="AE22">
        <v>0</v>
      </c>
      <c r="AF22">
        <v>32.5</v>
      </c>
      <c r="AG22">
        <v>0</v>
      </c>
      <c r="AH22">
        <v>0</v>
      </c>
      <c r="AI22">
        <v>1</v>
      </c>
      <c r="AJ22">
        <v>7.7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19.2</v>
      </c>
      <c r="AU22" t="s">
        <v>6</v>
      </c>
      <c r="AV22">
        <v>0</v>
      </c>
      <c r="AW22">
        <v>2</v>
      </c>
      <c r="AX22">
        <v>26914277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155.78880000000001</v>
      </c>
      <c r="CY22">
        <f>AB22</f>
        <v>250.25</v>
      </c>
      <c r="CZ22">
        <f>AF22</f>
        <v>32.5</v>
      </c>
      <c r="DA22">
        <f>AJ22</f>
        <v>7.7</v>
      </c>
      <c r="DB22">
        <v>0</v>
      </c>
    </row>
    <row r="23" spans="1:106" x14ac:dyDescent="0.2">
      <c r="A23">
        <f>ROW(Source!A33)</f>
        <v>33</v>
      </c>
      <c r="B23">
        <v>26914189</v>
      </c>
      <c r="C23">
        <v>26914267</v>
      </c>
      <c r="D23">
        <v>25232531</v>
      </c>
      <c r="E23">
        <v>1</v>
      </c>
      <c r="F23">
        <v>1</v>
      </c>
      <c r="G23">
        <v>1</v>
      </c>
      <c r="H23">
        <v>2</v>
      </c>
      <c r="I23" t="s">
        <v>344</v>
      </c>
      <c r="J23" t="s">
        <v>345</v>
      </c>
      <c r="K23" t="s">
        <v>346</v>
      </c>
      <c r="L23">
        <v>1368</v>
      </c>
      <c r="N23">
        <v>1011</v>
      </c>
      <c r="O23" t="s">
        <v>338</v>
      </c>
      <c r="P23" t="s">
        <v>338</v>
      </c>
      <c r="Q23">
        <v>1</v>
      </c>
      <c r="W23">
        <v>0</v>
      </c>
      <c r="X23">
        <v>1518765163</v>
      </c>
      <c r="Y23">
        <v>38.4</v>
      </c>
      <c r="AA23">
        <v>0</v>
      </c>
      <c r="AB23">
        <v>11.78</v>
      </c>
      <c r="AC23">
        <v>0</v>
      </c>
      <c r="AD23">
        <v>0</v>
      </c>
      <c r="AE23">
        <v>0</v>
      </c>
      <c r="AF23">
        <v>1.53</v>
      </c>
      <c r="AG23">
        <v>0</v>
      </c>
      <c r="AH23">
        <v>0</v>
      </c>
      <c r="AI23">
        <v>1</v>
      </c>
      <c r="AJ23">
        <v>7.7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38.4</v>
      </c>
      <c r="AU23" t="s">
        <v>6</v>
      </c>
      <c r="AV23">
        <v>0</v>
      </c>
      <c r="AW23">
        <v>2</v>
      </c>
      <c r="AX23">
        <v>26914278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Y23*Source!I33</f>
        <v>311.57760000000002</v>
      </c>
      <c r="CY23">
        <f>AB23</f>
        <v>11.78</v>
      </c>
      <c r="CZ23">
        <f>AF23</f>
        <v>1.53</v>
      </c>
      <c r="DA23">
        <f>AJ23</f>
        <v>7.7</v>
      </c>
      <c r="DB23">
        <v>0</v>
      </c>
    </row>
    <row r="24" spans="1:106" x14ac:dyDescent="0.2">
      <c r="A24">
        <f>ROW(Source!A33)</f>
        <v>33</v>
      </c>
      <c r="B24">
        <v>26914189</v>
      </c>
      <c r="C24">
        <v>26914267</v>
      </c>
      <c r="D24">
        <v>25147242</v>
      </c>
      <c r="E24">
        <v>17</v>
      </c>
      <c r="F24">
        <v>1</v>
      </c>
      <c r="G24">
        <v>1</v>
      </c>
      <c r="H24">
        <v>3</v>
      </c>
      <c r="I24" t="s">
        <v>22</v>
      </c>
      <c r="J24" t="s">
        <v>6</v>
      </c>
      <c r="K24" t="s">
        <v>23</v>
      </c>
      <c r="L24">
        <v>1348</v>
      </c>
      <c r="N24">
        <v>1009</v>
      </c>
      <c r="O24" t="s">
        <v>24</v>
      </c>
      <c r="P24" t="s">
        <v>24</v>
      </c>
      <c r="Q24">
        <v>1000</v>
      </c>
      <c r="W24">
        <v>0</v>
      </c>
      <c r="X24">
        <v>-179832266</v>
      </c>
      <c r="Y24">
        <v>6.6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7.7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</v>
      </c>
      <c r="AT24">
        <v>6.6</v>
      </c>
      <c r="AU24" t="s">
        <v>6</v>
      </c>
      <c r="AV24">
        <v>0</v>
      </c>
      <c r="AW24">
        <v>2</v>
      </c>
      <c r="AX24">
        <v>26914279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53.552399999999999</v>
      </c>
      <c r="CY24">
        <f>AA24</f>
        <v>0</v>
      </c>
      <c r="CZ24">
        <f>AE24</f>
        <v>0</v>
      </c>
      <c r="DA24">
        <f>AI24</f>
        <v>7.7</v>
      </c>
      <c r="DB24">
        <v>0</v>
      </c>
    </row>
    <row r="25" spans="1:106" x14ac:dyDescent="0.2">
      <c r="A25">
        <f>ROW(Source!A36)</f>
        <v>36</v>
      </c>
      <c r="B25">
        <v>26914188</v>
      </c>
      <c r="C25">
        <v>26914281</v>
      </c>
      <c r="D25">
        <v>25418228</v>
      </c>
      <c r="E25">
        <v>1</v>
      </c>
      <c r="F25">
        <v>1</v>
      </c>
      <c r="G25">
        <v>1</v>
      </c>
      <c r="H25">
        <v>1</v>
      </c>
      <c r="I25" t="s">
        <v>347</v>
      </c>
      <c r="J25" t="s">
        <v>6</v>
      </c>
      <c r="K25" t="s">
        <v>348</v>
      </c>
      <c r="L25">
        <v>1191</v>
      </c>
      <c r="N25">
        <v>1013</v>
      </c>
      <c r="O25" t="s">
        <v>332</v>
      </c>
      <c r="P25" t="s">
        <v>332</v>
      </c>
      <c r="Q25">
        <v>1</v>
      </c>
      <c r="W25">
        <v>0</v>
      </c>
      <c r="X25">
        <v>1881689430</v>
      </c>
      <c r="Y25">
        <v>31.015499999999996</v>
      </c>
      <c r="AA25">
        <v>0</v>
      </c>
      <c r="AB25">
        <v>0</v>
      </c>
      <c r="AC25">
        <v>0</v>
      </c>
      <c r="AD25">
        <v>10.94</v>
      </c>
      <c r="AE25">
        <v>0</v>
      </c>
      <c r="AF25">
        <v>0</v>
      </c>
      <c r="AG25">
        <v>0</v>
      </c>
      <c r="AH25">
        <v>10.94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26.97</v>
      </c>
      <c r="AU25" t="s">
        <v>41</v>
      </c>
      <c r="AV25">
        <v>1</v>
      </c>
      <c r="AW25">
        <v>2</v>
      </c>
      <c r="AX25">
        <v>26914292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Y25*Source!I36</f>
        <v>251.65976699999999</v>
      </c>
      <c r="CY25">
        <f>AD25</f>
        <v>10.94</v>
      </c>
      <c r="CZ25">
        <f>AH25</f>
        <v>10.94</v>
      </c>
      <c r="DA25">
        <f>AL25</f>
        <v>1</v>
      </c>
      <c r="DB25">
        <v>0</v>
      </c>
    </row>
    <row r="26" spans="1:106" x14ac:dyDescent="0.2">
      <c r="A26">
        <f>ROW(Source!A36)</f>
        <v>36</v>
      </c>
      <c r="B26">
        <v>26914188</v>
      </c>
      <c r="C26">
        <v>26914281</v>
      </c>
      <c r="D26">
        <v>25412928</v>
      </c>
      <c r="E26">
        <v>1</v>
      </c>
      <c r="F26">
        <v>1</v>
      </c>
      <c r="G26">
        <v>1</v>
      </c>
      <c r="H26">
        <v>1</v>
      </c>
      <c r="I26" t="s">
        <v>333</v>
      </c>
      <c r="J26" t="s">
        <v>6</v>
      </c>
      <c r="K26" t="s">
        <v>334</v>
      </c>
      <c r="L26">
        <v>1191</v>
      </c>
      <c r="N26">
        <v>1013</v>
      </c>
      <c r="O26" t="s">
        <v>332</v>
      </c>
      <c r="P26" t="s">
        <v>332</v>
      </c>
      <c r="Q26">
        <v>1</v>
      </c>
      <c r="W26">
        <v>0</v>
      </c>
      <c r="X26">
        <v>-1417349443</v>
      </c>
      <c r="Y26">
        <v>7.0000000000000007E-2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7.0000000000000007E-2</v>
      </c>
      <c r="AU26" t="s">
        <v>6</v>
      </c>
      <c r="AV26">
        <v>2</v>
      </c>
      <c r="AW26">
        <v>2</v>
      </c>
      <c r="AX26">
        <v>26914293</v>
      </c>
      <c r="AY26">
        <v>1</v>
      </c>
      <c r="AZ26">
        <v>2048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Y26*Source!I36</f>
        <v>0.56798000000000015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ROW(Source!A36)</f>
        <v>36</v>
      </c>
      <c r="B27">
        <v>26914188</v>
      </c>
      <c r="C27">
        <v>26914281</v>
      </c>
      <c r="D27">
        <v>25230514</v>
      </c>
      <c r="E27">
        <v>1</v>
      </c>
      <c r="F27">
        <v>1</v>
      </c>
      <c r="G27">
        <v>1</v>
      </c>
      <c r="H27">
        <v>2</v>
      </c>
      <c r="I27" t="s">
        <v>335</v>
      </c>
      <c r="J27" t="s">
        <v>336</v>
      </c>
      <c r="K27" t="s">
        <v>337</v>
      </c>
      <c r="L27">
        <v>1368</v>
      </c>
      <c r="N27">
        <v>1011</v>
      </c>
      <c r="O27" t="s">
        <v>338</v>
      </c>
      <c r="P27" t="s">
        <v>338</v>
      </c>
      <c r="Q27">
        <v>1</v>
      </c>
      <c r="W27">
        <v>0</v>
      </c>
      <c r="X27">
        <v>1188625873</v>
      </c>
      <c r="Y27">
        <v>3.7499999999999999E-2</v>
      </c>
      <c r="AA27">
        <v>0</v>
      </c>
      <c r="AB27">
        <v>31.26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0.03</v>
      </c>
      <c r="AU27" t="s">
        <v>40</v>
      </c>
      <c r="AV27">
        <v>0</v>
      </c>
      <c r="AW27">
        <v>2</v>
      </c>
      <c r="AX27">
        <v>26914294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Y27*Source!I36</f>
        <v>0.30427500000000002</v>
      </c>
      <c r="CY27">
        <f>AB27</f>
        <v>31.26</v>
      </c>
      <c r="CZ27">
        <f>AF27</f>
        <v>31.26</v>
      </c>
      <c r="DA27">
        <f>AJ27</f>
        <v>1</v>
      </c>
      <c r="DB27">
        <v>0</v>
      </c>
    </row>
    <row r="28" spans="1:106" x14ac:dyDescent="0.2">
      <c r="A28">
        <f>ROW(Source!A36)</f>
        <v>36</v>
      </c>
      <c r="B28">
        <v>26914188</v>
      </c>
      <c r="C28">
        <v>26914281</v>
      </c>
      <c r="D28">
        <v>25230844</v>
      </c>
      <c r="E28">
        <v>1</v>
      </c>
      <c r="F28">
        <v>1</v>
      </c>
      <c r="G28">
        <v>1</v>
      </c>
      <c r="H28">
        <v>2</v>
      </c>
      <c r="I28" t="s">
        <v>349</v>
      </c>
      <c r="J28" t="s">
        <v>350</v>
      </c>
      <c r="K28" t="s">
        <v>351</v>
      </c>
      <c r="L28">
        <v>1368</v>
      </c>
      <c r="N28">
        <v>1011</v>
      </c>
      <c r="O28" t="s">
        <v>338</v>
      </c>
      <c r="P28" t="s">
        <v>338</v>
      </c>
      <c r="Q28">
        <v>1</v>
      </c>
      <c r="W28">
        <v>0</v>
      </c>
      <c r="X28">
        <v>520357435</v>
      </c>
      <c r="Y28">
        <v>0.89999999999999991</v>
      </c>
      <c r="AA28">
        <v>0</v>
      </c>
      <c r="AB28">
        <v>30</v>
      </c>
      <c r="AC28">
        <v>0</v>
      </c>
      <c r="AD28">
        <v>0</v>
      </c>
      <c r="AE28">
        <v>0</v>
      </c>
      <c r="AF28">
        <v>30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0.72</v>
      </c>
      <c r="AU28" t="s">
        <v>40</v>
      </c>
      <c r="AV28">
        <v>0</v>
      </c>
      <c r="AW28">
        <v>2</v>
      </c>
      <c r="AX28">
        <v>26914295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Y28*Source!I36</f>
        <v>7.3026</v>
      </c>
      <c r="CY28">
        <f>AB28</f>
        <v>30</v>
      </c>
      <c r="CZ28">
        <f>AF28</f>
        <v>30</v>
      </c>
      <c r="DA28">
        <f>AJ28</f>
        <v>1</v>
      </c>
      <c r="DB28">
        <v>0</v>
      </c>
    </row>
    <row r="29" spans="1:106" x14ac:dyDescent="0.2">
      <c r="A29">
        <f>ROW(Source!A36)</f>
        <v>36</v>
      </c>
      <c r="B29">
        <v>26914188</v>
      </c>
      <c r="C29">
        <v>26914281</v>
      </c>
      <c r="D29">
        <v>25231607</v>
      </c>
      <c r="E29">
        <v>1</v>
      </c>
      <c r="F29">
        <v>1</v>
      </c>
      <c r="G29">
        <v>1</v>
      </c>
      <c r="H29">
        <v>2</v>
      </c>
      <c r="I29" t="s">
        <v>352</v>
      </c>
      <c r="J29" t="s">
        <v>353</v>
      </c>
      <c r="K29" t="s">
        <v>354</v>
      </c>
      <c r="L29">
        <v>1368</v>
      </c>
      <c r="N29">
        <v>1011</v>
      </c>
      <c r="O29" t="s">
        <v>338</v>
      </c>
      <c r="P29" t="s">
        <v>338</v>
      </c>
      <c r="Q29">
        <v>1</v>
      </c>
      <c r="W29">
        <v>0</v>
      </c>
      <c r="X29">
        <v>1372534845</v>
      </c>
      <c r="Y29">
        <v>0.05</v>
      </c>
      <c r="AA29">
        <v>0</v>
      </c>
      <c r="AB29">
        <v>65.709999999999994</v>
      </c>
      <c r="AC29">
        <v>11.6</v>
      </c>
      <c r="AD29">
        <v>0</v>
      </c>
      <c r="AE29">
        <v>0</v>
      </c>
      <c r="AF29">
        <v>65.709999999999994</v>
      </c>
      <c r="AG29">
        <v>11.6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0.04</v>
      </c>
      <c r="AU29" t="s">
        <v>40</v>
      </c>
      <c r="AV29">
        <v>0</v>
      </c>
      <c r="AW29">
        <v>2</v>
      </c>
      <c r="AX29">
        <v>26914296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</f>
        <v>0.40570000000000006</v>
      </c>
      <c r="CY29">
        <f>AB29</f>
        <v>65.709999999999994</v>
      </c>
      <c r="CZ29">
        <f>AF29</f>
        <v>65.709999999999994</v>
      </c>
      <c r="DA29">
        <f>AJ29</f>
        <v>1</v>
      </c>
      <c r="DB29">
        <v>0</v>
      </c>
    </row>
    <row r="30" spans="1:106" x14ac:dyDescent="0.2">
      <c r="A30">
        <f>ROW(Source!A36)</f>
        <v>36</v>
      </c>
      <c r="B30">
        <v>26914188</v>
      </c>
      <c r="C30">
        <v>26914281</v>
      </c>
      <c r="D30">
        <v>25232759</v>
      </c>
      <c r="E30">
        <v>1</v>
      </c>
      <c r="F30">
        <v>1</v>
      </c>
      <c r="G30">
        <v>1</v>
      </c>
      <c r="H30">
        <v>2</v>
      </c>
      <c r="I30" t="s">
        <v>355</v>
      </c>
      <c r="J30" t="s">
        <v>356</v>
      </c>
      <c r="K30" t="s">
        <v>357</v>
      </c>
      <c r="L30">
        <v>1368</v>
      </c>
      <c r="N30">
        <v>1011</v>
      </c>
      <c r="O30" t="s">
        <v>338</v>
      </c>
      <c r="P30" t="s">
        <v>338</v>
      </c>
      <c r="Q30">
        <v>1</v>
      </c>
      <c r="W30">
        <v>0</v>
      </c>
      <c r="X30">
        <v>-53362720</v>
      </c>
      <c r="Y30">
        <v>0.3125</v>
      </c>
      <c r="AA30">
        <v>0</v>
      </c>
      <c r="AB30">
        <v>2.7</v>
      </c>
      <c r="AC30">
        <v>0</v>
      </c>
      <c r="AD30">
        <v>0</v>
      </c>
      <c r="AE30">
        <v>0</v>
      </c>
      <c r="AF30">
        <v>2.7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0.25</v>
      </c>
      <c r="AU30" t="s">
        <v>40</v>
      </c>
      <c r="AV30">
        <v>0</v>
      </c>
      <c r="AW30">
        <v>2</v>
      </c>
      <c r="AX30">
        <v>26914297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Y30*Source!I36</f>
        <v>2.5356250000000005</v>
      </c>
      <c r="CY30">
        <f>AB30</f>
        <v>2.7</v>
      </c>
      <c r="CZ30">
        <f>AF30</f>
        <v>2.7</v>
      </c>
      <c r="DA30">
        <f>AJ30</f>
        <v>1</v>
      </c>
      <c r="DB30">
        <v>0</v>
      </c>
    </row>
    <row r="31" spans="1:106" x14ac:dyDescent="0.2">
      <c r="A31">
        <f>ROW(Source!A36)</f>
        <v>36</v>
      </c>
      <c r="B31">
        <v>26914188</v>
      </c>
      <c r="C31">
        <v>26914281</v>
      </c>
      <c r="D31">
        <v>25148024</v>
      </c>
      <c r="E31">
        <v>1</v>
      </c>
      <c r="F31">
        <v>1</v>
      </c>
      <c r="G31">
        <v>1</v>
      </c>
      <c r="H31">
        <v>3</v>
      </c>
      <c r="I31" t="s">
        <v>53</v>
      </c>
      <c r="J31" t="s">
        <v>55</v>
      </c>
      <c r="K31" t="s">
        <v>54</v>
      </c>
      <c r="L31">
        <v>1348</v>
      </c>
      <c r="N31">
        <v>1009</v>
      </c>
      <c r="O31" t="s">
        <v>24</v>
      </c>
      <c r="P31" t="s">
        <v>24</v>
      </c>
      <c r="Q31">
        <v>1000</v>
      </c>
      <c r="W31">
        <v>1</v>
      </c>
      <c r="X31">
        <v>110322092</v>
      </c>
      <c r="Y31">
        <v>-0.02</v>
      </c>
      <c r="AA31">
        <v>1383.1</v>
      </c>
      <c r="AB31">
        <v>0</v>
      </c>
      <c r="AC31">
        <v>0</v>
      </c>
      <c r="AD31">
        <v>0</v>
      </c>
      <c r="AE31">
        <v>1383.1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-0.02</v>
      </c>
      <c r="AU31" t="s">
        <v>6</v>
      </c>
      <c r="AV31">
        <v>0</v>
      </c>
      <c r="AW31">
        <v>2</v>
      </c>
      <c r="AX31">
        <v>26914298</v>
      </c>
      <c r="AY31">
        <v>1</v>
      </c>
      <c r="AZ31">
        <v>6144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Y31*Source!I36</f>
        <v>-0.16228000000000001</v>
      </c>
      <c r="CY31">
        <f>AA31</f>
        <v>1383.1</v>
      </c>
      <c r="CZ31">
        <f>AE31</f>
        <v>1383.1</v>
      </c>
      <c r="DA31">
        <f>AI31</f>
        <v>1</v>
      </c>
      <c r="DB31">
        <v>0</v>
      </c>
    </row>
    <row r="32" spans="1:106" x14ac:dyDescent="0.2">
      <c r="A32">
        <f>ROW(Source!A36)</f>
        <v>36</v>
      </c>
      <c r="B32">
        <v>26914188</v>
      </c>
      <c r="C32">
        <v>26914281</v>
      </c>
      <c r="D32">
        <v>25148217</v>
      </c>
      <c r="E32">
        <v>1</v>
      </c>
      <c r="F32">
        <v>1</v>
      </c>
      <c r="G32">
        <v>1</v>
      </c>
      <c r="H32">
        <v>3</v>
      </c>
      <c r="I32" t="s">
        <v>57</v>
      </c>
      <c r="J32" t="s">
        <v>59</v>
      </c>
      <c r="K32" t="s">
        <v>58</v>
      </c>
      <c r="L32">
        <v>1348</v>
      </c>
      <c r="N32">
        <v>1009</v>
      </c>
      <c r="O32" t="s">
        <v>24</v>
      </c>
      <c r="P32" t="s">
        <v>24</v>
      </c>
      <c r="Q32">
        <v>1000</v>
      </c>
      <c r="W32">
        <v>1</v>
      </c>
      <c r="X32">
        <v>-1709508773</v>
      </c>
      <c r="Y32">
        <v>-0.04</v>
      </c>
      <c r="AA32">
        <v>2606.9</v>
      </c>
      <c r="AB32">
        <v>0</v>
      </c>
      <c r="AC32">
        <v>0</v>
      </c>
      <c r="AD32">
        <v>0</v>
      </c>
      <c r="AE32">
        <v>2606.9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-0.04</v>
      </c>
      <c r="AU32" t="s">
        <v>6</v>
      </c>
      <c r="AV32">
        <v>0</v>
      </c>
      <c r="AW32">
        <v>2</v>
      </c>
      <c r="AX32">
        <v>26914299</v>
      </c>
      <c r="AY32">
        <v>1</v>
      </c>
      <c r="AZ32">
        <v>6144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Y32*Source!I36</f>
        <v>-0.32456000000000002</v>
      </c>
      <c r="CY32">
        <f>AA32</f>
        <v>2606.9</v>
      </c>
      <c r="CZ32">
        <f>AE32</f>
        <v>2606.9</v>
      </c>
      <c r="DA32">
        <f>AI32</f>
        <v>1</v>
      </c>
      <c r="DB32">
        <v>0</v>
      </c>
    </row>
    <row r="33" spans="1:106" x14ac:dyDescent="0.2">
      <c r="A33">
        <f>ROW(Source!A36)</f>
        <v>36</v>
      </c>
      <c r="B33">
        <v>26914188</v>
      </c>
      <c r="C33">
        <v>26914281</v>
      </c>
      <c r="D33">
        <v>25153690</v>
      </c>
      <c r="E33">
        <v>1</v>
      </c>
      <c r="F33">
        <v>1</v>
      </c>
      <c r="G33">
        <v>1</v>
      </c>
      <c r="H33">
        <v>3</v>
      </c>
      <c r="I33" t="s">
        <v>358</v>
      </c>
      <c r="J33" t="s">
        <v>359</v>
      </c>
      <c r="K33" t="s">
        <v>360</v>
      </c>
      <c r="L33">
        <v>1346</v>
      </c>
      <c r="N33">
        <v>1009</v>
      </c>
      <c r="O33" t="s">
        <v>50</v>
      </c>
      <c r="P33" t="s">
        <v>50</v>
      </c>
      <c r="Q33">
        <v>1</v>
      </c>
      <c r="W33">
        <v>0</v>
      </c>
      <c r="X33">
        <v>813963326</v>
      </c>
      <c r="Y33">
        <v>0.5</v>
      </c>
      <c r="AA33">
        <v>1.82</v>
      </c>
      <c r="AB33">
        <v>0</v>
      </c>
      <c r="AC33">
        <v>0</v>
      </c>
      <c r="AD33">
        <v>0</v>
      </c>
      <c r="AE33">
        <v>1.82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0.5</v>
      </c>
      <c r="AU33" t="s">
        <v>6</v>
      </c>
      <c r="AV33">
        <v>0</v>
      </c>
      <c r="AW33">
        <v>2</v>
      </c>
      <c r="AX33">
        <v>26914300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Y33*Source!I36</f>
        <v>4.0570000000000004</v>
      </c>
      <c r="CY33">
        <f>AA33</f>
        <v>1.82</v>
      </c>
      <c r="CZ33">
        <f>AE33</f>
        <v>1.82</v>
      </c>
      <c r="DA33">
        <f>AI33</f>
        <v>1</v>
      </c>
      <c r="DB33">
        <v>0</v>
      </c>
    </row>
    <row r="34" spans="1:106" x14ac:dyDescent="0.2">
      <c r="A34">
        <f>ROW(Source!A36)</f>
        <v>36</v>
      </c>
      <c r="B34">
        <v>26914188</v>
      </c>
      <c r="C34">
        <v>26914281</v>
      </c>
      <c r="D34">
        <v>25185843</v>
      </c>
      <c r="E34">
        <v>1</v>
      </c>
      <c r="F34">
        <v>1</v>
      </c>
      <c r="G34">
        <v>1</v>
      </c>
      <c r="H34">
        <v>3</v>
      </c>
      <c r="I34" t="s">
        <v>48</v>
      </c>
      <c r="J34" t="s">
        <v>51</v>
      </c>
      <c r="K34" t="s">
        <v>49</v>
      </c>
      <c r="L34">
        <v>1346</v>
      </c>
      <c r="N34">
        <v>1009</v>
      </c>
      <c r="O34" t="s">
        <v>50</v>
      </c>
      <c r="P34" t="s">
        <v>50</v>
      </c>
      <c r="Q34">
        <v>1</v>
      </c>
      <c r="W34">
        <v>0</v>
      </c>
      <c r="X34">
        <v>1453462043</v>
      </c>
      <c r="Y34">
        <v>30</v>
      </c>
      <c r="AA34">
        <v>15.09</v>
      </c>
      <c r="AB34">
        <v>0</v>
      </c>
      <c r="AC34">
        <v>0</v>
      </c>
      <c r="AD34">
        <v>0</v>
      </c>
      <c r="AE34">
        <v>15.09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6</v>
      </c>
      <c r="AT34">
        <v>30</v>
      </c>
      <c r="AU34" t="s">
        <v>6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243.42000000000002</v>
      </c>
      <c r="CY34">
        <f>AA34</f>
        <v>15.09</v>
      </c>
      <c r="CZ34">
        <f>AE34</f>
        <v>15.09</v>
      </c>
      <c r="DA34">
        <f>AI34</f>
        <v>1</v>
      </c>
      <c r="DB34">
        <v>0</v>
      </c>
    </row>
    <row r="35" spans="1:106" x14ac:dyDescent="0.2">
      <c r="A35">
        <f>ROW(Source!A37)</f>
        <v>37</v>
      </c>
      <c r="B35">
        <v>26914189</v>
      </c>
      <c r="C35">
        <v>26914281</v>
      </c>
      <c r="D35">
        <v>25418228</v>
      </c>
      <c r="E35">
        <v>1</v>
      </c>
      <c r="F35">
        <v>1</v>
      </c>
      <c r="G35">
        <v>1</v>
      </c>
      <c r="H35">
        <v>1</v>
      </c>
      <c r="I35" t="s">
        <v>347</v>
      </c>
      <c r="J35" t="s">
        <v>6</v>
      </c>
      <c r="K35" t="s">
        <v>348</v>
      </c>
      <c r="L35">
        <v>1191</v>
      </c>
      <c r="N35">
        <v>1013</v>
      </c>
      <c r="O35" t="s">
        <v>332</v>
      </c>
      <c r="P35" t="s">
        <v>332</v>
      </c>
      <c r="Q35">
        <v>1</v>
      </c>
      <c r="W35">
        <v>0</v>
      </c>
      <c r="X35">
        <v>1881689430</v>
      </c>
      <c r="Y35">
        <v>31.015499999999996</v>
      </c>
      <c r="AA35">
        <v>0</v>
      </c>
      <c r="AB35">
        <v>0</v>
      </c>
      <c r="AC35">
        <v>0</v>
      </c>
      <c r="AD35">
        <v>84.24</v>
      </c>
      <c r="AE35">
        <v>0</v>
      </c>
      <c r="AF35">
        <v>0</v>
      </c>
      <c r="AG35">
        <v>0</v>
      </c>
      <c r="AH35">
        <v>10.94</v>
      </c>
      <c r="AI35">
        <v>1</v>
      </c>
      <c r="AJ35">
        <v>1</v>
      </c>
      <c r="AK35">
        <v>1</v>
      </c>
      <c r="AL35">
        <v>7.7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26.97</v>
      </c>
      <c r="AU35" t="s">
        <v>41</v>
      </c>
      <c r="AV35">
        <v>1</v>
      </c>
      <c r="AW35">
        <v>2</v>
      </c>
      <c r="AX35">
        <v>26914292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251.65976699999999</v>
      </c>
      <c r="CY35">
        <f>AD35</f>
        <v>84.24</v>
      </c>
      <c r="CZ35">
        <f>AH35</f>
        <v>10.94</v>
      </c>
      <c r="DA35">
        <f>AL35</f>
        <v>7.7</v>
      </c>
      <c r="DB35">
        <v>0</v>
      </c>
    </row>
    <row r="36" spans="1:106" x14ac:dyDescent="0.2">
      <c r="A36">
        <f>ROW(Source!A37)</f>
        <v>37</v>
      </c>
      <c r="B36">
        <v>26914189</v>
      </c>
      <c r="C36">
        <v>26914281</v>
      </c>
      <c r="D36">
        <v>25412928</v>
      </c>
      <c r="E36">
        <v>1</v>
      </c>
      <c r="F36">
        <v>1</v>
      </c>
      <c r="G36">
        <v>1</v>
      </c>
      <c r="H36">
        <v>1</v>
      </c>
      <c r="I36" t="s">
        <v>333</v>
      </c>
      <c r="J36" t="s">
        <v>6</v>
      </c>
      <c r="K36" t="s">
        <v>334</v>
      </c>
      <c r="L36">
        <v>1191</v>
      </c>
      <c r="N36">
        <v>1013</v>
      </c>
      <c r="O36" t="s">
        <v>332</v>
      </c>
      <c r="P36" t="s">
        <v>332</v>
      </c>
      <c r="Q36">
        <v>1</v>
      </c>
      <c r="W36">
        <v>0</v>
      </c>
      <c r="X36">
        <v>-1417349443</v>
      </c>
      <c r="Y36">
        <v>7.0000000000000007E-2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7.7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7.0000000000000007E-2</v>
      </c>
      <c r="AU36" t="s">
        <v>6</v>
      </c>
      <c r="AV36">
        <v>2</v>
      </c>
      <c r="AW36">
        <v>2</v>
      </c>
      <c r="AX36">
        <v>26914293</v>
      </c>
      <c r="AY36">
        <v>1</v>
      </c>
      <c r="AZ36">
        <v>2048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0.56798000000000015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26914189</v>
      </c>
      <c r="C37">
        <v>26914281</v>
      </c>
      <c r="D37">
        <v>25230514</v>
      </c>
      <c r="E37">
        <v>1</v>
      </c>
      <c r="F37">
        <v>1</v>
      </c>
      <c r="G37">
        <v>1</v>
      </c>
      <c r="H37">
        <v>2</v>
      </c>
      <c r="I37" t="s">
        <v>335</v>
      </c>
      <c r="J37" t="s">
        <v>336</v>
      </c>
      <c r="K37" t="s">
        <v>337</v>
      </c>
      <c r="L37">
        <v>1368</v>
      </c>
      <c r="N37">
        <v>1011</v>
      </c>
      <c r="O37" t="s">
        <v>338</v>
      </c>
      <c r="P37" t="s">
        <v>338</v>
      </c>
      <c r="Q37">
        <v>1</v>
      </c>
      <c r="W37">
        <v>0</v>
      </c>
      <c r="X37">
        <v>1188625873</v>
      </c>
      <c r="Y37">
        <v>3.7499999999999999E-2</v>
      </c>
      <c r="AA37">
        <v>0</v>
      </c>
      <c r="AB37">
        <v>240.7</v>
      </c>
      <c r="AC37">
        <v>13.5</v>
      </c>
      <c r="AD37">
        <v>0</v>
      </c>
      <c r="AE37">
        <v>0</v>
      </c>
      <c r="AF37">
        <v>31.26</v>
      </c>
      <c r="AG37">
        <v>13.5</v>
      </c>
      <c r="AH37">
        <v>0</v>
      </c>
      <c r="AI37">
        <v>1</v>
      </c>
      <c r="AJ37">
        <v>7.7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0.03</v>
      </c>
      <c r="AU37" t="s">
        <v>40</v>
      </c>
      <c r="AV37">
        <v>0</v>
      </c>
      <c r="AW37">
        <v>2</v>
      </c>
      <c r="AX37">
        <v>26914294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0.30427500000000002</v>
      </c>
      <c r="CY37">
        <f>AB37</f>
        <v>240.7</v>
      </c>
      <c r="CZ37">
        <f>AF37</f>
        <v>31.26</v>
      </c>
      <c r="DA37">
        <f>AJ37</f>
        <v>7.7</v>
      </c>
      <c r="DB37">
        <v>0</v>
      </c>
    </row>
    <row r="38" spans="1:106" x14ac:dyDescent="0.2">
      <c r="A38">
        <f>ROW(Source!A37)</f>
        <v>37</v>
      </c>
      <c r="B38">
        <v>26914189</v>
      </c>
      <c r="C38">
        <v>26914281</v>
      </c>
      <c r="D38">
        <v>25230844</v>
      </c>
      <c r="E38">
        <v>1</v>
      </c>
      <c r="F38">
        <v>1</v>
      </c>
      <c r="G38">
        <v>1</v>
      </c>
      <c r="H38">
        <v>2</v>
      </c>
      <c r="I38" t="s">
        <v>349</v>
      </c>
      <c r="J38" t="s">
        <v>350</v>
      </c>
      <c r="K38" t="s">
        <v>351</v>
      </c>
      <c r="L38">
        <v>1368</v>
      </c>
      <c r="N38">
        <v>1011</v>
      </c>
      <c r="O38" t="s">
        <v>338</v>
      </c>
      <c r="P38" t="s">
        <v>338</v>
      </c>
      <c r="Q38">
        <v>1</v>
      </c>
      <c r="W38">
        <v>0</v>
      </c>
      <c r="X38">
        <v>520357435</v>
      </c>
      <c r="Y38">
        <v>0.89999999999999991</v>
      </c>
      <c r="AA38">
        <v>0</v>
      </c>
      <c r="AB38">
        <v>231</v>
      </c>
      <c r="AC38">
        <v>0</v>
      </c>
      <c r="AD38">
        <v>0</v>
      </c>
      <c r="AE38">
        <v>0</v>
      </c>
      <c r="AF38">
        <v>30</v>
      </c>
      <c r="AG38">
        <v>0</v>
      </c>
      <c r="AH38">
        <v>0</v>
      </c>
      <c r="AI38">
        <v>1</v>
      </c>
      <c r="AJ38">
        <v>7.7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0.72</v>
      </c>
      <c r="AU38" t="s">
        <v>40</v>
      </c>
      <c r="AV38">
        <v>0</v>
      </c>
      <c r="AW38">
        <v>2</v>
      </c>
      <c r="AX38">
        <v>26914295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7.3026</v>
      </c>
      <c r="CY38">
        <f>AB38</f>
        <v>231</v>
      </c>
      <c r="CZ38">
        <f>AF38</f>
        <v>30</v>
      </c>
      <c r="DA38">
        <f>AJ38</f>
        <v>7.7</v>
      </c>
      <c r="DB38">
        <v>0</v>
      </c>
    </row>
    <row r="39" spans="1:106" x14ac:dyDescent="0.2">
      <c r="A39">
        <f>ROW(Source!A37)</f>
        <v>37</v>
      </c>
      <c r="B39">
        <v>26914189</v>
      </c>
      <c r="C39">
        <v>26914281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352</v>
      </c>
      <c r="J39" t="s">
        <v>353</v>
      </c>
      <c r="K39" t="s">
        <v>354</v>
      </c>
      <c r="L39">
        <v>1368</v>
      </c>
      <c r="N39">
        <v>1011</v>
      </c>
      <c r="O39" t="s">
        <v>338</v>
      </c>
      <c r="P39" t="s">
        <v>338</v>
      </c>
      <c r="Q39">
        <v>1</v>
      </c>
      <c r="W39">
        <v>0</v>
      </c>
      <c r="X39">
        <v>1372534845</v>
      </c>
      <c r="Y39">
        <v>0.05</v>
      </c>
      <c r="AA39">
        <v>0</v>
      </c>
      <c r="AB39">
        <v>505.97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7.7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0.04</v>
      </c>
      <c r="AU39" t="s">
        <v>40</v>
      </c>
      <c r="AV39">
        <v>0</v>
      </c>
      <c r="AW39">
        <v>2</v>
      </c>
      <c r="AX39">
        <v>26914296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0.40570000000000006</v>
      </c>
      <c r="CY39">
        <f>AB39</f>
        <v>505.97</v>
      </c>
      <c r="CZ39">
        <f>AF39</f>
        <v>65.709999999999994</v>
      </c>
      <c r="DA39">
        <f>AJ39</f>
        <v>7.7</v>
      </c>
      <c r="DB39">
        <v>0</v>
      </c>
    </row>
    <row r="40" spans="1:106" x14ac:dyDescent="0.2">
      <c r="A40">
        <f>ROW(Source!A37)</f>
        <v>37</v>
      </c>
      <c r="B40">
        <v>26914189</v>
      </c>
      <c r="C40">
        <v>26914281</v>
      </c>
      <c r="D40">
        <v>25232759</v>
      </c>
      <c r="E40">
        <v>1</v>
      </c>
      <c r="F40">
        <v>1</v>
      </c>
      <c r="G40">
        <v>1</v>
      </c>
      <c r="H40">
        <v>2</v>
      </c>
      <c r="I40" t="s">
        <v>355</v>
      </c>
      <c r="J40" t="s">
        <v>356</v>
      </c>
      <c r="K40" t="s">
        <v>357</v>
      </c>
      <c r="L40">
        <v>1368</v>
      </c>
      <c r="N40">
        <v>1011</v>
      </c>
      <c r="O40" t="s">
        <v>338</v>
      </c>
      <c r="P40" t="s">
        <v>338</v>
      </c>
      <c r="Q40">
        <v>1</v>
      </c>
      <c r="W40">
        <v>0</v>
      </c>
      <c r="X40">
        <v>-53362720</v>
      </c>
      <c r="Y40">
        <v>0.3125</v>
      </c>
      <c r="AA40">
        <v>0</v>
      </c>
      <c r="AB40">
        <v>20.79</v>
      </c>
      <c r="AC40">
        <v>0</v>
      </c>
      <c r="AD40">
        <v>0</v>
      </c>
      <c r="AE40">
        <v>0</v>
      </c>
      <c r="AF40">
        <v>2.7</v>
      </c>
      <c r="AG40">
        <v>0</v>
      </c>
      <c r="AH40">
        <v>0</v>
      </c>
      <c r="AI40">
        <v>1</v>
      </c>
      <c r="AJ40">
        <v>7.7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0.25</v>
      </c>
      <c r="AU40" t="s">
        <v>40</v>
      </c>
      <c r="AV40">
        <v>0</v>
      </c>
      <c r="AW40">
        <v>2</v>
      </c>
      <c r="AX40">
        <v>26914297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2.5356250000000005</v>
      </c>
      <c r="CY40">
        <f>AB40</f>
        <v>20.79</v>
      </c>
      <c r="CZ40">
        <f>AF40</f>
        <v>2.7</v>
      </c>
      <c r="DA40">
        <f>AJ40</f>
        <v>7.7</v>
      </c>
      <c r="DB40">
        <v>0</v>
      </c>
    </row>
    <row r="41" spans="1:106" x14ac:dyDescent="0.2">
      <c r="A41">
        <f>ROW(Source!A37)</f>
        <v>37</v>
      </c>
      <c r="B41">
        <v>26914189</v>
      </c>
      <c r="C41">
        <v>26914281</v>
      </c>
      <c r="D41">
        <v>25148024</v>
      </c>
      <c r="E41">
        <v>1</v>
      </c>
      <c r="F41">
        <v>1</v>
      </c>
      <c r="G41">
        <v>1</v>
      </c>
      <c r="H41">
        <v>3</v>
      </c>
      <c r="I41" t="s">
        <v>53</v>
      </c>
      <c r="J41" t="s">
        <v>55</v>
      </c>
      <c r="K41" t="s">
        <v>54</v>
      </c>
      <c r="L41">
        <v>1348</v>
      </c>
      <c r="N41">
        <v>1009</v>
      </c>
      <c r="O41" t="s">
        <v>24</v>
      </c>
      <c r="P41" t="s">
        <v>24</v>
      </c>
      <c r="Q41">
        <v>1000</v>
      </c>
      <c r="W41">
        <v>1</v>
      </c>
      <c r="X41">
        <v>110322092</v>
      </c>
      <c r="Y41">
        <v>-0.02</v>
      </c>
      <c r="AA41">
        <v>10649.87</v>
      </c>
      <c r="AB41">
        <v>0</v>
      </c>
      <c r="AC41">
        <v>0</v>
      </c>
      <c r="AD41">
        <v>0</v>
      </c>
      <c r="AE41">
        <v>1383.1</v>
      </c>
      <c r="AF41">
        <v>0</v>
      </c>
      <c r="AG41">
        <v>0</v>
      </c>
      <c r="AH41">
        <v>0</v>
      </c>
      <c r="AI41">
        <v>7.7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-0.02</v>
      </c>
      <c r="AU41" t="s">
        <v>6</v>
      </c>
      <c r="AV41">
        <v>0</v>
      </c>
      <c r="AW41">
        <v>2</v>
      </c>
      <c r="AX41">
        <v>26914298</v>
      </c>
      <c r="AY41">
        <v>1</v>
      </c>
      <c r="AZ41">
        <v>6144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-0.16228000000000001</v>
      </c>
      <c r="CY41">
        <f>AA41</f>
        <v>10649.87</v>
      </c>
      <c r="CZ41">
        <f>AE41</f>
        <v>1383.1</v>
      </c>
      <c r="DA41">
        <f>AI41</f>
        <v>7.7</v>
      </c>
      <c r="DB41">
        <v>0</v>
      </c>
    </row>
    <row r="42" spans="1:106" x14ac:dyDescent="0.2">
      <c r="A42">
        <f>ROW(Source!A37)</f>
        <v>37</v>
      </c>
      <c r="B42">
        <v>26914189</v>
      </c>
      <c r="C42">
        <v>26914281</v>
      </c>
      <c r="D42">
        <v>25148217</v>
      </c>
      <c r="E42">
        <v>1</v>
      </c>
      <c r="F42">
        <v>1</v>
      </c>
      <c r="G42">
        <v>1</v>
      </c>
      <c r="H42">
        <v>3</v>
      </c>
      <c r="I42" t="s">
        <v>57</v>
      </c>
      <c r="J42" t="s">
        <v>59</v>
      </c>
      <c r="K42" t="s">
        <v>58</v>
      </c>
      <c r="L42">
        <v>1348</v>
      </c>
      <c r="N42">
        <v>1009</v>
      </c>
      <c r="O42" t="s">
        <v>24</v>
      </c>
      <c r="P42" t="s">
        <v>24</v>
      </c>
      <c r="Q42">
        <v>1000</v>
      </c>
      <c r="W42">
        <v>1</v>
      </c>
      <c r="X42">
        <v>-1709508773</v>
      </c>
      <c r="Y42">
        <v>-0.04</v>
      </c>
      <c r="AA42">
        <v>20073.13</v>
      </c>
      <c r="AB42">
        <v>0</v>
      </c>
      <c r="AC42">
        <v>0</v>
      </c>
      <c r="AD42">
        <v>0</v>
      </c>
      <c r="AE42">
        <v>2606.9</v>
      </c>
      <c r="AF42">
        <v>0</v>
      </c>
      <c r="AG42">
        <v>0</v>
      </c>
      <c r="AH42">
        <v>0</v>
      </c>
      <c r="AI42">
        <v>7.7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-0.04</v>
      </c>
      <c r="AU42" t="s">
        <v>6</v>
      </c>
      <c r="AV42">
        <v>0</v>
      </c>
      <c r="AW42">
        <v>2</v>
      </c>
      <c r="AX42">
        <v>26914299</v>
      </c>
      <c r="AY42">
        <v>1</v>
      </c>
      <c r="AZ42">
        <v>6144</v>
      </c>
      <c r="BA42">
        <v>41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-0.32456000000000002</v>
      </c>
      <c r="CY42">
        <f>AA42</f>
        <v>20073.13</v>
      </c>
      <c r="CZ42">
        <f>AE42</f>
        <v>2606.9</v>
      </c>
      <c r="DA42">
        <f>AI42</f>
        <v>7.7</v>
      </c>
      <c r="DB42">
        <v>0</v>
      </c>
    </row>
    <row r="43" spans="1:106" x14ac:dyDescent="0.2">
      <c r="A43">
        <f>ROW(Source!A37)</f>
        <v>37</v>
      </c>
      <c r="B43">
        <v>26914189</v>
      </c>
      <c r="C43">
        <v>26914281</v>
      </c>
      <c r="D43">
        <v>25153690</v>
      </c>
      <c r="E43">
        <v>1</v>
      </c>
      <c r="F43">
        <v>1</v>
      </c>
      <c r="G43">
        <v>1</v>
      </c>
      <c r="H43">
        <v>3</v>
      </c>
      <c r="I43" t="s">
        <v>358</v>
      </c>
      <c r="J43" t="s">
        <v>359</v>
      </c>
      <c r="K43" t="s">
        <v>360</v>
      </c>
      <c r="L43">
        <v>1346</v>
      </c>
      <c r="N43">
        <v>1009</v>
      </c>
      <c r="O43" t="s">
        <v>50</v>
      </c>
      <c r="P43" t="s">
        <v>50</v>
      </c>
      <c r="Q43">
        <v>1</v>
      </c>
      <c r="W43">
        <v>0</v>
      </c>
      <c r="X43">
        <v>813963326</v>
      </c>
      <c r="Y43">
        <v>0.5</v>
      </c>
      <c r="AA43">
        <v>14.01</v>
      </c>
      <c r="AB43">
        <v>0</v>
      </c>
      <c r="AC43">
        <v>0</v>
      </c>
      <c r="AD43">
        <v>0</v>
      </c>
      <c r="AE43">
        <v>1.82</v>
      </c>
      <c r="AF43">
        <v>0</v>
      </c>
      <c r="AG43">
        <v>0</v>
      </c>
      <c r="AH43">
        <v>0</v>
      </c>
      <c r="AI43">
        <v>7.7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0.5</v>
      </c>
      <c r="AU43" t="s">
        <v>6</v>
      </c>
      <c r="AV43">
        <v>0</v>
      </c>
      <c r="AW43">
        <v>2</v>
      </c>
      <c r="AX43">
        <v>26914300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Y43*Source!I37</f>
        <v>4.0570000000000004</v>
      </c>
      <c r="CY43">
        <f>AA43</f>
        <v>14.01</v>
      </c>
      <c r="CZ43">
        <f>AE43</f>
        <v>1.82</v>
      </c>
      <c r="DA43">
        <f>AI43</f>
        <v>7.7</v>
      </c>
      <c r="DB43">
        <v>0</v>
      </c>
    </row>
    <row r="44" spans="1:106" x14ac:dyDescent="0.2">
      <c r="A44">
        <f>ROW(Source!A37)</f>
        <v>37</v>
      </c>
      <c r="B44">
        <v>26914189</v>
      </c>
      <c r="C44">
        <v>26914281</v>
      </c>
      <c r="D44">
        <v>25185843</v>
      </c>
      <c r="E44">
        <v>1</v>
      </c>
      <c r="F44">
        <v>1</v>
      </c>
      <c r="G44">
        <v>1</v>
      </c>
      <c r="H44">
        <v>3</v>
      </c>
      <c r="I44" t="s">
        <v>48</v>
      </c>
      <c r="J44" t="s">
        <v>51</v>
      </c>
      <c r="K44" t="s">
        <v>49</v>
      </c>
      <c r="L44">
        <v>1346</v>
      </c>
      <c r="N44">
        <v>1009</v>
      </c>
      <c r="O44" t="s">
        <v>50</v>
      </c>
      <c r="P44" t="s">
        <v>50</v>
      </c>
      <c r="Q44">
        <v>1</v>
      </c>
      <c r="W44">
        <v>0</v>
      </c>
      <c r="X44">
        <v>1453462043</v>
      </c>
      <c r="Y44">
        <v>30</v>
      </c>
      <c r="AA44">
        <v>116.19</v>
      </c>
      <c r="AB44">
        <v>0</v>
      </c>
      <c r="AC44">
        <v>0</v>
      </c>
      <c r="AD44">
        <v>0</v>
      </c>
      <c r="AE44">
        <v>15.09</v>
      </c>
      <c r="AF44">
        <v>0</v>
      </c>
      <c r="AG44">
        <v>0</v>
      </c>
      <c r="AH44">
        <v>0</v>
      </c>
      <c r="AI44">
        <v>7.7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30</v>
      </c>
      <c r="AU44" t="s">
        <v>6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243.42000000000002</v>
      </c>
      <c r="CY44">
        <f>AA44</f>
        <v>116.19</v>
      </c>
      <c r="CZ44">
        <f>AE44</f>
        <v>15.09</v>
      </c>
      <c r="DA44">
        <f>AI44</f>
        <v>7.7</v>
      </c>
      <c r="DB44">
        <v>0</v>
      </c>
    </row>
    <row r="45" spans="1:106" x14ac:dyDescent="0.2">
      <c r="A45">
        <f>ROW(Source!A44)</f>
        <v>44</v>
      </c>
      <c r="B45">
        <v>26914188</v>
      </c>
      <c r="C45">
        <v>26920008</v>
      </c>
      <c r="D45">
        <v>25413300</v>
      </c>
      <c r="E45">
        <v>1</v>
      </c>
      <c r="F45">
        <v>1</v>
      </c>
      <c r="G45">
        <v>1</v>
      </c>
      <c r="H45">
        <v>1</v>
      </c>
      <c r="I45" t="s">
        <v>339</v>
      </c>
      <c r="J45" t="s">
        <v>6</v>
      </c>
      <c r="K45" t="s">
        <v>340</v>
      </c>
      <c r="L45">
        <v>1191</v>
      </c>
      <c r="N45">
        <v>1013</v>
      </c>
      <c r="O45" t="s">
        <v>332</v>
      </c>
      <c r="P45" t="s">
        <v>332</v>
      </c>
      <c r="Q45">
        <v>1</v>
      </c>
      <c r="W45">
        <v>0</v>
      </c>
      <c r="X45">
        <v>-400197608</v>
      </c>
      <c r="Y45">
        <v>43.320499999999996</v>
      </c>
      <c r="AA45">
        <v>0</v>
      </c>
      <c r="AB45">
        <v>0</v>
      </c>
      <c r="AC45">
        <v>0</v>
      </c>
      <c r="AD45">
        <v>8.5299999999999994</v>
      </c>
      <c r="AE45">
        <v>0</v>
      </c>
      <c r="AF45">
        <v>0</v>
      </c>
      <c r="AG45">
        <v>0</v>
      </c>
      <c r="AH45">
        <v>8.5299999999999994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37.67</v>
      </c>
      <c r="AU45" t="s">
        <v>41</v>
      </c>
      <c r="AV45">
        <v>1</v>
      </c>
      <c r="AW45">
        <v>2</v>
      </c>
      <c r="AX45">
        <v>26920009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351.50253700000002</v>
      </c>
      <c r="CY45">
        <f>AD45</f>
        <v>8.5299999999999994</v>
      </c>
      <c r="CZ45">
        <f>AH45</f>
        <v>8.5299999999999994</v>
      </c>
      <c r="DA45">
        <f>AL45</f>
        <v>1</v>
      </c>
      <c r="DB45">
        <v>0</v>
      </c>
    </row>
    <row r="46" spans="1:106" x14ac:dyDescent="0.2">
      <c r="A46">
        <f>ROW(Source!A44)</f>
        <v>44</v>
      </c>
      <c r="B46">
        <v>26914188</v>
      </c>
      <c r="C46">
        <v>26920008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333</v>
      </c>
      <c r="J46" t="s">
        <v>6</v>
      </c>
      <c r="K46" t="s">
        <v>334</v>
      </c>
      <c r="L46">
        <v>1191</v>
      </c>
      <c r="N46">
        <v>1013</v>
      </c>
      <c r="O46" t="s">
        <v>332</v>
      </c>
      <c r="P46" t="s">
        <v>332</v>
      </c>
      <c r="Q46">
        <v>1</v>
      </c>
      <c r="W46">
        <v>0</v>
      </c>
      <c r="X46">
        <v>-1417349443</v>
      </c>
      <c r="Y46">
        <v>0.17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0.17</v>
      </c>
      <c r="AU46" t="s">
        <v>6</v>
      </c>
      <c r="AV46">
        <v>2</v>
      </c>
      <c r="AW46">
        <v>2</v>
      </c>
      <c r="AX46">
        <v>26920010</v>
      </c>
      <c r="AY46">
        <v>1</v>
      </c>
      <c r="AZ46">
        <v>2048</v>
      </c>
      <c r="BA46">
        <v>44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Y46*Source!I44</f>
        <v>1.3793800000000003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ROW(Source!A44)</f>
        <v>44</v>
      </c>
      <c r="B47">
        <v>26914188</v>
      </c>
      <c r="C47">
        <v>26920008</v>
      </c>
      <c r="D47">
        <v>25230510</v>
      </c>
      <c r="E47">
        <v>1</v>
      </c>
      <c r="F47">
        <v>1</v>
      </c>
      <c r="G47">
        <v>1</v>
      </c>
      <c r="H47">
        <v>2</v>
      </c>
      <c r="I47" t="s">
        <v>361</v>
      </c>
      <c r="J47" t="s">
        <v>362</v>
      </c>
      <c r="K47" t="s">
        <v>363</v>
      </c>
      <c r="L47">
        <v>1368</v>
      </c>
      <c r="N47">
        <v>1011</v>
      </c>
      <c r="O47" t="s">
        <v>338</v>
      </c>
      <c r="P47" t="s">
        <v>338</v>
      </c>
      <c r="Q47">
        <v>1</v>
      </c>
      <c r="W47">
        <v>0</v>
      </c>
      <c r="X47">
        <v>368031958</v>
      </c>
      <c r="Y47">
        <v>0.16250000000000001</v>
      </c>
      <c r="AA47">
        <v>0</v>
      </c>
      <c r="AB47">
        <v>27.66</v>
      </c>
      <c r="AC47">
        <v>11.6</v>
      </c>
      <c r="AD47">
        <v>0</v>
      </c>
      <c r="AE47">
        <v>0</v>
      </c>
      <c r="AF47">
        <v>27.66</v>
      </c>
      <c r="AG47">
        <v>11.6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0.13</v>
      </c>
      <c r="AU47" t="s">
        <v>40</v>
      </c>
      <c r="AV47">
        <v>0</v>
      </c>
      <c r="AW47">
        <v>2</v>
      </c>
      <c r="AX47">
        <v>26920011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Y47*Source!I44</f>
        <v>1.3185250000000002</v>
      </c>
      <c r="CY47">
        <f>AB47</f>
        <v>27.66</v>
      </c>
      <c r="CZ47">
        <f>AF47</f>
        <v>27.66</v>
      </c>
      <c r="DA47">
        <f>AJ47</f>
        <v>1</v>
      </c>
      <c r="DB47">
        <v>0</v>
      </c>
    </row>
    <row r="48" spans="1:106" x14ac:dyDescent="0.2">
      <c r="A48">
        <f>ROW(Source!A44)</f>
        <v>44</v>
      </c>
      <c r="B48">
        <v>26914188</v>
      </c>
      <c r="C48">
        <v>26920008</v>
      </c>
      <c r="D48">
        <v>25231607</v>
      </c>
      <c r="E48">
        <v>1</v>
      </c>
      <c r="F48">
        <v>1</v>
      </c>
      <c r="G48">
        <v>1</v>
      </c>
      <c r="H48">
        <v>2</v>
      </c>
      <c r="I48" t="s">
        <v>352</v>
      </c>
      <c r="J48" t="s">
        <v>353</v>
      </c>
      <c r="K48" t="s">
        <v>354</v>
      </c>
      <c r="L48">
        <v>1368</v>
      </c>
      <c r="N48">
        <v>1011</v>
      </c>
      <c r="O48" t="s">
        <v>338</v>
      </c>
      <c r="P48" t="s">
        <v>338</v>
      </c>
      <c r="Q48">
        <v>1</v>
      </c>
      <c r="W48">
        <v>0</v>
      </c>
      <c r="X48">
        <v>1372534845</v>
      </c>
      <c r="Y48">
        <v>0.05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0.04</v>
      </c>
      <c r="AU48" t="s">
        <v>40</v>
      </c>
      <c r="AV48">
        <v>0</v>
      </c>
      <c r="AW48">
        <v>2</v>
      </c>
      <c r="AX48">
        <v>26920012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Y48*Source!I44</f>
        <v>0.40570000000000006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ROW(Source!A44)</f>
        <v>44</v>
      </c>
      <c r="B49">
        <v>26914188</v>
      </c>
      <c r="C49">
        <v>26920008</v>
      </c>
      <c r="D49">
        <v>25149961</v>
      </c>
      <c r="E49">
        <v>1</v>
      </c>
      <c r="F49">
        <v>1</v>
      </c>
      <c r="G49">
        <v>1</v>
      </c>
      <c r="H49">
        <v>3</v>
      </c>
      <c r="I49" t="s">
        <v>364</v>
      </c>
      <c r="J49" t="s">
        <v>365</v>
      </c>
      <c r="K49" t="s">
        <v>366</v>
      </c>
      <c r="L49">
        <v>1339</v>
      </c>
      <c r="N49">
        <v>1007</v>
      </c>
      <c r="O49" t="s">
        <v>76</v>
      </c>
      <c r="P49" t="s">
        <v>76</v>
      </c>
      <c r="Q49">
        <v>1</v>
      </c>
      <c r="W49">
        <v>0</v>
      </c>
      <c r="X49">
        <v>-1660354250</v>
      </c>
      <c r="Y49">
        <v>0.17399999999999999</v>
      </c>
      <c r="AA49">
        <v>2.44</v>
      </c>
      <c r="AB49">
        <v>0</v>
      </c>
      <c r="AC49">
        <v>0</v>
      </c>
      <c r="AD49">
        <v>0</v>
      </c>
      <c r="AE49">
        <v>2.44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0.17399999999999999</v>
      </c>
      <c r="AU49" t="s">
        <v>6</v>
      </c>
      <c r="AV49">
        <v>0</v>
      </c>
      <c r="AW49">
        <v>2</v>
      </c>
      <c r="AX49">
        <v>26920013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Y49*Source!I44</f>
        <v>1.4118360000000001</v>
      </c>
      <c r="CY49">
        <f>AA49</f>
        <v>2.44</v>
      </c>
      <c r="CZ49">
        <f>AE49</f>
        <v>2.44</v>
      </c>
      <c r="DA49">
        <f>AI49</f>
        <v>1</v>
      </c>
      <c r="DB49">
        <v>0</v>
      </c>
    </row>
    <row r="50" spans="1:106" x14ac:dyDescent="0.2">
      <c r="A50">
        <f>ROW(Source!A44)</f>
        <v>44</v>
      </c>
      <c r="B50">
        <v>26914188</v>
      </c>
      <c r="C50">
        <v>26920008</v>
      </c>
      <c r="D50">
        <v>25155574</v>
      </c>
      <c r="E50">
        <v>1</v>
      </c>
      <c r="F50">
        <v>1</v>
      </c>
      <c r="G50">
        <v>1</v>
      </c>
      <c r="H50">
        <v>3</v>
      </c>
      <c r="I50" t="s">
        <v>367</v>
      </c>
      <c r="J50" t="s">
        <v>368</v>
      </c>
      <c r="K50" t="s">
        <v>369</v>
      </c>
      <c r="L50">
        <v>1348</v>
      </c>
      <c r="N50">
        <v>1009</v>
      </c>
      <c r="O50" t="s">
        <v>24</v>
      </c>
      <c r="P50" t="s">
        <v>24</v>
      </c>
      <c r="Q50">
        <v>1000</v>
      </c>
      <c r="W50">
        <v>0</v>
      </c>
      <c r="X50">
        <v>-2114578287</v>
      </c>
      <c r="Y50">
        <v>0.9</v>
      </c>
      <c r="AA50">
        <v>11381.57</v>
      </c>
      <c r="AB50">
        <v>0</v>
      </c>
      <c r="AC50">
        <v>0</v>
      </c>
      <c r="AD50">
        <v>0</v>
      </c>
      <c r="AE50">
        <v>11381.57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0.9</v>
      </c>
      <c r="AU50" t="s">
        <v>6</v>
      </c>
      <c r="AV50">
        <v>0</v>
      </c>
      <c r="AW50">
        <v>2</v>
      </c>
      <c r="AX50">
        <v>26920014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Y50*Source!I44</f>
        <v>7.3026000000000009</v>
      </c>
      <c r="CY50">
        <f>AA50</f>
        <v>11381.57</v>
      </c>
      <c r="CZ50">
        <f>AE50</f>
        <v>11381.57</v>
      </c>
      <c r="DA50">
        <f>AI50</f>
        <v>1</v>
      </c>
      <c r="DB50">
        <v>0</v>
      </c>
    </row>
    <row r="51" spans="1:106" x14ac:dyDescent="0.2">
      <c r="A51">
        <f>ROW(Source!A44)</f>
        <v>44</v>
      </c>
      <c r="B51">
        <v>26914188</v>
      </c>
      <c r="C51">
        <v>26920008</v>
      </c>
      <c r="D51">
        <v>25186115</v>
      </c>
      <c r="E51">
        <v>1</v>
      </c>
      <c r="F51">
        <v>1</v>
      </c>
      <c r="G51">
        <v>1</v>
      </c>
      <c r="H51">
        <v>3</v>
      </c>
      <c r="I51" t="s">
        <v>370</v>
      </c>
      <c r="J51" t="s">
        <v>371</v>
      </c>
      <c r="K51" t="s">
        <v>372</v>
      </c>
      <c r="L51">
        <v>1346</v>
      </c>
      <c r="N51">
        <v>1009</v>
      </c>
      <c r="O51" t="s">
        <v>50</v>
      </c>
      <c r="P51" t="s">
        <v>50</v>
      </c>
      <c r="Q51">
        <v>1</v>
      </c>
      <c r="W51">
        <v>0</v>
      </c>
      <c r="X51">
        <v>303141801</v>
      </c>
      <c r="Y51">
        <v>30</v>
      </c>
      <c r="AA51">
        <v>15.25</v>
      </c>
      <c r="AB51">
        <v>0</v>
      </c>
      <c r="AC51">
        <v>0</v>
      </c>
      <c r="AD51">
        <v>0</v>
      </c>
      <c r="AE51">
        <v>15.25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30</v>
      </c>
      <c r="AU51" t="s">
        <v>6</v>
      </c>
      <c r="AV51">
        <v>0</v>
      </c>
      <c r="AW51">
        <v>2</v>
      </c>
      <c r="AX51">
        <v>26920015</v>
      </c>
      <c r="AY51">
        <v>1</v>
      </c>
      <c r="AZ51">
        <v>0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Y51*Source!I44</f>
        <v>243.42000000000002</v>
      </c>
      <c r="CY51">
        <f>AA51</f>
        <v>15.25</v>
      </c>
      <c r="CZ51">
        <f>AE51</f>
        <v>15.25</v>
      </c>
      <c r="DA51">
        <f>AI51</f>
        <v>1</v>
      </c>
      <c r="DB51">
        <v>0</v>
      </c>
    </row>
    <row r="52" spans="1:106" x14ac:dyDescent="0.2">
      <c r="A52">
        <f>ROW(Source!A45)</f>
        <v>45</v>
      </c>
      <c r="B52">
        <v>26914189</v>
      </c>
      <c r="C52">
        <v>26920008</v>
      </c>
      <c r="D52">
        <v>25413300</v>
      </c>
      <c r="E52">
        <v>1</v>
      </c>
      <c r="F52">
        <v>1</v>
      </c>
      <c r="G52">
        <v>1</v>
      </c>
      <c r="H52">
        <v>1</v>
      </c>
      <c r="I52" t="s">
        <v>339</v>
      </c>
      <c r="J52" t="s">
        <v>6</v>
      </c>
      <c r="K52" t="s">
        <v>340</v>
      </c>
      <c r="L52">
        <v>1191</v>
      </c>
      <c r="N52">
        <v>1013</v>
      </c>
      <c r="O52" t="s">
        <v>332</v>
      </c>
      <c r="P52" t="s">
        <v>332</v>
      </c>
      <c r="Q52">
        <v>1</v>
      </c>
      <c r="W52">
        <v>0</v>
      </c>
      <c r="X52">
        <v>-400197608</v>
      </c>
      <c r="Y52">
        <v>43.320499999999996</v>
      </c>
      <c r="AA52">
        <v>0</v>
      </c>
      <c r="AB52">
        <v>0</v>
      </c>
      <c r="AC52">
        <v>0</v>
      </c>
      <c r="AD52">
        <v>65.680000000000007</v>
      </c>
      <c r="AE52">
        <v>0</v>
      </c>
      <c r="AF52">
        <v>0</v>
      </c>
      <c r="AG52">
        <v>0</v>
      </c>
      <c r="AH52">
        <v>8.5299999999999994</v>
      </c>
      <c r="AI52">
        <v>1</v>
      </c>
      <c r="AJ52">
        <v>1</v>
      </c>
      <c r="AK52">
        <v>1</v>
      </c>
      <c r="AL52">
        <v>7.7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37.67</v>
      </c>
      <c r="AU52" t="s">
        <v>41</v>
      </c>
      <c r="AV52">
        <v>1</v>
      </c>
      <c r="AW52">
        <v>2</v>
      </c>
      <c r="AX52">
        <v>26920009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Y52*Source!I45</f>
        <v>351.50253700000002</v>
      </c>
      <c r="CY52">
        <f>AD52</f>
        <v>65.680000000000007</v>
      </c>
      <c r="CZ52">
        <f>AH52</f>
        <v>8.5299999999999994</v>
      </c>
      <c r="DA52">
        <f>AL52</f>
        <v>7.7</v>
      </c>
      <c r="DB52">
        <v>0</v>
      </c>
    </row>
    <row r="53" spans="1:106" x14ac:dyDescent="0.2">
      <c r="A53">
        <f>ROW(Source!A45)</f>
        <v>45</v>
      </c>
      <c r="B53">
        <v>26914189</v>
      </c>
      <c r="C53">
        <v>26920008</v>
      </c>
      <c r="D53">
        <v>25412928</v>
      </c>
      <c r="E53">
        <v>1</v>
      </c>
      <c r="F53">
        <v>1</v>
      </c>
      <c r="G53">
        <v>1</v>
      </c>
      <c r="H53">
        <v>1</v>
      </c>
      <c r="I53" t="s">
        <v>333</v>
      </c>
      <c r="J53" t="s">
        <v>6</v>
      </c>
      <c r="K53" t="s">
        <v>334</v>
      </c>
      <c r="L53">
        <v>1191</v>
      </c>
      <c r="N53">
        <v>1013</v>
      </c>
      <c r="O53" t="s">
        <v>332</v>
      </c>
      <c r="P53" t="s">
        <v>332</v>
      </c>
      <c r="Q53">
        <v>1</v>
      </c>
      <c r="W53">
        <v>0</v>
      </c>
      <c r="X53">
        <v>-1417349443</v>
      </c>
      <c r="Y53">
        <v>0.17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7.7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0.17</v>
      </c>
      <c r="AU53" t="s">
        <v>6</v>
      </c>
      <c r="AV53">
        <v>2</v>
      </c>
      <c r="AW53">
        <v>2</v>
      </c>
      <c r="AX53">
        <v>26920010</v>
      </c>
      <c r="AY53">
        <v>1</v>
      </c>
      <c r="AZ53">
        <v>2048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Y53*Source!I45</f>
        <v>1.3793800000000003</v>
      </c>
      <c r="CY53">
        <f>AD53</f>
        <v>0</v>
      </c>
      <c r="CZ53">
        <f>AH53</f>
        <v>0</v>
      </c>
      <c r="DA53">
        <f>AL53</f>
        <v>1</v>
      </c>
      <c r="DB53">
        <v>0</v>
      </c>
    </row>
    <row r="54" spans="1:106" x14ac:dyDescent="0.2">
      <c r="A54">
        <f>ROW(Source!A45)</f>
        <v>45</v>
      </c>
      <c r="B54">
        <v>26914189</v>
      </c>
      <c r="C54">
        <v>26920008</v>
      </c>
      <c r="D54">
        <v>25230510</v>
      </c>
      <c r="E54">
        <v>1</v>
      </c>
      <c r="F54">
        <v>1</v>
      </c>
      <c r="G54">
        <v>1</v>
      </c>
      <c r="H54">
        <v>2</v>
      </c>
      <c r="I54" t="s">
        <v>361</v>
      </c>
      <c r="J54" t="s">
        <v>362</v>
      </c>
      <c r="K54" t="s">
        <v>363</v>
      </c>
      <c r="L54">
        <v>1368</v>
      </c>
      <c r="N54">
        <v>1011</v>
      </c>
      <c r="O54" t="s">
        <v>338</v>
      </c>
      <c r="P54" t="s">
        <v>338</v>
      </c>
      <c r="Q54">
        <v>1</v>
      </c>
      <c r="W54">
        <v>0</v>
      </c>
      <c r="X54">
        <v>368031958</v>
      </c>
      <c r="Y54">
        <v>0.16250000000000001</v>
      </c>
      <c r="AA54">
        <v>0</v>
      </c>
      <c r="AB54">
        <v>212.98</v>
      </c>
      <c r="AC54">
        <v>11.6</v>
      </c>
      <c r="AD54">
        <v>0</v>
      </c>
      <c r="AE54">
        <v>0</v>
      </c>
      <c r="AF54">
        <v>27.66</v>
      </c>
      <c r="AG54">
        <v>11.6</v>
      </c>
      <c r="AH54">
        <v>0</v>
      </c>
      <c r="AI54">
        <v>1</v>
      </c>
      <c r="AJ54">
        <v>7.7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0.13</v>
      </c>
      <c r="AU54" t="s">
        <v>40</v>
      </c>
      <c r="AV54">
        <v>0</v>
      </c>
      <c r="AW54">
        <v>2</v>
      </c>
      <c r="AX54">
        <v>26920011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Y54*Source!I45</f>
        <v>1.3185250000000002</v>
      </c>
      <c r="CY54">
        <f>AB54</f>
        <v>212.98</v>
      </c>
      <c r="CZ54">
        <f>AF54</f>
        <v>27.66</v>
      </c>
      <c r="DA54">
        <f>AJ54</f>
        <v>7.7</v>
      </c>
      <c r="DB54">
        <v>0</v>
      </c>
    </row>
    <row r="55" spans="1:106" x14ac:dyDescent="0.2">
      <c r="A55">
        <f>ROW(Source!A45)</f>
        <v>45</v>
      </c>
      <c r="B55">
        <v>26914189</v>
      </c>
      <c r="C55">
        <v>26920008</v>
      </c>
      <c r="D55">
        <v>25231607</v>
      </c>
      <c r="E55">
        <v>1</v>
      </c>
      <c r="F55">
        <v>1</v>
      </c>
      <c r="G55">
        <v>1</v>
      </c>
      <c r="H55">
        <v>2</v>
      </c>
      <c r="I55" t="s">
        <v>352</v>
      </c>
      <c r="J55" t="s">
        <v>353</v>
      </c>
      <c r="K55" t="s">
        <v>354</v>
      </c>
      <c r="L55">
        <v>1368</v>
      </c>
      <c r="N55">
        <v>1011</v>
      </c>
      <c r="O55" t="s">
        <v>338</v>
      </c>
      <c r="P55" t="s">
        <v>338</v>
      </c>
      <c r="Q55">
        <v>1</v>
      </c>
      <c r="W55">
        <v>0</v>
      </c>
      <c r="X55">
        <v>1372534845</v>
      </c>
      <c r="Y55">
        <v>0.05</v>
      </c>
      <c r="AA55">
        <v>0</v>
      </c>
      <c r="AB55">
        <v>505.97</v>
      </c>
      <c r="AC55">
        <v>11.6</v>
      </c>
      <c r="AD55">
        <v>0</v>
      </c>
      <c r="AE55">
        <v>0</v>
      </c>
      <c r="AF55">
        <v>65.709999999999994</v>
      </c>
      <c r="AG55">
        <v>11.6</v>
      </c>
      <c r="AH55">
        <v>0</v>
      </c>
      <c r="AI55">
        <v>1</v>
      </c>
      <c r="AJ55">
        <v>7.7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0.04</v>
      </c>
      <c r="AU55" t="s">
        <v>40</v>
      </c>
      <c r="AV55">
        <v>0</v>
      </c>
      <c r="AW55">
        <v>2</v>
      </c>
      <c r="AX55">
        <v>26920012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0.40570000000000006</v>
      </c>
      <c r="CY55">
        <f>AB55</f>
        <v>505.97</v>
      </c>
      <c r="CZ55">
        <f>AF55</f>
        <v>65.709999999999994</v>
      </c>
      <c r="DA55">
        <f>AJ55</f>
        <v>7.7</v>
      </c>
      <c r="DB55">
        <v>0</v>
      </c>
    </row>
    <row r="56" spans="1:106" x14ac:dyDescent="0.2">
      <c r="A56">
        <f>ROW(Source!A45)</f>
        <v>45</v>
      </c>
      <c r="B56">
        <v>26914189</v>
      </c>
      <c r="C56">
        <v>26920008</v>
      </c>
      <c r="D56">
        <v>25149961</v>
      </c>
      <c r="E56">
        <v>1</v>
      </c>
      <c r="F56">
        <v>1</v>
      </c>
      <c r="G56">
        <v>1</v>
      </c>
      <c r="H56">
        <v>3</v>
      </c>
      <c r="I56" t="s">
        <v>364</v>
      </c>
      <c r="J56" t="s">
        <v>365</v>
      </c>
      <c r="K56" t="s">
        <v>366</v>
      </c>
      <c r="L56">
        <v>1339</v>
      </c>
      <c r="N56">
        <v>1007</v>
      </c>
      <c r="O56" t="s">
        <v>76</v>
      </c>
      <c r="P56" t="s">
        <v>76</v>
      </c>
      <c r="Q56">
        <v>1</v>
      </c>
      <c r="W56">
        <v>0</v>
      </c>
      <c r="X56">
        <v>-1660354250</v>
      </c>
      <c r="Y56">
        <v>0.17399999999999999</v>
      </c>
      <c r="AA56">
        <v>18.79</v>
      </c>
      <c r="AB56">
        <v>0</v>
      </c>
      <c r="AC56">
        <v>0</v>
      </c>
      <c r="AD56">
        <v>0</v>
      </c>
      <c r="AE56">
        <v>2.44</v>
      </c>
      <c r="AF56">
        <v>0</v>
      </c>
      <c r="AG56">
        <v>0</v>
      </c>
      <c r="AH56">
        <v>0</v>
      </c>
      <c r="AI56">
        <v>7.7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0.17399999999999999</v>
      </c>
      <c r="AU56" t="s">
        <v>6</v>
      </c>
      <c r="AV56">
        <v>0</v>
      </c>
      <c r="AW56">
        <v>2</v>
      </c>
      <c r="AX56">
        <v>26920013</v>
      </c>
      <c r="AY56">
        <v>1</v>
      </c>
      <c r="AZ56">
        <v>0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1.4118360000000001</v>
      </c>
      <c r="CY56">
        <f>AA56</f>
        <v>18.79</v>
      </c>
      <c r="CZ56">
        <f>AE56</f>
        <v>2.44</v>
      </c>
      <c r="DA56">
        <f>AI56</f>
        <v>7.7</v>
      </c>
      <c r="DB56">
        <v>0</v>
      </c>
    </row>
    <row r="57" spans="1:106" x14ac:dyDescent="0.2">
      <c r="A57">
        <f>ROW(Source!A45)</f>
        <v>45</v>
      </c>
      <c r="B57">
        <v>26914189</v>
      </c>
      <c r="C57">
        <v>26920008</v>
      </c>
      <c r="D57">
        <v>25155574</v>
      </c>
      <c r="E57">
        <v>1</v>
      </c>
      <c r="F57">
        <v>1</v>
      </c>
      <c r="G57">
        <v>1</v>
      </c>
      <c r="H57">
        <v>3</v>
      </c>
      <c r="I57" t="s">
        <v>367</v>
      </c>
      <c r="J57" t="s">
        <v>368</v>
      </c>
      <c r="K57" t="s">
        <v>369</v>
      </c>
      <c r="L57">
        <v>1348</v>
      </c>
      <c r="N57">
        <v>1009</v>
      </c>
      <c r="O57" t="s">
        <v>24</v>
      </c>
      <c r="P57" t="s">
        <v>24</v>
      </c>
      <c r="Q57">
        <v>1000</v>
      </c>
      <c r="W57">
        <v>0</v>
      </c>
      <c r="X57">
        <v>-2114578287</v>
      </c>
      <c r="Y57">
        <v>0.9</v>
      </c>
      <c r="AA57">
        <v>87638.09</v>
      </c>
      <c r="AB57">
        <v>0</v>
      </c>
      <c r="AC57">
        <v>0</v>
      </c>
      <c r="AD57">
        <v>0</v>
      </c>
      <c r="AE57">
        <v>11381.57</v>
      </c>
      <c r="AF57">
        <v>0</v>
      </c>
      <c r="AG57">
        <v>0</v>
      </c>
      <c r="AH57">
        <v>0</v>
      </c>
      <c r="AI57">
        <v>7.7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0.9</v>
      </c>
      <c r="AU57" t="s">
        <v>6</v>
      </c>
      <c r="AV57">
        <v>0</v>
      </c>
      <c r="AW57">
        <v>2</v>
      </c>
      <c r="AX57">
        <v>26920014</v>
      </c>
      <c r="AY57">
        <v>1</v>
      </c>
      <c r="AZ57">
        <v>0</v>
      </c>
      <c r="BA57">
        <v>55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7.3026000000000009</v>
      </c>
      <c r="CY57">
        <f>AA57</f>
        <v>87638.09</v>
      </c>
      <c r="CZ57">
        <f>AE57</f>
        <v>11381.57</v>
      </c>
      <c r="DA57">
        <f>AI57</f>
        <v>7.7</v>
      </c>
      <c r="DB57">
        <v>0</v>
      </c>
    </row>
    <row r="58" spans="1:106" x14ac:dyDescent="0.2">
      <c r="A58">
        <f>ROW(Source!A45)</f>
        <v>45</v>
      </c>
      <c r="B58">
        <v>26914189</v>
      </c>
      <c r="C58">
        <v>26920008</v>
      </c>
      <c r="D58">
        <v>25186115</v>
      </c>
      <c r="E58">
        <v>1</v>
      </c>
      <c r="F58">
        <v>1</v>
      </c>
      <c r="G58">
        <v>1</v>
      </c>
      <c r="H58">
        <v>3</v>
      </c>
      <c r="I58" t="s">
        <v>370</v>
      </c>
      <c r="J58" t="s">
        <v>371</v>
      </c>
      <c r="K58" t="s">
        <v>372</v>
      </c>
      <c r="L58">
        <v>1346</v>
      </c>
      <c r="N58">
        <v>1009</v>
      </c>
      <c r="O58" t="s">
        <v>50</v>
      </c>
      <c r="P58" t="s">
        <v>50</v>
      </c>
      <c r="Q58">
        <v>1</v>
      </c>
      <c r="W58">
        <v>0</v>
      </c>
      <c r="X58">
        <v>303141801</v>
      </c>
      <c r="Y58">
        <v>30</v>
      </c>
      <c r="AA58">
        <v>117.43</v>
      </c>
      <c r="AB58">
        <v>0</v>
      </c>
      <c r="AC58">
        <v>0</v>
      </c>
      <c r="AD58">
        <v>0</v>
      </c>
      <c r="AE58">
        <v>15.25</v>
      </c>
      <c r="AF58">
        <v>0</v>
      </c>
      <c r="AG58">
        <v>0</v>
      </c>
      <c r="AH58">
        <v>0</v>
      </c>
      <c r="AI58">
        <v>7.7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30</v>
      </c>
      <c r="AU58" t="s">
        <v>6</v>
      </c>
      <c r="AV58">
        <v>0</v>
      </c>
      <c r="AW58">
        <v>2</v>
      </c>
      <c r="AX58">
        <v>26920015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243.42000000000002</v>
      </c>
      <c r="CY58">
        <f>AA58</f>
        <v>117.43</v>
      </c>
      <c r="CZ58">
        <f>AE58</f>
        <v>15.25</v>
      </c>
      <c r="DA58">
        <f>AI58</f>
        <v>7.7</v>
      </c>
      <c r="DB58">
        <v>0</v>
      </c>
    </row>
    <row r="59" spans="1:106" x14ac:dyDescent="0.2">
      <c r="A59">
        <f>ROW(Source!A46)</f>
        <v>46</v>
      </c>
      <c r="B59">
        <v>26914188</v>
      </c>
      <c r="C59">
        <v>26920016</v>
      </c>
      <c r="D59">
        <v>25413300</v>
      </c>
      <c r="E59">
        <v>1</v>
      </c>
      <c r="F59">
        <v>1</v>
      </c>
      <c r="G59">
        <v>1</v>
      </c>
      <c r="H59">
        <v>1</v>
      </c>
      <c r="I59" t="s">
        <v>339</v>
      </c>
      <c r="J59" t="s">
        <v>6</v>
      </c>
      <c r="K59" t="s">
        <v>340</v>
      </c>
      <c r="L59">
        <v>1191</v>
      </c>
      <c r="N59">
        <v>1013</v>
      </c>
      <c r="O59" t="s">
        <v>332</v>
      </c>
      <c r="P59" t="s">
        <v>332</v>
      </c>
      <c r="Q59">
        <v>1</v>
      </c>
      <c r="W59">
        <v>0</v>
      </c>
      <c r="X59">
        <v>-400197608</v>
      </c>
      <c r="Y59">
        <v>27.83</v>
      </c>
      <c r="AA59">
        <v>0</v>
      </c>
      <c r="AB59">
        <v>0</v>
      </c>
      <c r="AC59">
        <v>0</v>
      </c>
      <c r="AD59">
        <v>8.5299999999999994</v>
      </c>
      <c r="AE59">
        <v>0</v>
      </c>
      <c r="AF59">
        <v>0</v>
      </c>
      <c r="AG59">
        <v>0</v>
      </c>
      <c r="AH59">
        <v>8.5299999999999994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2.42</v>
      </c>
      <c r="AU59" t="s">
        <v>70</v>
      </c>
      <c r="AV59">
        <v>1</v>
      </c>
      <c r="AW59">
        <v>2</v>
      </c>
      <c r="AX59">
        <v>26920017</v>
      </c>
      <c r="AY59">
        <v>1</v>
      </c>
      <c r="AZ59">
        <v>0</v>
      </c>
      <c r="BA59">
        <v>57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225.81262000000001</v>
      </c>
      <c r="CY59">
        <f>AD59</f>
        <v>8.5299999999999994</v>
      </c>
      <c r="CZ59">
        <f>AH59</f>
        <v>8.5299999999999994</v>
      </c>
      <c r="DA59">
        <f>AL59</f>
        <v>1</v>
      </c>
      <c r="DB59">
        <v>0</v>
      </c>
    </row>
    <row r="60" spans="1:106" x14ac:dyDescent="0.2">
      <c r="A60">
        <f>ROW(Source!A46)</f>
        <v>46</v>
      </c>
      <c r="B60">
        <v>26914188</v>
      </c>
      <c r="C60">
        <v>26920016</v>
      </c>
      <c r="D60">
        <v>25412928</v>
      </c>
      <c r="E60">
        <v>1</v>
      </c>
      <c r="F60">
        <v>1</v>
      </c>
      <c r="G60">
        <v>1</v>
      </c>
      <c r="H60">
        <v>1</v>
      </c>
      <c r="I60" t="s">
        <v>333</v>
      </c>
      <c r="J60" t="s">
        <v>6</v>
      </c>
      <c r="K60" t="s">
        <v>334</v>
      </c>
      <c r="L60">
        <v>1191</v>
      </c>
      <c r="N60">
        <v>1013</v>
      </c>
      <c r="O60" t="s">
        <v>332</v>
      </c>
      <c r="P60" t="s">
        <v>332</v>
      </c>
      <c r="Q60">
        <v>1</v>
      </c>
      <c r="W60">
        <v>0</v>
      </c>
      <c r="X60">
        <v>-1417349443</v>
      </c>
      <c r="Y60">
        <v>0.03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0.03</v>
      </c>
      <c r="AU60" t="s">
        <v>6</v>
      </c>
      <c r="AV60">
        <v>2</v>
      </c>
      <c r="AW60">
        <v>2</v>
      </c>
      <c r="AX60">
        <v>26920018</v>
      </c>
      <c r="AY60">
        <v>1</v>
      </c>
      <c r="AZ60">
        <v>2048</v>
      </c>
      <c r="BA60">
        <v>58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0.24342000000000003</v>
      </c>
      <c r="CY60">
        <f>AD60</f>
        <v>0</v>
      </c>
      <c r="CZ60">
        <f>AH60</f>
        <v>0</v>
      </c>
      <c r="DA60">
        <f>AL60</f>
        <v>1</v>
      </c>
      <c r="DB60">
        <v>0</v>
      </c>
    </row>
    <row r="61" spans="1:106" x14ac:dyDescent="0.2">
      <c r="A61">
        <f>ROW(Source!A46)</f>
        <v>46</v>
      </c>
      <c r="B61">
        <v>26914188</v>
      </c>
      <c r="C61">
        <v>26920016</v>
      </c>
      <c r="D61">
        <v>25230510</v>
      </c>
      <c r="E61">
        <v>1</v>
      </c>
      <c r="F61">
        <v>1</v>
      </c>
      <c r="G61">
        <v>1</v>
      </c>
      <c r="H61">
        <v>2</v>
      </c>
      <c r="I61" t="s">
        <v>361</v>
      </c>
      <c r="J61" t="s">
        <v>362</v>
      </c>
      <c r="K61" t="s">
        <v>363</v>
      </c>
      <c r="L61">
        <v>1368</v>
      </c>
      <c r="N61">
        <v>1011</v>
      </c>
      <c r="O61" t="s">
        <v>338</v>
      </c>
      <c r="P61" t="s">
        <v>338</v>
      </c>
      <c r="Q61">
        <v>1</v>
      </c>
      <c r="W61">
        <v>0</v>
      </c>
      <c r="X61">
        <v>368031958</v>
      </c>
      <c r="Y61">
        <v>0.25</v>
      </c>
      <c r="AA61">
        <v>0</v>
      </c>
      <c r="AB61">
        <v>27.66</v>
      </c>
      <c r="AC61">
        <v>11.6</v>
      </c>
      <c r="AD61">
        <v>0</v>
      </c>
      <c r="AE61">
        <v>0</v>
      </c>
      <c r="AF61">
        <v>27.66</v>
      </c>
      <c r="AG61">
        <v>11.6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0.02</v>
      </c>
      <c r="AU61" t="s">
        <v>69</v>
      </c>
      <c r="AV61">
        <v>0</v>
      </c>
      <c r="AW61">
        <v>2</v>
      </c>
      <c r="AX61">
        <v>26920019</v>
      </c>
      <c r="AY61">
        <v>1</v>
      </c>
      <c r="AZ61">
        <v>0</v>
      </c>
      <c r="BA61">
        <v>59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2.0285000000000002</v>
      </c>
      <c r="CY61">
        <f>AB61</f>
        <v>27.66</v>
      </c>
      <c r="CZ61">
        <f>AF61</f>
        <v>27.66</v>
      </c>
      <c r="DA61">
        <f>AJ61</f>
        <v>1</v>
      </c>
      <c r="DB61">
        <v>0</v>
      </c>
    </row>
    <row r="62" spans="1:106" x14ac:dyDescent="0.2">
      <c r="A62">
        <f>ROW(Source!A46)</f>
        <v>46</v>
      </c>
      <c r="B62">
        <v>26914188</v>
      </c>
      <c r="C62">
        <v>26920016</v>
      </c>
      <c r="D62">
        <v>25231607</v>
      </c>
      <c r="E62">
        <v>1</v>
      </c>
      <c r="F62">
        <v>1</v>
      </c>
      <c r="G62">
        <v>1</v>
      </c>
      <c r="H62">
        <v>2</v>
      </c>
      <c r="I62" t="s">
        <v>352</v>
      </c>
      <c r="J62" t="s">
        <v>353</v>
      </c>
      <c r="K62" t="s">
        <v>354</v>
      </c>
      <c r="L62">
        <v>1368</v>
      </c>
      <c r="N62">
        <v>1011</v>
      </c>
      <c r="O62" t="s">
        <v>338</v>
      </c>
      <c r="P62" t="s">
        <v>338</v>
      </c>
      <c r="Q62">
        <v>1</v>
      </c>
      <c r="W62">
        <v>0</v>
      </c>
      <c r="X62">
        <v>1372534845</v>
      </c>
      <c r="Y62">
        <v>0.125</v>
      </c>
      <c r="AA62">
        <v>0</v>
      </c>
      <c r="AB62">
        <v>65.709999999999994</v>
      </c>
      <c r="AC62">
        <v>11.6</v>
      </c>
      <c r="AD62">
        <v>0</v>
      </c>
      <c r="AE62">
        <v>0</v>
      </c>
      <c r="AF62">
        <v>65.709999999999994</v>
      </c>
      <c r="AG62">
        <v>11.6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0.01</v>
      </c>
      <c r="AU62" t="s">
        <v>69</v>
      </c>
      <c r="AV62">
        <v>0</v>
      </c>
      <c r="AW62">
        <v>2</v>
      </c>
      <c r="AX62">
        <v>26920020</v>
      </c>
      <c r="AY62">
        <v>1</v>
      </c>
      <c r="AZ62">
        <v>0</v>
      </c>
      <c r="BA62">
        <v>60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1.0142500000000001</v>
      </c>
      <c r="CY62">
        <f>AB62</f>
        <v>65.709999999999994</v>
      </c>
      <c r="CZ62">
        <f>AF62</f>
        <v>65.709999999999994</v>
      </c>
      <c r="DA62">
        <f>AJ62</f>
        <v>1</v>
      </c>
      <c r="DB62">
        <v>0</v>
      </c>
    </row>
    <row r="63" spans="1:106" x14ac:dyDescent="0.2">
      <c r="A63">
        <f>ROW(Source!A46)</f>
        <v>46</v>
      </c>
      <c r="B63">
        <v>26914188</v>
      </c>
      <c r="C63">
        <v>26920016</v>
      </c>
      <c r="D63">
        <v>25149961</v>
      </c>
      <c r="E63">
        <v>1</v>
      </c>
      <c r="F63">
        <v>1</v>
      </c>
      <c r="G63">
        <v>1</v>
      </c>
      <c r="H63">
        <v>3</v>
      </c>
      <c r="I63" t="s">
        <v>364</v>
      </c>
      <c r="J63" t="s">
        <v>365</v>
      </c>
      <c r="K63" t="s">
        <v>366</v>
      </c>
      <c r="L63">
        <v>1339</v>
      </c>
      <c r="N63">
        <v>1007</v>
      </c>
      <c r="O63" t="s">
        <v>76</v>
      </c>
      <c r="P63" t="s">
        <v>76</v>
      </c>
      <c r="Q63">
        <v>1</v>
      </c>
      <c r="W63">
        <v>0</v>
      </c>
      <c r="X63">
        <v>-1660354250</v>
      </c>
      <c r="Y63">
        <v>0.3</v>
      </c>
      <c r="AA63">
        <v>2.44</v>
      </c>
      <c r="AB63">
        <v>0</v>
      </c>
      <c r="AC63">
        <v>0</v>
      </c>
      <c r="AD63">
        <v>0</v>
      </c>
      <c r="AE63">
        <v>2.44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0.03</v>
      </c>
      <c r="AU63" t="s">
        <v>68</v>
      </c>
      <c r="AV63">
        <v>0</v>
      </c>
      <c r="AW63">
        <v>2</v>
      </c>
      <c r="AX63">
        <v>26920021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2.4342000000000001</v>
      </c>
      <c r="CY63">
        <f>AA63</f>
        <v>2.44</v>
      </c>
      <c r="CZ63">
        <f>AE63</f>
        <v>2.44</v>
      </c>
      <c r="DA63">
        <f>AI63</f>
        <v>1</v>
      </c>
      <c r="DB63">
        <v>0</v>
      </c>
    </row>
    <row r="64" spans="1:106" x14ac:dyDescent="0.2">
      <c r="A64">
        <f>ROW(Source!A46)</f>
        <v>46</v>
      </c>
      <c r="B64">
        <v>26914188</v>
      </c>
      <c r="C64">
        <v>26920016</v>
      </c>
      <c r="D64">
        <v>25155574</v>
      </c>
      <c r="E64">
        <v>1</v>
      </c>
      <c r="F64">
        <v>1</v>
      </c>
      <c r="G64">
        <v>1</v>
      </c>
      <c r="H64">
        <v>3</v>
      </c>
      <c r="I64" t="s">
        <v>367</v>
      </c>
      <c r="J64" t="s">
        <v>368</v>
      </c>
      <c r="K64" t="s">
        <v>369</v>
      </c>
      <c r="L64">
        <v>1348</v>
      </c>
      <c r="N64">
        <v>1009</v>
      </c>
      <c r="O64" t="s">
        <v>24</v>
      </c>
      <c r="P64" t="s">
        <v>24</v>
      </c>
      <c r="Q64">
        <v>1000</v>
      </c>
      <c r="W64">
        <v>0</v>
      </c>
      <c r="X64">
        <v>-2114578287</v>
      </c>
      <c r="Y64">
        <v>1.7999999999999998</v>
      </c>
      <c r="AA64">
        <v>11381.57</v>
      </c>
      <c r="AB64">
        <v>0</v>
      </c>
      <c r="AC64">
        <v>0</v>
      </c>
      <c r="AD64">
        <v>0</v>
      </c>
      <c r="AE64">
        <v>11381.57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0.18</v>
      </c>
      <c r="AU64" t="s">
        <v>68</v>
      </c>
      <c r="AV64">
        <v>0</v>
      </c>
      <c r="AW64">
        <v>2</v>
      </c>
      <c r="AX64">
        <v>26920022</v>
      </c>
      <c r="AY64">
        <v>1</v>
      </c>
      <c r="AZ64">
        <v>0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14.6052</v>
      </c>
      <c r="CY64">
        <f>AA64</f>
        <v>11381.57</v>
      </c>
      <c r="CZ64">
        <f>AE64</f>
        <v>11381.57</v>
      </c>
      <c r="DA64">
        <f>AI64</f>
        <v>1</v>
      </c>
      <c r="DB64">
        <v>0</v>
      </c>
    </row>
    <row r="65" spans="1:106" x14ac:dyDescent="0.2">
      <c r="A65">
        <f>ROW(Source!A47)</f>
        <v>47</v>
      </c>
      <c r="B65">
        <v>26914189</v>
      </c>
      <c r="C65">
        <v>26920016</v>
      </c>
      <c r="D65">
        <v>25413300</v>
      </c>
      <c r="E65">
        <v>1</v>
      </c>
      <c r="F65">
        <v>1</v>
      </c>
      <c r="G65">
        <v>1</v>
      </c>
      <c r="H65">
        <v>1</v>
      </c>
      <c r="I65" t="s">
        <v>339</v>
      </c>
      <c r="J65" t="s">
        <v>6</v>
      </c>
      <c r="K65" t="s">
        <v>340</v>
      </c>
      <c r="L65">
        <v>1191</v>
      </c>
      <c r="N65">
        <v>1013</v>
      </c>
      <c r="O65" t="s">
        <v>332</v>
      </c>
      <c r="P65" t="s">
        <v>332</v>
      </c>
      <c r="Q65">
        <v>1</v>
      </c>
      <c r="W65">
        <v>0</v>
      </c>
      <c r="X65">
        <v>-400197608</v>
      </c>
      <c r="Y65">
        <v>27.83</v>
      </c>
      <c r="AA65">
        <v>0</v>
      </c>
      <c r="AB65">
        <v>0</v>
      </c>
      <c r="AC65">
        <v>0</v>
      </c>
      <c r="AD65">
        <v>65.680000000000007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7.7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2.42</v>
      </c>
      <c r="AU65" t="s">
        <v>70</v>
      </c>
      <c r="AV65">
        <v>1</v>
      </c>
      <c r="AW65">
        <v>2</v>
      </c>
      <c r="AX65">
        <v>26920017</v>
      </c>
      <c r="AY65">
        <v>1</v>
      </c>
      <c r="AZ65">
        <v>0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Y65*Source!I47</f>
        <v>225.81262000000001</v>
      </c>
      <c r="CY65">
        <f>AD65</f>
        <v>65.680000000000007</v>
      </c>
      <c r="CZ65">
        <f>AH65</f>
        <v>8.5299999999999994</v>
      </c>
      <c r="DA65">
        <f>AL65</f>
        <v>7.7</v>
      </c>
      <c r="DB65">
        <v>0</v>
      </c>
    </row>
    <row r="66" spans="1:106" x14ac:dyDescent="0.2">
      <c r="A66">
        <f>ROW(Source!A47)</f>
        <v>47</v>
      </c>
      <c r="B66">
        <v>26914189</v>
      </c>
      <c r="C66">
        <v>26920016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333</v>
      </c>
      <c r="J66" t="s">
        <v>6</v>
      </c>
      <c r="K66" t="s">
        <v>334</v>
      </c>
      <c r="L66">
        <v>1191</v>
      </c>
      <c r="N66">
        <v>1013</v>
      </c>
      <c r="O66" t="s">
        <v>332</v>
      </c>
      <c r="P66" t="s">
        <v>332</v>
      </c>
      <c r="Q66">
        <v>1</v>
      </c>
      <c r="W66">
        <v>0</v>
      </c>
      <c r="X66">
        <v>-1417349443</v>
      </c>
      <c r="Y66">
        <v>0.03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7.7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0.03</v>
      </c>
      <c r="AU66" t="s">
        <v>6</v>
      </c>
      <c r="AV66">
        <v>2</v>
      </c>
      <c r="AW66">
        <v>2</v>
      </c>
      <c r="AX66">
        <v>26920018</v>
      </c>
      <c r="AY66">
        <v>1</v>
      </c>
      <c r="AZ66">
        <v>2048</v>
      </c>
      <c r="BA66">
        <v>64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Y66*Source!I47</f>
        <v>0.24342000000000003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ROW(Source!A47)</f>
        <v>47</v>
      </c>
      <c r="B67">
        <v>26914189</v>
      </c>
      <c r="C67">
        <v>26920016</v>
      </c>
      <c r="D67">
        <v>25230510</v>
      </c>
      <c r="E67">
        <v>1</v>
      </c>
      <c r="F67">
        <v>1</v>
      </c>
      <c r="G67">
        <v>1</v>
      </c>
      <c r="H67">
        <v>2</v>
      </c>
      <c r="I67" t="s">
        <v>361</v>
      </c>
      <c r="J67" t="s">
        <v>362</v>
      </c>
      <c r="K67" t="s">
        <v>363</v>
      </c>
      <c r="L67">
        <v>1368</v>
      </c>
      <c r="N67">
        <v>1011</v>
      </c>
      <c r="O67" t="s">
        <v>338</v>
      </c>
      <c r="P67" t="s">
        <v>338</v>
      </c>
      <c r="Q67">
        <v>1</v>
      </c>
      <c r="W67">
        <v>0</v>
      </c>
      <c r="X67">
        <v>368031958</v>
      </c>
      <c r="Y67">
        <v>0.25</v>
      </c>
      <c r="AA67">
        <v>0</v>
      </c>
      <c r="AB67">
        <v>212.98</v>
      </c>
      <c r="AC67">
        <v>11.6</v>
      </c>
      <c r="AD67">
        <v>0</v>
      </c>
      <c r="AE67">
        <v>0</v>
      </c>
      <c r="AF67">
        <v>27.66</v>
      </c>
      <c r="AG67">
        <v>11.6</v>
      </c>
      <c r="AH67">
        <v>0</v>
      </c>
      <c r="AI67">
        <v>1</v>
      </c>
      <c r="AJ67">
        <v>7.7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0.02</v>
      </c>
      <c r="AU67" t="s">
        <v>69</v>
      </c>
      <c r="AV67">
        <v>0</v>
      </c>
      <c r="AW67">
        <v>2</v>
      </c>
      <c r="AX67">
        <v>26920019</v>
      </c>
      <c r="AY67">
        <v>1</v>
      </c>
      <c r="AZ67">
        <v>0</v>
      </c>
      <c r="BA67">
        <v>65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Y67*Source!I47</f>
        <v>2.0285000000000002</v>
      </c>
      <c r="CY67">
        <f>AB67</f>
        <v>212.98</v>
      </c>
      <c r="CZ67">
        <f>AF67</f>
        <v>27.66</v>
      </c>
      <c r="DA67">
        <f>AJ67</f>
        <v>7.7</v>
      </c>
      <c r="DB67">
        <v>0</v>
      </c>
    </row>
    <row r="68" spans="1:106" x14ac:dyDescent="0.2">
      <c r="A68">
        <f>ROW(Source!A47)</f>
        <v>47</v>
      </c>
      <c r="B68">
        <v>26914189</v>
      </c>
      <c r="C68">
        <v>26920016</v>
      </c>
      <c r="D68">
        <v>25231607</v>
      </c>
      <c r="E68">
        <v>1</v>
      </c>
      <c r="F68">
        <v>1</v>
      </c>
      <c r="G68">
        <v>1</v>
      </c>
      <c r="H68">
        <v>2</v>
      </c>
      <c r="I68" t="s">
        <v>352</v>
      </c>
      <c r="J68" t="s">
        <v>353</v>
      </c>
      <c r="K68" t="s">
        <v>354</v>
      </c>
      <c r="L68">
        <v>1368</v>
      </c>
      <c r="N68">
        <v>1011</v>
      </c>
      <c r="O68" t="s">
        <v>338</v>
      </c>
      <c r="P68" t="s">
        <v>338</v>
      </c>
      <c r="Q68">
        <v>1</v>
      </c>
      <c r="W68">
        <v>0</v>
      </c>
      <c r="X68">
        <v>1372534845</v>
      </c>
      <c r="Y68">
        <v>0.125</v>
      </c>
      <c r="AA68">
        <v>0</v>
      </c>
      <c r="AB68">
        <v>505.97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7.7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0.01</v>
      </c>
      <c r="AU68" t="s">
        <v>69</v>
      </c>
      <c r="AV68">
        <v>0</v>
      </c>
      <c r="AW68">
        <v>2</v>
      </c>
      <c r="AX68">
        <v>26920020</v>
      </c>
      <c r="AY68">
        <v>1</v>
      </c>
      <c r="AZ68">
        <v>0</v>
      </c>
      <c r="BA68">
        <v>66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Y68*Source!I47</f>
        <v>1.0142500000000001</v>
      </c>
      <c r="CY68">
        <f>AB68</f>
        <v>505.97</v>
      </c>
      <c r="CZ68">
        <f>AF68</f>
        <v>65.709999999999994</v>
      </c>
      <c r="DA68">
        <f>AJ68</f>
        <v>7.7</v>
      </c>
      <c r="DB68">
        <v>0</v>
      </c>
    </row>
    <row r="69" spans="1:106" x14ac:dyDescent="0.2">
      <c r="A69">
        <f>ROW(Source!A47)</f>
        <v>47</v>
      </c>
      <c r="B69">
        <v>26914189</v>
      </c>
      <c r="C69">
        <v>26920016</v>
      </c>
      <c r="D69">
        <v>25149961</v>
      </c>
      <c r="E69">
        <v>1</v>
      </c>
      <c r="F69">
        <v>1</v>
      </c>
      <c r="G69">
        <v>1</v>
      </c>
      <c r="H69">
        <v>3</v>
      </c>
      <c r="I69" t="s">
        <v>364</v>
      </c>
      <c r="J69" t="s">
        <v>365</v>
      </c>
      <c r="K69" t="s">
        <v>366</v>
      </c>
      <c r="L69">
        <v>1339</v>
      </c>
      <c r="N69">
        <v>1007</v>
      </c>
      <c r="O69" t="s">
        <v>76</v>
      </c>
      <c r="P69" t="s">
        <v>76</v>
      </c>
      <c r="Q69">
        <v>1</v>
      </c>
      <c r="W69">
        <v>0</v>
      </c>
      <c r="X69">
        <v>-1660354250</v>
      </c>
      <c r="Y69">
        <v>0.3</v>
      </c>
      <c r="AA69">
        <v>18.79</v>
      </c>
      <c r="AB69">
        <v>0</v>
      </c>
      <c r="AC69">
        <v>0</v>
      </c>
      <c r="AD69">
        <v>0</v>
      </c>
      <c r="AE69">
        <v>2.44</v>
      </c>
      <c r="AF69">
        <v>0</v>
      </c>
      <c r="AG69">
        <v>0</v>
      </c>
      <c r="AH69">
        <v>0</v>
      </c>
      <c r="AI69">
        <v>7.7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0.03</v>
      </c>
      <c r="AU69" t="s">
        <v>68</v>
      </c>
      <c r="AV69">
        <v>0</v>
      </c>
      <c r="AW69">
        <v>2</v>
      </c>
      <c r="AX69">
        <v>26920021</v>
      </c>
      <c r="AY69">
        <v>1</v>
      </c>
      <c r="AZ69">
        <v>0</v>
      </c>
      <c r="BA69">
        <v>67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Y69*Source!I47</f>
        <v>2.4342000000000001</v>
      </c>
      <c r="CY69">
        <f>AA69</f>
        <v>18.79</v>
      </c>
      <c r="CZ69">
        <f>AE69</f>
        <v>2.44</v>
      </c>
      <c r="DA69">
        <f>AI69</f>
        <v>7.7</v>
      </c>
      <c r="DB69">
        <v>0</v>
      </c>
    </row>
    <row r="70" spans="1:106" x14ac:dyDescent="0.2">
      <c r="A70">
        <f>ROW(Source!A47)</f>
        <v>47</v>
      </c>
      <c r="B70">
        <v>26914189</v>
      </c>
      <c r="C70">
        <v>26920016</v>
      </c>
      <c r="D70">
        <v>25155574</v>
      </c>
      <c r="E70">
        <v>1</v>
      </c>
      <c r="F70">
        <v>1</v>
      </c>
      <c r="G70">
        <v>1</v>
      </c>
      <c r="H70">
        <v>3</v>
      </c>
      <c r="I70" t="s">
        <v>367</v>
      </c>
      <c r="J70" t="s">
        <v>368</v>
      </c>
      <c r="K70" t="s">
        <v>369</v>
      </c>
      <c r="L70">
        <v>1348</v>
      </c>
      <c r="N70">
        <v>1009</v>
      </c>
      <c r="O70" t="s">
        <v>24</v>
      </c>
      <c r="P70" t="s">
        <v>24</v>
      </c>
      <c r="Q70">
        <v>1000</v>
      </c>
      <c r="W70">
        <v>0</v>
      </c>
      <c r="X70">
        <v>-2114578287</v>
      </c>
      <c r="Y70">
        <v>1.7999999999999998</v>
      </c>
      <c r="AA70">
        <v>87638.09</v>
      </c>
      <c r="AB70">
        <v>0</v>
      </c>
      <c r="AC70">
        <v>0</v>
      </c>
      <c r="AD70">
        <v>0</v>
      </c>
      <c r="AE70">
        <v>11381.57</v>
      </c>
      <c r="AF70">
        <v>0</v>
      </c>
      <c r="AG70">
        <v>0</v>
      </c>
      <c r="AH70">
        <v>0</v>
      </c>
      <c r="AI70">
        <v>7.7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0.18</v>
      </c>
      <c r="AU70" t="s">
        <v>68</v>
      </c>
      <c r="AV70">
        <v>0</v>
      </c>
      <c r="AW70">
        <v>2</v>
      </c>
      <c r="AX70">
        <v>26920022</v>
      </c>
      <c r="AY70">
        <v>1</v>
      </c>
      <c r="AZ70">
        <v>0</v>
      </c>
      <c r="BA70">
        <v>68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Y70*Source!I47</f>
        <v>14.6052</v>
      </c>
      <c r="CY70">
        <f>AA70</f>
        <v>87638.09</v>
      </c>
      <c r="CZ70">
        <f>AE70</f>
        <v>11381.57</v>
      </c>
      <c r="DA70">
        <f>AI70</f>
        <v>7.7</v>
      </c>
      <c r="DB70">
        <v>0</v>
      </c>
    </row>
    <row r="71" spans="1:106" x14ac:dyDescent="0.2">
      <c r="A71">
        <f>ROW(Source!A48)</f>
        <v>48</v>
      </c>
      <c r="B71">
        <v>26914188</v>
      </c>
      <c r="C71">
        <v>26914304</v>
      </c>
      <c r="D71">
        <v>25416173</v>
      </c>
      <c r="E71">
        <v>1</v>
      </c>
      <c r="F71">
        <v>1</v>
      </c>
      <c r="G71">
        <v>1</v>
      </c>
      <c r="H71">
        <v>1</v>
      </c>
      <c r="I71" t="s">
        <v>373</v>
      </c>
      <c r="J71" t="s">
        <v>6</v>
      </c>
      <c r="K71" t="s">
        <v>374</v>
      </c>
      <c r="L71">
        <v>1191</v>
      </c>
      <c r="N71">
        <v>1013</v>
      </c>
      <c r="O71" t="s">
        <v>332</v>
      </c>
      <c r="P71" t="s">
        <v>332</v>
      </c>
      <c r="Q71">
        <v>1</v>
      </c>
      <c r="W71">
        <v>0</v>
      </c>
      <c r="X71">
        <v>-1366118074</v>
      </c>
      <c r="Y71">
        <v>45.436499999999995</v>
      </c>
      <c r="AA71">
        <v>0</v>
      </c>
      <c r="AB71">
        <v>0</v>
      </c>
      <c r="AC71">
        <v>0</v>
      </c>
      <c r="AD71">
        <v>7.94</v>
      </c>
      <c r="AE71">
        <v>0</v>
      </c>
      <c r="AF71">
        <v>0</v>
      </c>
      <c r="AG71">
        <v>0</v>
      </c>
      <c r="AH71">
        <v>7.94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39.51</v>
      </c>
      <c r="AU71" t="s">
        <v>41</v>
      </c>
      <c r="AV71">
        <v>1</v>
      </c>
      <c r="AW71">
        <v>2</v>
      </c>
      <c r="AX71">
        <v>26914311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368.671761</v>
      </c>
      <c r="CY71">
        <f>AD71</f>
        <v>7.94</v>
      </c>
      <c r="CZ71">
        <f>AH71</f>
        <v>7.94</v>
      </c>
      <c r="DA71">
        <f>AL71</f>
        <v>1</v>
      </c>
      <c r="DB71">
        <v>0</v>
      </c>
    </row>
    <row r="72" spans="1:106" x14ac:dyDescent="0.2">
      <c r="A72">
        <f>ROW(Source!A48)</f>
        <v>48</v>
      </c>
      <c r="B72">
        <v>26914188</v>
      </c>
      <c r="C72">
        <v>26914304</v>
      </c>
      <c r="D72">
        <v>25412928</v>
      </c>
      <c r="E72">
        <v>1</v>
      </c>
      <c r="F72">
        <v>1</v>
      </c>
      <c r="G72">
        <v>1</v>
      </c>
      <c r="H72">
        <v>1</v>
      </c>
      <c r="I72" t="s">
        <v>333</v>
      </c>
      <c r="J72" t="s">
        <v>6</v>
      </c>
      <c r="K72" t="s">
        <v>334</v>
      </c>
      <c r="L72">
        <v>1191</v>
      </c>
      <c r="N72">
        <v>1013</v>
      </c>
      <c r="O72" t="s">
        <v>332</v>
      </c>
      <c r="P72" t="s">
        <v>332</v>
      </c>
      <c r="Q72">
        <v>1</v>
      </c>
      <c r="W72">
        <v>0</v>
      </c>
      <c r="X72">
        <v>-1417349443</v>
      </c>
      <c r="Y72">
        <v>1.27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1.27</v>
      </c>
      <c r="AU72" t="s">
        <v>6</v>
      </c>
      <c r="AV72">
        <v>2</v>
      </c>
      <c r="AW72">
        <v>2</v>
      </c>
      <c r="AX72">
        <v>26914312</v>
      </c>
      <c r="AY72">
        <v>1</v>
      </c>
      <c r="AZ72">
        <v>2048</v>
      </c>
      <c r="BA72">
        <v>70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10.304780000000001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ROW(Source!A48)</f>
        <v>48</v>
      </c>
      <c r="B73">
        <v>26914188</v>
      </c>
      <c r="C73">
        <v>26914304</v>
      </c>
      <c r="D73">
        <v>25230514</v>
      </c>
      <c r="E73">
        <v>1</v>
      </c>
      <c r="F73">
        <v>1</v>
      </c>
      <c r="G73">
        <v>1</v>
      </c>
      <c r="H73">
        <v>2</v>
      </c>
      <c r="I73" t="s">
        <v>335</v>
      </c>
      <c r="J73" t="s">
        <v>336</v>
      </c>
      <c r="K73" t="s">
        <v>337</v>
      </c>
      <c r="L73">
        <v>1368</v>
      </c>
      <c r="N73">
        <v>1011</v>
      </c>
      <c r="O73" t="s">
        <v>338</v>
      </c>
      <c r="P73" t="s">
        <v>338</v>
      </c>
      <c r="Q73">
        <v>1</v>
      </c>
      <c r="W73">
        <v>0</v>
      </c>
      <c r="X73">
        <v>1188625873</v>
      </c>
      <c r="Y73">
        <v>1.5874999999999999</v>
      </c>
      <c r="AA73">
        <v>0</v>
      </c>
      <c r="AB73">
        <v>31.26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1.27</v>
      </c>
      <c r="AU73" t="s">
        <v>40</v>
      </c>
      <c r="AV73">
        <v>0</v>
      </c>
      <c r="AW73">
        <v>2</v>
      </c>
      <c r="AX73">
        <v>26914313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12.880975000000001</v>
      </c>
      <c r="CY73">
        <f>AB73</f>
        <v>31.26</v>
      </c>
      <c r="CZ73">
        <f>AF73</f>
        <v>31.26</v>
      </c>
      <c r="DA73">
        <f>AJ73</f>
        <v>1</v>
      </c>
      <c r="DB73">
        <v>0</v>
      </c>
    </row>
    <row r="74" spans="1:106" x14ac:dyDescent="0.2">
      <c r="A74">
        <f>ROW(Source!A48)</f>
        <v>48</v>
      </c>
      <c r="B74">
        <v>26914188</v>
      </c>
      <c r="C74">
        <v>26914304</v>
      </c>
      <c r="D74">
        <v>25230627</v>
      </c>
      <c r="E74">
        <v>1</v>
      </c>
      <c r="F74">
        <v>1</v>
      </c>
      <c r="G74">
        <v>1</v>
      </c>
      <c r="H74">
        <v>2</v>
      </c>
      <c r="I74" t="s">
        <v>375</v>
      </c>
      <c r="J74" t="s">
        <v>376</v>
      </c>
      <c r="K74" t="s">
        <v>377</v>
      </c>
      <c r="L74">
        <v>1368</v>
      </c>
      <c r="N74">
        <v>1011</v>
      </c>
      <c r="O74" t="s">
        <v>338</v>
      </c>
      <c r="P74" t="s">
        <v>338</v>
      </c>
      <c r="Q74">
        <v>1</v>
      </c>
      <c r="W74">
        <v>0</v>
      </c>
      <c r="X74">
        <v>126902709</v>
      </c>
      <c r="Y74">
        <v>11.3375</v>
      </c>
      <c r="AA74">
        <v>0</v>
      </c>
      <c r="AB74">
        <v>0.5</v>
      </c>
      <c r="AC74">
        <v>0</v>
      </c>
      <c r="AD74">
        <v>0</v>
      </c>
      <c r="AE74">
        <v>0</v>
      </c>
      <c r="AF74">
        <v>0.5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9.07</v>
      </c>
      <c r="AU74" t="s">
        <v>40</v>
      </c>
      <c r="AV74">
        <v>0</v>
      </c>
      <c r="AW74">
        <v>2</v>
      </c>
      <c r="AX74">
        <v>26914314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Y74*Source!I48</f>
        <v>91.992475000000013</v>
      </c>
      <c r="CY74">
        <f>AB74</f>
        <v>0.5</v>
      </c>
      <c r="CZ74">
        <f>AF74</f>
        <v>0.5</v>
      </c>
      <c r="DA74">
        <f>AJ74</f>
        <v>1</v>
      </c>
      <c r="DB74">
        <v>0</v>
      </c>
    </row>
    <row r="75" spans="1:106" x14ac:dyDescent="0.2">
      <c r="A75">
        <f>ROW(Source!A48)</f>
        <v>48</v>
      </c>
      <c r="B75">
        <v>26914188</v>
      </c>
      <c r="C75">
        <v>26914304</v>
      </c>
      <c r="D75">
        <v>25149961</v>
      </c>
      <c r="E75">
        <v>1</v>
      </c>
      <c r="F75">
        <v>1</v>
      </c>
      <c r="G75">
        <v>1</v>
      </c>
      <c r="H75">
        <v>3</v>
      </c>
      <c r="I75" t="s">
        <v>364</v>
      </c>
      <c r="J75" t="s">
        <v>365</v>
      </c>
      <c r="K75" t="s">
        <v>366</v>
      </c>
      <c r="L75">
        <v>1339</v>
      </c>
      <c r="N75">
        <v>1007</v>
      </c>
      <c r="O75" t="s">
        <v>76</v>
      </c>
      <c r="P75" t="s">
        <v>76</v>
      </c>
      <c r="Q75">
        <v>1</v>
      </c>
      <c r="W75">
        <v>0</v>
      </c>
      <c r="X75">
        <v>-1660354250</v>
      </c>
      <c r="Y75">
        <v>3.5</v>
      </c>
      <c r="AA75">
        <v>2.44</v>
      </c>
      <c r="AB75">
        <v>0</v>
      </c>
      <c r="AC75">
        <v>0</v>
      </c>
      <c r="AD75">
        <v>0</v>
      </c>
      <c r="AE75">
        <v>2.44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3.5</v>
      </c>
      <c r="AU75" t="s">
        <v>6</v>
      </c>
      <c r="AV75">
        <v>0</v>
      </c>
      <c r="AW75">
        <v>2</v>
      </c>
      <c r="AX75">
        <v>26914315</v>
      </c>
      <c r="AY75">
        <v>1</v>
      </c>
      <c r="AZ75">
        <v>0</v>
      </c>
      <c r="BA75">
        <v>73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Y75*Source!I48</f>
        <v>28.399000000000001</v>
      </c>
      <c r="CY75">
        <f>AA75</f>
        <v>2.44</v>
      </c>
      <c r="CZ75">
        <f>AE75</f>
        <v>2.44</v>
      </c>
      <c r="DA75">
        <f>AI75</f>
        <v>1</v>
      </c>
      <c r="DB75">
        <v>0</v>
      </c>
    </row>
    <row r="76" spans="1:106" x14ac:dyDescent="0.2">
      <c r="A76">
        <f>ROW(Source!A48)</f>
        <v>48</v>
      </c>
      <c r="B76">
        <v>26914188</v>
      </c>
      <c r="C76">
        <v>26914304</v>
      </c>
      <c r="D76">
        <v>25144380</v>
      </c>
      <c r="E76">
        <v>17</v>
      </c>
      <c r="F76">
        <v>1</v>
      </c>
      <c r="G76">
        <v>1</v>
      </c>
      <c r="H76">
        <v>3</v>
      </c>
      <c r="I76" t="s">
        <v>74</v>
      </c>
      <c r="J76" t="s">
        <v>6</v>
      </c>
      <c r="K76" t="s">
        <v>75</v>
      </c>
      <c r="L76">
        <v>1339</v>
      </c>
      <c r="N76">
        <v>1007</v>
      </c>
      <c r="O76" t="s">
        <v>76</v>
      </c>
      <c r="P76" t="s">
        <v>76</v>
      </c>
      <c r="Q76">
        <v>1</v>
      </c>
      <c r="W76">
        <v>0</v>
      </c>
      <c r="X76">
        <v>-2113302258</v>
      </c>
      <c r="Y76">
        <v>2.04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2.04</v>
      </c>
      <c r="AU76" t="s">
        <v>6</v>
      </c>
      <c r="AV76">
        <v>0</v>
      </c>
      <c r="AW76">
        <v>2</v>
      </c>
      <c r="AX76">
        <v>26914316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Y76*Source!I48</f>
        <v>16.552560000000003</v>
      </c>
      <c r="CY76">
        <f>AA76</f>
        <v>0</v>
      </c>
      <c r="CZ76">
        <f>AE76</f>
        <v>0</v>
      </c>
      <c r="DA76">
        <f>AI76</f>
        <v>1</v>
      </c>
      <c r="DB76">
        <v>0</v>
      </c>
    </row>
    <row r="77" spans="1:106" x14ac:dyDescent="0.2">
      <c r="A77">
        <f>ROW(Source!A49)</f>
        <v>49</v>
      </c>
      <c r="B77">
        <v>26914189</v>
      </c>
      <c r="C77">
        <v>26914304</v>
      </c>
      <c r="D77">
        <v>25416173</v>
      </c>
      <c r="E77">
        <v>1</v>
      </c>
      <c r="F77">
        <v>1</v>
      </c>
      <c r="G77">
        <v>1</v>
      </c>
      <c r="H77">
        <v>1</v>
      </c>
      <c r="I77" t="s">
        <v>373</v>
      </c>
      <c r="J77" t="s">
        <v>6</v>
      </c>
      <c r="K77" t="s">
        <v>374</v>
      </c>
      <c r="L77">
        <v>1191</v>
      </c>
      <c r="N77">
        <v>1013</v>
      </c>
      <c r="O77" t="s">
        <v>332</v>
      </c>
      <c r="P77" t="s">
        <v>332</v>
      </c>
      <c r="Q77">
        <v>1</v>
      </c>
      <c r="W77">
        <v>0</v>
      </c>
      <c r="X77">
        <v>-1366118074</v>
      </c>
      <c r="Y77">
        <v>45.436499999999995</v>
      </c>
      <c r="AA77">
        <v>0</v>
      </c>
      <c r="AB77">
        <v>0</v>
      </c>
      <c r="AC77">
        <v>0</v>
      </c>
      <c r="AD77">
        <v>61.14</v>
      </c>
      <c r="AE77">
        <v>0</v>
      </c>
      <c r="AF77">
        <v>0</v>
      </c>
      <c r="AG77">
        <v>0</v>
      </c>
      <c r="AH77">
        <v>7.94</v>
      </c>
      <c r="AI77">
        <v>1</v>
      </c>
      <c r="AJ77">
        <v>1</v>
      </c>
      <c r="AK77">
        <v>1</v>
      </c>
      <c r="AL77">
        <v>7.7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39.51</v>
      </c>
      <c r="AU77" t="s">
        <v>41</v>
      </c>
      <c r="AV77">
        <v>1</v>
      </c>
      <c r="AW77">
        <v>2</v>
      </c>
      <c r="AX77">
        <v>26914311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368.671761</v>
      </c>
      <c r="CY77">
        <f>AD77</f>
        <v>61.14</v>
      </c>
      <c r="CZ77">
        <f>AH77</f>
        <v>7.94</v>
      </c>
      <c r="DA77">
        <f>AL77</f>
        <v>7.7</v>
      </c>
      <c r="DB77">
        <v>0</v>
      </c>
    </row>
    <row r="78" spans="1:106" x14ac:dyDescent="0.2">
      <c r="A78">
        <f>ROW(Source!A49)</f>
        <v>49</v>
      </c>
      <c r="B78">
        <v>26914189</v>
      </c>
      <c r="C78">
        <v>26914304</v>
      </c>
      <c r="D78">
        <v>25412928</v>
      </c>
      <c r="E78">
        <v>1</v>
      </c>
      <c r="F78">
        <v>1</v>
      </c>
      <c r="G78">
        <v>1</v>
      </c>
      <c r="H78">
        <v>1</v>
      </c>
      <c r="I78" t="s">
        <v>333</v>
      </c>
      <c r="J78" t="s">
        <v>6</v>
      </c>
      <c r="K78" t="s">
        <v>334</v>
      </c>
      <c r="L78">
        <v>1191</v>
      </c>
      <c r="N78">
        <v>1013</v>
      </c>
      <c r="O78" t="s">
        <v>332</v>
      </c>
      <c r="P78" t="s">
        <v>332</v>
      </c>
      <c r="Q78">
        <v>1</v>
      </c>
      <c r="W78">
        <v>0</v>
      </c>
      <c r="X78">
        <v>-1417349443</v>
      </c>
      <c r="Y78">
        <v>1.27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7.7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1.27</v>
      </c>
      <c r="AU78" t="s">
        <v>6</v>
      </c>
      <c r="AV78">
        <v>2</v>
      </c>
      <c r="AW78">
        <v>2</v>
      </c>
      <c r="AX78">
        <v>26914312</v>
      </c>
      <c r="AY78">
        <v>1</v>
      </c>
      <c r="AZ78">
        <v>2048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10.304780000000001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ROW(Source!A49)</f>
        <v>49</v>
      </c>
      <c r="B79">
        <v>26914189</v>
      </c>
      <c r="C79">
        <v>26914304</v>
      </c>
      <c r="D79">
        <v>25230514</v>
      </c>
      <c r="E79">
        <v>1</v>
      </c>
      <c r="F79">
        <v>1</v>
      </c>
      <c r="G79">
        <v>1</v>
      </c>
      <c r="H79">
        <v>2</v>
      </c>
      <c r="I79" t="s">
        <v>335</v>
      </c>
      <c r="J79" t="s">
        <v>336</v>
      </c>
      <c r="K79" t="s">
        <v>337</v>
      </c>
      <c r="L79">
        <v>1368</v>
      </c>
      <c r="N79">
        <v>1011</v>
      </c>
      <c r="O79" t="s">
        <v>338</v>
      </c>
      <c r="P79" t="s">
        <v>338</v>
      </c>
      <c r="Q79">
        <v>1</v>
      </c>
      <c r="W79">
        <v>0</v>
      </c>
      <c r="X79">
        <v>1188625873</v>
      </c>
      <c r="Y79">
        <v>1.5874999999999999</v>
      </c>
      <c r="AA79">
        <v>0</v>
      </c>
      <c r="AB79">
        <v>240.7</v>
      </c>
      <c r="AC79">
        <v>13.5</v>
      </c>
      <c r="AD79">
        <v>0</v>
      </c>
      <c r="AE79">
        <v>0</v>
      </c>
      <c r="AF79">
        <v>31.26</v>
      </c>
      <c r="AG79">
        <v>13.5</v>
      </c>
      <c r="AH79">
        <v>0</v>
      </c>
      <c r="AI79">
        <v>1</v>
      </c>
      <c r="AJ79">
        <v>7.7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1.27</v>
      </c>
      <c r="AU79" t="s">
        <v>40</v>
      </c>
      <c r="AV79">
        <v>0</v>
      </c>
      <c r="AW79">
        <v>2</v>
      </c>
      <c r="AX79">
        <v>26914313</v>
      </c>
      <c r="AY79">
        <v>1</v>
      </c>
      <c r="AZ79">
        <v>0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Y79*Source!I49</f>
        <v>12.880975000000001</v>
      </c>
      <c r="CY79">
        <f>AB79</f>
        <v>240.7</v>
      </c>
      <c r="CZ79">
        <f>AF79</f>
        <v>31.26</v>
      </c>
      <c r="DA79">
        <f>AJ79</f>
        <v>7.7</v>
      </c>
      <c r="DB79">
        <v>0</v>
      </c>
    </row>
    <row r="80" spans="1:106" x14ac:dyDescent="0.2">
      <c r="A80">
        <f>ROW(Source!A49)</f>
        <v>49</v>
      </c>
      <c r="B80">
        <v>26914189</v>
      </c>
      <c r="C80">
        <v>26914304</v>
      </c>
      <c r="D80">
        <v>25230627</v>
      </c>
      <c r="E80">
        <v>1</v>
      </c>
      <c r="F80">
        <v>1</v>
      </c>
      <c r="G80">
        <v>1</v>
      </c>
      <c r="H80">
        <v>2</v>
      </c>
      <c r="I80" t="s">
        <v>375</v>
      </c>
      <c r="J80" t="s">
        <v>376</v>
      </c>
      <c r="K80" t="s">
        <v>377</v>
      </c>
      <c r="L80">
        <v>1368</v>
      </c>
      <c r="N80">
        <v>1011</v>
      </c>
      <c r="O80" t="s">
        <v>338</v>
      </c>
      <c r="P80" t="s">
        <v>338</v>
      </c>
      <c r="Q80">
        <v>1</v>
      </c>
      <c r="W80">
        <v>0</v>
      </c>
      <c r="X80">
        <v>126902709</v>
      </c>
      <c r="Y80">
        <v>11.3375</v>
      </c>
      <c r="AA80">
        <v>0</v>
      </c>
      <c r="AB80">
        <v>3.85</v>
      </c>
      <c r="AC80">
        <v>0</v>
      </c>
      <c r="AD80">
        <v>0</v>
      </c>
      <c r="AE80">
        <v>0</v>
      </c>
      <c r="AF80">
        <v>0.5</v>
      </c>
      <c r="AG80">
        <v>0</v>
      </c>
      <c r="AH80">
        <v>0</v>
      </c>
      <c r="AI80">
        <v>1</v>
      </c>
      <c r="AJ80">
        <v>7.7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9.07</v>
      </c>
      <c r="AU80" t="s">
        <v>40</v>
      </c>
      <c r="AV80">
        <v>0</v>
      </c>
      <c r="AW80">
        <v>2</v>
      </c>
      <c r="AX80">
        <v>26914314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Y80*Source!I49</f>
        <v>91.992475000000013</v>
      </c>
      <c r="CY80">
        <f>AB80</f>
        <v>3.85</v>
      </c>
      <c r="CZ80">
        <f>AF80</f>
        <v>0.5</v>
      </c>
      <c r="DA80">
        <f>AJ80</f>
        <v>7.7</v>
      </c>
      <c r="DB80">
        <v>0</v>
      </c>
    </row>
    <row r="81" spans="1:106" x14ac:dyDescent="0.2">
      <c r="A81">
        <f>ROW(Source!A49)</f>
        <v>49</v>
      </c>
      <c r="B81">
        <v>26914189</v>
      </c>
      <c r="C81">
        <v>26914304</v>
      </c>
      <c r="D81">
        <v>25149961</v>
      </c>
      <c r="E81">
        <v>1</v>
      </c>
      <c r="F81">
        <v>1</v>
      </c>
      <c r="G81">
        <v>1</v>
      </c>
      <c r="H81">
        <v>3</v>
      </c>
      <c r="I81" t="s">
        <v>364</v>
      </c>
      <c r="J81" t="s">
        <v>365</v>
      </c>
      <c r="K81" t="s">
        <v>366</v>
      </c>
      <c r="L81">
        <v>1339</v>
      </c>
      <c r="N81">
        <v>1007</v>
      </c>
      <c r="O81" t="s">
        <v>76</v>
      </c>
      <c r="P81" t="s">
        <v>76</v>
      </c>
      <c r="Q81">
        <v>1</v>
      </c>
      <c r="W81">
        <v>0</v>
      </c>
      <c r="X81">
        <v>-1660354250</v>
      </c>
      <c r="Y81">
        <v>3.5</v>
      </c>
      <c r="AA81">
        <v>18.79</v>
      </c>
      <c r="AB81">
        <v>0</v>
      </c>
      <c r="AC81">
        <v>0</v>
      </c>
      <c r="AD81">
        <v>0</v>
      </c>
      <c r="AE81">
        <v>2.44</v>
      </c>
      <c r="AF81">
        <v>0</v>
      </c>
      <c r="AG81">
        <v>0</v>
      </c>
      <c r="AH81">
        <v>0</v>
      </c>
      <c r="AI81">
        <v>7.7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3.5</v>
      </c>
      <c r="AU81" t="s">
        <v>6</v>
      </c>
      <c r="AV81">
        <v>0</v>
      </c>
      <c r="AW81">
        <v>2</v>
      </c>
      <c r="AX81">
        <v>26914315</v>
      </c>
      <c r="AY81">
        <v>1</v>
      </c>
      <c r="AZ81">
        <v>0</v>
      </c>
      <c r="BA81">
        <v>79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Y81*Source!I49</f>
        <v>28.399000000000001</v>
      </c>
      <c r="CY81">
        <f>AA81</f>
        <v>18.79</v>
      </c>
      <c r="CZ81">
        <f>AE81</f>
        <v>2.44</v>
      </c>
      <c r="DA81">
        <f>AI81</f>
        <v>7.7</v>
      </c>
      <c r="DB81">
        <v>0</v>
      </c>
    </row>
    <row r="82" spans="1:106" x14ac:dyDescent="0.2">
      <c r="A82">
        <f>ROW(Source!A49)</f>
        <v>49</v>
      </c>
      <c r="B82">
        <v>26914189</v>
      </c>
      <c r="C82">
        <v>26914304</v>
      </c>
      <c r="D82">
        <v>25144380</v>
      </c>
      <c r="E82">
        <v>17</v>
      </c>
      <c r="F82">
        <v>1</v>
      </c>
      <c r="G82">
        <v>1</v>
      </c>
      <c r="H82">
        <v>3</v>
      </c>
      <c r="I82" t="s">
        <v>74</v>
      </c>
      <c r="J82" t="s">
        <v>6</v>
      </c>
      <c r="K82" t="s">
        <v>75</v>
      </c>
      <c r="L82">
        <v>1339</v>
      </c>
      <c r="N82">
        <v>1007</v>
      </c>
      <c r="O82" t="s">
        <v>76</v>
      </c>
      <c r="P82" t="s">
        <v>76</v>
      </c>
      <c r="Q82">
        <v>1</v>
      </c>
      <c r="W82">
        <v>0</v>
      </c>
      <c r="X82">
        <v>-2113302258</v>
      </c>
      <c r="Y82">
        <v>2.04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7.7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</v>
      </c>
      <c r="AT82">
        <v>2.04</v>
      </c>
      <c r="AU82" t="s">
        <v>6</v>
      </c>
      <c r="AV82">
        <v>0</v>
      </c>
      <c r="AW82">
        <v>2</v>
      </c>
      <c r="AX82">
        <v>26914316</v>
      </c>
      <c r="AY82">
        <v>1</v>
      </c>
      <c r="AZ82">
        <v>0</v>
      </c>
      <c r="BA82">
        <v>80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Y82*Source!I49</f>
        <v>16.552560000000003</v>
      </c>
      <c r="CY82">
        <f>AA82</f>
        <v>0</v>
      </c>
      <c r="CZ82">
        <f>AE82</f>
        <v>0</v>
      </c>
      <c r="DA82">
        <f>AI82</f>
        <v>7.7</v>
      </c>
      <c r="DB82">
        <v>0</v>
      </c>
    </row>
    <row r="83" spans="1:106" x14ac:dyDescent="0.2">
      <c r="A83">
        <f>ROW(Source!A52)</f>
        <v>52</v>
      </c>
      <c r="B83">
        <v>26914188</v>
      </c>
      <c r="C83">
        <v>26914318</v>
      </c>
      <c r="D83">
        <v>25416173</v>
      </c>
      <c r="E83">
        <v>1</v>
      </c>
      <c r="F83">
        <v>1</v>
      </c>
      <c r="G83">
        <v>1</v>
      </c>
      <c r="H83">
        <v>1</v>
      </c>
      <c r="I83" t="s">
        <v>373</v>
      </c>
      <c r="J83" t="s">
        <v>6</v>
      </c>
      <c r="K83" t="s">
        <v>374</v>
      </c>
      <c r="L83">
        <v>1191</v>
      </c>
      <c r="N83">
        <v>1013</v>
      </c>
      <c r="O83" t="s">
        <v>332</v>
      </c>
      <c r="P83" t="s">
        <v>332</v>
      </c>
      <c r="Q83">
        <v>1</v>
      </c>
      <c r="W83">
        <v>0</v>
      </c>
      <c r="X83">
        <v>-1366118074</v>
      </c>
      <c r="Y83">
        <v>0.57499999999999996</v>
      </c>
      <c r="AA83">
        <v>0</v>
      </c>
      <c r="AB83">
        <v>0</v>
      </c>
      <c r="AC83">
        <v>0</v>
      </c>
      <c r="AD83">
        <v>7.94</v>
      </c>
      <c r="AE83">
        <v>0</v>
      </c>
      <c r="AF83">
        <v>0</v>
      </c>
      <c r="AG83">
        <v>0</v>
      </c>
      <c r="AH83">
        <v>7.94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0.5</v>
      </c>
      <c r="AU83" t="s">
        <v>41</v>
      </c>
      <c r="AV83">
        <v>1</v>
      </c>
      <c r="AW83">
        <v>2</v>
      </c>
      <c r="AX83">
        <v>26914324</v>
      </c>
      <c r="AY83">
        <v>1</v>
      </c>
      <c r="AZ83">
        <v>0</v>
      </c>
      <c r="BA83">
        <v>81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Y83*Source!I52</f>
        <v>4.6655499999999996</v>
      </c>
      <c r="CY83">
        <f>AD83</f>
        <v>7.94</v>
      </c>
      <c r="CZ83">
        <f>AH83</f>
        <v>7.94</v>
      </c>
      <c r="DA83">
        <f>AL83</f>
        <v>1</v>
      </c>
      <c r="DB83">
        <v>0</v>
      </c>
    </row>
    <row r="84" spans="1:106" x14ac:dyDescent="0.2">
      <c r="A84">
        <f>ROW(Source!A52)</f>
        <v>52</v>
      </c>
      <c r="B84">
        <v>26914188</v>
      </c>
      <c r="C84">
        <v>26914318</v>
      </c>
      <c r="D84">
        <v>25412928</v>
      </c>
      <c r="E84">
        <v>1</v>
      </c>
      <c r="F84">
        <v>1</v>
      </c>
      <c r="G84">
        <v>1</v>
      </c>
      <c r="H84">
        <v>1</v>
      </c>
      <c r="I84" t="s">
        <v>333</v>
      </c>
      <c r="J84" t="s">
        <v>6</v>
      </c>
      <c r="K84" t="s">
        <v>334</v>
      </c>
      <c r="L84">
        <v>1191</v>
      </c>
      <c r="N84">
        <v>1013</v>
      </c>
      <c r="O84" t="s">
        <v>332</v>
      </c>
      <c r="P84" t="s">
        <v>332</v>
      </c>
      <c r="Q84">
        <v>1</v>
      </c>
      <c r="W84">
        <v>0</v>
      </c>
      <c r="X84">
        <v>-1417349443</v>
      </c>
      <c r="Y84">
        <v>0.21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0.21</v>
      </c>
      <c r="AU84" t="s">
        <v>6</v>
      </c>
      <c r="AV84">
        <v>2</v>
      </c>
      <c r="AW84">
        <v>2</v>
      </c>
      <c r="AX84">
        <v>26914325</v>
      </c>
      <c r="AY84">
        <v>1</v>
      </c>
      <c r="AZ84">
        <v>2048</v>
      </c>
      <c r="BA84">
        <v>82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Y84*Source!I52</f>
        <v>1.70394</v>
      </c>
      <c r="CY84">
        <f>AD84</f>
        <v>0</v>
      </c>
      <c r="CZ84">
        <f>AH84</f>
        <v>0</v>
      </c>
      <c r="DA84">
        <f>AL84</f>
        <v>1</v>
      </c>
      <c r="DB84">
        <v>0</v>
      </c>
    </row>
    <row r="85" spans="1:106" x14ac:dyDescent="0.2">
      <c r="A85">
        <f>ROW(Source!A52)</f>
        <v>52</v>
      </c>
      <c r="B85">
        <v>26914188</v>
      </c>
      <c r="C85">
        <v>26914318</v>
      </c>
      <c r="D85">
        <v>25230514</v>
      </c>
      <c r="E85">
        <v>1</v>
      </c>
      <c r="F85">
        <v>1</v>
      </c>
      <c r="G85">
        <v>1</v>
      </c>
      <c r="H85">
        <v>2</v>
      </c>
      <c r="I85" t="s">
        <v>335</v>
      </c>
      <c r="J85" t="s">
        <v>336</v>
      </c>
      <c r="K85" t="s">
        <v>337</v>
      </c>
      <c r="L85">
        <v>1368</v>
      </c>
      <c r="N85">
        <v>1011</v>
      </c>
      <c r="O85" t="s">
        <v>338</v>
      </c>
      <c r="P85" t="s">
        <v>338</v>
      </c>
      <c r="Q85">
        <v>1</v>
      </c>
      <c r="W85">
        <v>0</v>
      </c>
      <c r="X85">
        <v>1188625873</v>
      </c>
      <c r="Y85">
        <v>0.26250000000000001</v>
      </c>
      <c r="AA85">
        <v>0</v>
      </c>
      <c r="AB85">
        <v>31.26</v>
      </c>
      <c r="AC85">
        <v>13.5</v>
      </c>
      <c r="AD85">
        <v>0</v>
      </c>
      <c r="AE85">
        <v>0</v>
      </c>
      <c r="AF85">
        <v>31.26</v>
      </c>
      <c r="AG85">
        <v>13.5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0.21</v>
      </c>
      <c r="AU85" t="s">
        <v>40</v>
      </c>
      <c r="AV85">
        <v>0</v>
      </c>
      <c r="AW85">
        <v>2</v>
      </c>
      <c r="AX85">
        <v>26914326</v>
      </c>
      <c r="AY85">
        <v>1</v>
      </c>
      <c r="AZ85">
        <v>0</v>
      </c>
      <c r="BA85">
        <v>83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Y85*Source!I52</f>
        <v>2.1299250000000005</v>
      </c>
      <c r="CY85">
        <f>AB85</f>
        <v>31.26</v>
      </c>
      <c r="CZ85">
        <f>AF85</f>
        <v>31.26</v>
      </c>
      <c r="DA85">
        <f>AJ85</f>
        <v>1</v>
      </c>
      <c r="DB85">
        <v>0</v>
      </c>
    </row>
    <row r="86" spans="1:106" x14ac:dyDescent="0.2">
      <c r="A86">
        <f>ROW(Source!A52)</f>
        <v>52</v>
      </c>
      <c r="B86">
        <v>26914188</v>
      </c>
      <c r="C86">
        <v>26914318</v>
      </c>
      <c r="D86">
        <v>25230627</v>
      </c>
      <c r="E86">
        <v>1</v>
      </c>
      <c r="F86">
        <v>1</v>
      </c>
      <c r="G86">
        <v>1</v>
      </c>
      <c r="H86">
        <v>2</v>
      </c>
      <c r="I86" t="s">
        <v>375</v>
      </c>
      <c r="J86" t="s">
        <v>376</v>
      </c>
      <c r="K86" t="s">
        <v>377</v>
      </c>
      <c r="L86">
        <v>1368</v>
      </c>
      <c r="N86">
        <v>1011</v>
      </c>
      <c r="O86" t="s">
        <v>338</v>
      </c>
      <c r="P86" t="s">
        <v>338</v>
      </c>
      <c r="Q86">
        <v>1</v>
      </c>
      <c r="W86">
        <v>0</v>
      </c>
      <c r="X86">
        <v>126902709</v>
      </c>
      <c r="Y86">
        <v>2.9</v>
      </c>
      <c r="AA86">
        <v>0</v>
      </c>
      <c r="AB86">
        <v>0.5</v>
      </c>
      <c r="AC86">
        <v>0</v>
      </c>
      <c r="AD86">
        <v>0</v>
      </c>
      <c r="AE86">
        <v>0</v>
      </c>
      <c r="AF86">
        <v>0.5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2.3199999999999998</v>
      </c>
      <c r="AU86" t="s">
        <v>40</v>
      </c>
      <c r="AV86">
        <v>0</v>
      </c>
      <c r="AW86">
        <v>2</v>
      </c>
      <c r="AX86">
        <v>26914327</v>
      </c>
      <c r="AY86">
        <v>1</v>
      </c>
      <c r="AZ86">
        <v>0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Y86*Source!I52</f>
        <v>23.5306</v>
      </c>
      <c r="CY86">
        <f>AB86</f>
        <v>0.5</v>
      </c>
      <c r="CZ86">
        <f>AF86</f>
        <v>0.5</v>
      </c>
      <c r="DA86">
        <f>AJ86</f>
        <v>1</v>
      </c>
      <c r="DB86">
        <v>0</v>
      </c>
    </row>
    <row r="87" spans="1:106" x14ac:dyDescent="0.2">
      <c r="A87">
        <f>ROW(Source!A52)</f>
        <v>52</v>
      </c>
      <c r="B87">
        <v>26914188</v>
      </c>
      <c r="C87">
        <v>26914318</v>
      </c>
      <c r="D87">
        <v>25144380</v>
      </c>
      <c r="E87">
        <v>17</v>
      </c>
      <c r="F87">
        <v>1</v>
      </c>
      <c r="G87">
        <v>1</v>
      </c>
      <c r="H87">
        <v>3</v>
      </c>
      <c r="I87" t="s">
        <v>74</v>
      </c>
      <c r="J87" t="s">
        <v>6</v>
      </c>
      <c r="K87" t="s">
        <v>75</v>
      </c>
      <c r="L87">
        <v>1339</v>
      </c>
      <c r="N87">
        <v>1007</v>
      </c>
      <c r="O87" t="s">
        <v>76</v>
      </c>
      <c r="P87" t="s">
        <v>76</v>
      </c>
      <c r="Q87">
        <v>1</v>
      </c>
      <c r="W87">
        <v>0</v>
      </c>
      <c r="X87">
        <v>-2113302258</v>
      </c>
      <c r="Y87">
        <v>0.51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0.51</v>
      </c>
      <c r="AU87" t="s">
        <v>6</v>
      </c>
      <c r="AV87">
        <v>0</v>
      </c>
      <c r="AW87">
        <v>2</v>
      </c>
      <c r="AX87">
        <v>26914328</v>
      </c>
      <c r="AY87">
        <v>1</v>
      </c>
      <c r="AZ87">
        <v>0</v>
      </c>
      <c r="BA87">
        <v>85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Y87*Source!I52</f>
        <v>4.1381400000000008</v>
      </c>
      <c r="CY87">
        <f>AA87</f>
        <v>0</v>
      </c>
      <c r="CZ87">
        <f>AE87</f>
        <v>0</v>
      </c>
      <c r="DA87">
        <f>AI87</f>
        <v>1</v>
      </c>
      <c r="DB87">
        <v>0</v>
      </c>
    </row>
    <row r="88" spans="1:106" x14ac:dyDescent="0.2">
      <c r="A88">
        <f>ROW(Source!A53)</f>
        <v>53</v>
      </c>
      <c r="B88">
        <v>26914189</v>
      </c>
      <c r="C88">
        <v>26914318</v>
      </c>
      <c r="D88">
        <v>25416173</v>
      </c>
      <c r="E88">
        <v>1</v>
      </c>
      <c r="F88">
        <v>1</v>
      </c>
      <c r="G88">
        <v>1</v>
      </c>
      <c r="H88">
        <v>1</v>
      </c>
      <c r="I88" t="s">
        <v>373</v>
      </c>
      <c r="J88" t="s">
        <v>6</v>
      </c>
      <c r="K88" t="s">
        <v>374</v>
      </c>
      <c r="L88">
        <v>1191</v>
      </c>
      <c r="N88">
        <v>1013</v>
      </c>
      <c r="O88" t="s">
        <v>332</v>
      </c>
      <c r="P88" t="s">
        <v>332</v>
      </c>
      <c r="Q88">
        <v>1</v>
      </c>
      <c r="W88">
        <v>0</v>
      </c>
      <c r="X88">
        <v>-1366118074</v>
      </c>
      <c r="Y88">
        <v>0.57499999999999996</v>
      </c>
      <c r="AA88">
        <v>0</v>
      </c>
      <c r="AB88">
        <v>0</v>
      </c>
      <c r="AC88">
        <v>0</v>
      </c>
      <c r="AD88">
        <v>61.14</v>
      </c>
      <c r="AE88">
        <v>0</v>
      </c>
      <c r="AF88">
        <v>0</v>
      </c>
      <c r="AG88">
        <v>0</v>
      </c>
      <c r="AH88">
        <v>7.94</v>
      </c>
      <c r="AI88">
        <v>1</v>
      </c>
      <c r="AJ88">
        <v>1</v>
      </c>
      <c r="AK88">
        <v>1</v>
      </c>
      <c r="AL88">
        <v>7.7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0.5</v>
      </c>
      <c r="AU88" t="s">
        <v>41</v>
      </c>
      <c r="AV88">
        <v>1</v>
      </c>
      <c r="AW88">
        <v>2</v>
      </c>
      <c r="AX88">
        <v>26914324</v>
      </c>
      <c r="AY88">
        <v>1</v>
      </c>
      <c r="AZ88">
        <v>0</v>
      </c>
      <c r="BA88">
        <v>86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Y88*Source!I53</f>
        <v>4.6655499999999996</v>
      </c>
      <c r="CY88">
        <f>AD88</f>
        <v>61.14</v>
      </c>
      <c r="CZ88">
        <f>AH88</f>
        <v>7.94</v>
      </c>
      <c r="DA88">
        <f>AL88</f>
        <v>7.7</v>
      </c>
      <c r="DB88">
        <v>0</v>
      </c>
    </row>
    <row r="89" spans="1:106" x14ac:dyDescent="0.2">
      <c r="A89">
        <f>ROW(Source!A53)</f>
        <v>53</v>
      </c>
      <c r="B89">
        <v>26914189</v>
      </c>
      <c r="C89">
        <v>26914318</v>
      </c>
      <c r="D89">
        <v>25412928</v>
      </c>
      <c r="E89">
        <v>1</v>
      </c>
      <c r="F89">
        <v>1</v>
      </c>
      <c r="G89">
        <v>1</v>
      </c>
      <c r="H89">
        <v>1</v>
      </c>
      <c r="I89" t="s">
        <v>333</v>
      </c>
      <c r="J89" t="s">
        <v>6</v>
      </c>
      <c r="K89" t="s">
        <v>334</v>
      </c>
      <c r="L89">
        <v>1191</v>
      </c>
      <c r="N89">
        <v>1013</v>
      </c>
      <c r="O89" t="s">
        <v>332</v>
      </c>
      <c r="P89" t="s">
        <v>332</v>
      </c>
      <c r="Q89">
        <v>1</v>
      </c>
      <c r="W89">
        <v>0</v>
      </c>
      <c r="X89">
        <v>-1417349443</v>
      </c>
      <c r="Y89">
        <v>0.21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7.7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0.21</v>
      </c>
      <c r="AU89" t="s">
        <v>6</v>
      </c>
      <c r="AV89">
        <v>2</v>
      </c>
      <c r="AW89">
        <v>2</v>
      </c>
      <c r="AX89">
        <v>26914325</v>
      </c>
      <c r="AY89">
        <v>1</v>
      </c>
      <c r="AZ89">
        <v>2048</v>
      </c>
      <c r="BA89">
        <v>87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Y89*Source!I53</f>
        <v>1.70394</v>
      </c>
      <c r="CY89">
        <f>AD89</f>
        <v>0</v>
      </c>
      <c r="CZ89">
        <f>AH89</f>
        <v>0</v>
      </c>
      <c r="DA89">
        <f>AL89</f>
        <v>1</v>
      </c>
      <c r="DB89">
        <v>0</v>
      </c>
    </row>
    <row r="90" spans="1:106" x14ac:dyDescent="0.2">
      <c r="A90">
        <f>ROW(Source!A53)</f>
        <v>53</v>
      </c>
      <c r="B90">
        <v>26914189</v>
      </c>
      <c r="C90">
        <v>26914318</v>
      </c>
      <c r="D90">
        <v>25230514</v>
      </c>
      <c r="E90">
        <v>1</v>
      </c>
      <c r="F90">
        <v>1</v>
      </c>
      <c r="G90">
        <v>1</v>
      </c>
      <c r="H90">
        <v>2</v>
      </c>
      <c r="I90" t="s">
        <v>335</v>
      </c>
      <c r="J90" t="s">
        <v>336</v>
      </c>
      <c r="K90" t="s">
        <v>337</v>
      </c>
      <c r="L90">
        <v>1368</v>
      </c>
      <c r="N90">
        <v>1011</v>
      </c>
      <c r="O90" t="s">
        <v>338</v>
      </c>
      <c r="P90" t="s">
        <v>338</v>
      </c>
      <c r="Q90">
        <v>1</v>
      </c>
      <c r="W90">
        <v>0</v>
      </c>
      <c r="X90">
        <v>1188625873</v>
      </c>
      <c r="Y90">
        <v>0.26250000000000001</v>
      </c>
      <c r="AA90">
        <v>0</v>
      </c>
      <c r="AB90">
        <v>240.7</v>
      </c>
      <c r="AC90">
        <v>13.5</v>
      </c>
      <c r="AD90">
        <v>0</v>
      </c>
      <c r="AE90">
        <v>0</v>
      </c>
      <c r="AF90">
        <v>31.26</v>
      </c>
      <c r="AG90">
        <v>13.5</v>
      </c>
      <c r="AH90">
        <v>0</v>
      </c>
      <c r="AI90">
        <v>1</v>
      </c>
      <c r="AJ90">
        <v>7.7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0.21</v>
      </c>
      <c r="AU90" t="s">
        <v>40</v>
      </c>
      <c r="AV90">
        <v>0</v>
      </c>
      <c r="AW90">
        <v>2</v>
      </c>
      <c r="AX90">
        <v>26914326</v>
      </c>
      <c r="AY90">
        <v>1</v>
      </c>
      <c r="AZ90">
        <v>0</v>
      </c>
      <c r="BA90">
        <v>88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Y90*Source!I53</f>
        <v>2.1299250000000005</v>
      </c>
      <c r="CY90">
        <f>AB90</f>
        <v>240.7</v>
      </c>
      <c r="CZ90">
        <f>AF90</f>
        <v>31.26</v>
      </c>
      <c r="DA90">
        <f>AJ90</f>
        <v>7.7</v>
      </c>
      <c r="DB90">
        <v>0</v>
      </c>
    </row>
    <row r="91" spans="1:106" x14ac:dyDescent="0.2">
      <c r="A91">
        <f>ROW(Source!A53)</f>
        <v>53</v>
      </c>
      <c r="B91">
        <v>26914189</v>
      </c>
      <c r="C91">
        <v>26914318</v>
      </c>
      <c r="D91">
        <v>25230627</v>
      </c>
      <c r="E91">
        <v>1</v>
      </c>
      <c r="F91">
        <v>1</v>
      </c>
      <c r="G91">
        <v>1</v>
      </c>
      <c r="H91">
        <v>2</v>
      </c>
      <c r="I91" t="s">
        <v>375</v>
      </c>
      <c r="J91" t="s">
        <v>376</v>
      </c>
      <c r="K91" t="s">
        <v>377</v>
      </c>
      <c r="L91">
        <v>1368</v>
      </c>
      <c r="N91">
        <v>1011</v>
      </c>
      <c r="O91" t="s">
        <v>338</v>
      </c>
      <c r="P91" t="s">
        <v>338</v>
      </c>
      <c r="Q91">
        <v>1</v>
      </c>
      <c r="W91">
        <v>0</v>
      </c>
      <c r="X91">
        <v>126902709</v>
      </c>
      <c r="Y91">
        <v>2.9</v>
      </c>
      <c r="AA91">
        <v>0</v>
      </c>
      <c r="AB91">
        <v>3.85</v>
      </c>
      <c r="AC91">
        <v>0</v>
      </c>
      <c r="AD91">
        <v>0</v>
      </c>
      <c r="AE91">
        <v>0</v>
      </c>
      <c r="AF91">
        <v>0.5</v>
      </c>
      <c r="AG91">
        <v>0</v>
      </c>
      <c r="AH91">
        <v>0</v>
      </c>
      <c r="AI91">
        <v>1</v>
      </c>
      <c r="AJ91">
        <v>7.7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2.3199999999999998</v>
      </c>
      <c r="AU91" t="s">
        <v>40</v>
      </c>
      <c r="AV91">
        <v>0</v>
      </c>
      <c r="AW91">
        <v>2</v>
      </c>
      <c r="AX91">
        <v>26914327</v>
      </c>
      <c r="AY91">
        <v>1</v>
      </c>
      <c r="AZ91">
        <v>0</v>
      </c>
      <c r="BA91">
        <v>89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Y91*Source!I53</f>
        <v>23.5306</v>
      </c>
      <c r="CY91">
        <f>AB91</f>
        <v>3.85</v>
      </c>
      <c r="CZ91">
        <f>AF91</f>
        <v>0.5</v>
      </c>
      <c r="DA91">
        <f>AJ91</f>
        <v>7.7</v>
      </c>
      <c r="DB91">
        <v>0</v>
      </c>
    </row>
    <row r="92" spans="1:106" x14ac:dyDescent="0.2">
      <c r="A92">
        <f>ROW(Source!A53)</f>
        <v>53</v>
      </c>
      <c r="B92">
        <v>26914189</v>
      </c>
      <c r="C92">
        <v>26914318</v>
      </c>
      <c r="D92">
        <v>25144380</v>
      </c>
      <c r="E92">
        <v>17</v>
      </c>
      <c r="F92">
        <v>1</v>
      </c>
      <c r="G92">
        <v>1</v>
      </c>
      <c r="H92">
        <v>3</v>
      </c>
      <c r="I92" t="s">
        <v>74</v>
      </c>
      <c r="J92" t="s">
        <v>6</v>
      </c>
      <c r="K92" t="s">
        <v>75</v>
      </c>
      <c r="L92">
        <v>1339</v>
      </c>
      <c r="N92">
        <v>1007</v>
      </c>
      <c r="O92" t="s">
        <v>76</v>
      </c>
      <c r="P92" t="s">
        <v>76</v>
      </c>
      <c r="Q92">
        <v>1</v>
      </c>
      <c r="W92">
        <v>0</v>
      </c>
      <c r="X92">
        <v>-2113302258</v>
      </c>
      <c r="Y92">
        <v>0.51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7.7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</v>
      </c>
      <c r="AT92">
        <v>0.51</v>
      </c>
      <c r="AU92" t="s">
        <v>6</v>
      </c>
      <c r="AV92">
        <v>0</v>
      </c>
      <c r="AW92">
        <v>2</v>
      </c>
      <c r="AX92">
        <v>26914328</v>
      </c>
      <c r="AY92">
        <v>1</v>
      </c>
      <c r="AZ92">
        <v>0</v>
      </c>
      <c r="BA92">
        <v>90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Y92*Source!I53</f>
        <v>4.1381400000000008</v>
      </c>
      <c r="CY92">
        <f>AA92</f>
        <v>0</v>
      </c>
      <c r="CZ92">
        <f>AE92</f>
        <v>0</v>
      </c>
      <c r="DA92">
        <f>AI92</f>
        <v>7.7</v>
      </c>
      <c r="DB92">
        <v>0</v>
      </c>
    </row>
    <row r="93" spans="1:106" x14ac:dyDescent="0.2">
      <c r="A93">
        <f>ROW(Source!A56)</f>
        <v>56</v>
      </c>
      <c r="B93">
        <v>26914188</v>
      </c>
      <c r="C93">
        <v>26914330</v>
      </c>
      <c r="D93">
        <v>25418547</v>
      </c>
      <c r="E93">
        <v>1</v>
      </c>
      <c r="F93">
        <v>1</v>
      </c>
      <c r="G93">
        <v>1</v>
      </c>
      <c r="H93">
        <v>1</v>
      </c>
      <c r="I93" t="s">
        <v>378</v>
      </c>
      <c r="J93" t="s">
        <v>6</v>
      </c>
      <c r="K93" t="s">
        <v>379</v>
      </c>
      <c r="L93">
        <v>1191</v>
      </c>
      <c r="N93">
        <v>1013</v>
      </c>
      <c r="O93" t="s">
        <v>332</v>
      </c>
      <c r="P93" t="s">
        <v>332</v>
      </c>
      <c r="Q93">
        <v>1</v>
      </c>
      <c r="W93">
        <v>0</v>
      </c>
      <c r="X93">
        <v>-784637506</v>
      </c>
      <c r="Y93">
        <v>356.983</v>
      </c>
      <c r="AA93">
        <v>0</v>
      </c>
      <c r="AB93">
        <v>0</v>
      </c>
      <c r="AC93">
        <v>0</v>
      </c>
      <c r="AD93">
        <v>8.74</v>
      </c>
      <c r="AE93">
        <v>0</v>
      </c>
      <c r="AF93">
        <v>0</v>
      </c>
      <c r="AG93">
        <v>0</v>
      </c>
      <c r="AH93">
        <v>8.74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310.42</v>
      </c>
      <c r="AU93" t="s">
        <v>41</v>
      </c>
      <c r="AV93">
        <v>1</v>
      </c>
      <c r="AW93">
        <v>2</v>
      </c>
      <c r="AX93">
        <v>26914343</v>
      </c>
      <c r="AY93">
        <v>1</v>
      </c>
      <c r="AZ93">
        <v>0</v>
      </c>
      <c r="BA93">
        <v>91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2896.5600620000005</v>
      </c>
      <c r="CY93">
        <f>AD93</f>
        <v>8.74</v>
      </c>
      <c r="CZ93">
        <f>AH93</f>
        <v>8.74</v>
      </c>
      <c r="DA93">
        <f>AL93</f>
        <v>1</v>
      </c>
      <c r="DB93">
        <v>0</v>
      </c>
    </row>
    <row r="94" spans="1:106" x14ac:dyDescent="0.2">
      <c r="A94">
        <f>ROW(Source!A56)</f>
        <v>56</v>
      </c>
      <c r="B94">
        <v>26914188</v>
      </c>
      <c r="C94">
        <v>26914330</v>
      </c>
      <c r="D94">
        <v>25412928</v>
      </c>
      <c r="E94">
        <v>1</v>
      </c>
      <c r="F94">
        <v>1</v>
      </c>
      <c r="G94">
        <v>1</v>
      </c>
      <c r="H94">
        <v>1</v>
      </c>
      <c r="I94" t="s">
        <v>333</v>
      </c>
      <c r="J94" t="s">
        <v>6</v>
      </c>
      <c r="K94" t="s">
        <v>334</v>
      </c>
      <c r="L94">
        <v>1191</v>
      </c>
      <c r="N94">
        <v>1013</v>
      </c>
      <c r="O94" t="s">
        <v>332</v>
      </c>
      <c r="P94" t="s">
        <v>332</v>
      </c>
      <c r="Q94">
        <v>1</v>
      </c>
      <c r="W94">
        <v>0</v>
      </c>
      <c r="X94">
        <v>-1417349443</v>
      </c>
      <c r="Y94">
        <v>1.73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1.73</v>
      </c>
      <c r="AU94" t="s">
        <v>6</v>
      </c>
      <c r="AV94">
        <v>2</v>
      </c>
      <c r="AW94">
        <v>2</v>
      </c>
      <c r="AX94">
        <v>26914344</v>
      </c>
      <c r="AY94">
        <v>1</v>
      </c>
      <c r="AZ94">
        <v>2048</v>
      </c>
      <c r="BA94">
        <v>92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Y94*Source!I56</f>
        <v>14.037220000000001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ROW(Source!A56)</f>
        <v>56</v>
      </c>
      <c r="B95">
        <v>26914188</v>
      </c>
      <c r="C95">
        <v>26914330</v>
      </c>
      <c r="D95">
        <v>25230116</v>
      </c>
      <c r="E95">
        <v>1</v>
      </c>
      <c r="F95">
        <v>1</v>
      </c>
      <c r="G95">
        <v>1</v>
      </c>
      <c r="H95">
        <v>2</v>
      </c>
      <c r="I95" t="s">
        <v>380</v>
      </c>
      <c r="J95" t="s">
        <v>381</v>
      </c>
      <c r="K95" t="s">
        <v>382</v>
      </c>
      <c r="L95">
        <v>1368</v>
      </c>
      <c r="N95">
        <v>1011</v>
      </c>
      <c r="O95" t="s">
        <v>338</v>
      </c>
      <c r="P95" t="s">
        <v>338</v>
      </c>
      <c r="Q95">
        <v>1</v>
      </c>
      <c r="W95">
        <v>0</v>
      </c>
      <c r="X95">
        <v>257150282</v>
      </c>
      <c r="Y95">
        <v>2.5000000000000001E-2</v>
      </c>
      <c r="AA95">
        <v>0</v>
      </c>
      <c r="AB95">
        <v>83.43</v>
      </c>
      <c r="AC95">
        <v>13.5</v>
      </c>
      <c r="AD95">
        <v>0</v>
      </c>
      <c r="AE95">
        <v>0</v>
      </c>
      <c r="AF95">
        <v>83.43</v>
      </c>
      <c r="AG95">
        <v>13.5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0.02</v>
      </c>
      <c r="AU95" t="s">
        <v>40</v>
      </c>
      <c r="AV95">
        <v>0</v>
      </c>
      <c r="AW95">
        <v>2</v>
      </c>
      <c r="AX95">
        <v>26914345</v>
      </c>
      <c r="AY95">
        <v>1</v>
      </c>
      <c r="AZ95">
        <v>0</v>
      </c>
      <c r="BA95">
        <v>93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Y95*Source!I56</f>
        <v>0.20285000000000003</v>
      </c>
      <c r="CY95">
        <f>AB95</f>
        <v>83.43</v>
      </c>
      <c r="CZ95">
        <f>AF95</f>
        <v>83.43</v>
      </c>
      <c r="DA95">
        <f>AJ95</f>
        <v>1</v>
      </c>
      <c r="DB95">
        <v>0</v>
      </c>
    </row>
    <row r="96" spans="1:106" x14ac:dyDescent="0.2">
      <c r="A96">
        <f>ROW(Source!A56)</f>
        <v>56</v>
      </c>
      <c r="B96">
        <v>26914188</v>
      </c>
      <c r="C96">
        <v>26914330</v>
      </c>
      <c r="D96">
        <v>25230218</v>
      </c>
      <c r="E96">
        <v>1</v>
      </c>
      <c r="F96">
        <v>1</v>
      </c>
      <c r="G96">
        <v>1</v>
      </c>
      <c r="H96">
        <v>2</v>
      </c>
      <c r="I96" t="s">
        <v>383</v>
      </c>
      <c r="J96" t="s">
        <v>384</v>
      </c>
      <c r="K96" t="s">
        <v>385</v>
      </c>
      <c r="L96">
        <v>1368</v>
      </c>
      <c r="N96">
        <v>1011</v>
      </c>
      <c r="O96" t="s">
        <v>338</v>
      </c>
      <c r="P96" t="s">
        <v>338</v>
      </c>
      <c r="Q96">
        <v>1</v>
      </c>
      <c r="W96">
        <v>0</v>
      </c>
      <c r="X96">
        <v>1330025190</v>
      </c>
      <c r="Y96">
        <v>1.2500000000000001E-2</v>
      </c>
      <c r="AA96">
        <v>0</v>
      </c>
      <c r="AB96">
        <v>88.01</v>
      </c>
      <c r="AC96">
        <v>11.6</v>
      </c>
      <c r="AD96">
        <v>0</v>
      </c>
      <c r="AE96">
        <v>0</v>
      </c>
      <c r="AF96">
        <v>88.01</v>
      </c>
      <c r="AG96">
        <v>11.6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0.01</v>
      </c>
      <c r="AU96" t="s">
        <v>40</v>
      </c>
      <c r="AV96">
        <v>0</v>
      </c>
      <c r="AW96">
        <v>2</v>
      </c>
      <c r="AX96">
        <v>26914346</v>
      </c>
      <c r="AY96">
        <v>1</v>
      </c>
      <c r="AZ96">
        <v>0</v>
      </c>
      <c r="BA96">
        <v>94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Y96*Source!I56</f>
        <v>0.10142500000000002</v>
      </c>
      <c r="CY96">
        <f>AB96</f>
        <v>88.01</v>
      </c>
      <c r="CZ96">
        <f>AF96</f>
        <v>88.01</v>
      </c>
      <c r="DA96">
        <f>AJ96</f>
        <v>1</v>
      </c>
      <c r="DB96">
        <v>0</v>
      </c>
    </row>
    <row r="97" spans="1:106" x14ac:dyDescent="0.2">
      <c r="A97">
        <f>ROW(Source!A56)</f>
        <v>56</v>
      </c>
      <c r="B97">
        <v>26914188</v>
      </c>
      <c r="C97">
        <v>26914330</v>
      </c>
      <c r="D97">
        <v>25230679</v>
      </c>
      <c r="E97">
        <v>1</v>
      </c>
      <c r="F97">
        <v>1</v>
      </c>
      <c r="G97">
        <v>1</v>
      </c>
      <c r="H97">
        <v>2</v>
      </c>
      <c r="I97" t="s">
        <v>386</v>
      </c>
      <c r="J97" t="s">
        <v>387</v>
      </c>
      <c r="K97" t="s">
        <v>388</v>
      </c>
      <c r="L97">
        <v>1368</v>
      </c>
      <c r="N97">
        <v>1011</v>
      </c>
      <c r="O97" t="s">
        <v>338</v>
      </c>
      <c r="P97" t="s">
        <v>338</v>
      </c>
      <c r="Q97">
        <v>1</v>
      </c>
      <c r="W97">
        <v>0</v>
      </c>
      <c r="X97">
        <v>983187852</v>
      </c>
      <c r="Y97">
        <v>2.1124999999999998</v>
      </c>
      <c r="AA97">
        <v>0</v>
      </c>
      <c r="AB97">
        <v>12.39</v>
      </c>
      <c r="AC97">
        <v>10.06</v>
      </c>
      <c r="AD97">
        <v>0</v>
      </c>
      <c r="AE97">
        <v>0</v>
      </c>
      <c r="AF97">
        <v>12.39</v>
      </c>
      <c r="AG97">
        <v>10.06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1.69</v>
      </c>
      <c r="AU97" t="s">
        <v>40</v>
      </c>
      <c r="AV97">
        <v>0</v>
      </c>
      <c r="AW97">
        <v>2</v>
      </c>
      <c r="AX97">
        <v>26914347</v>
      </c>
      <c r="AY97">
        <v>1</v>
      </c>
      <c r="AZ97">
        <v>0</v>
      </c>
      <c r="BA97">
        <v>95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Y97*Source!I56</f>
        <v>17.140825</v>
      </c>
      <c r="CY97">
        <f>AB97</f>
        <v>12.39</v>
      </c>
      <c r="CZ97">
        <f>AF97</f>
        <v>12.39</v>
      </c>
      <c r="DA97">
        <f>AJ97</f>
        <v>1</v>
      </c>
      <c r="DB97">
        <v>0</v>
      </c>
    </row>
    <row r="98" spans="1:106" x14ac:dyDescent="0.2">
      <c r="A98">
        <f>ROW(Source!A56)</f>
        <v>56</v>
      </c>
      <c r="B98">
        <v>26914188</v>
      </c>
      <c r="C98">
        <v>26914330</v>
      </c>
      <c r="D98">
        <v>25231607</v>
      </c>
      <c r="E98">
        <v>1</v>
      </c>
      <c r="F98">
        <v>1</v>
      </c>
      <c r="G98">
        <v>1</v>
      </c>
      <c r="H98">
        <v>2</v>
      </c>
      <c r="I98" t="s">
        <v>352</v>
      </c>
      <c r="J98" t="s">
        <v>353</v>
      </c>
      <c r="K98" t="s">
        <v>354</v>
      </c>
      <c r="L98">
        <v>1368</v>
      </c>
      <c r="N98">
        <v>1011</v>
      </c>
      <c r="O98" t="s">
        <v>338</v>
      </c>
      <c r="P98" t="s">
        <v>338</v>
      </c>
      <c r="Q98">
        <v>1</v>
      </c>
      <c r="W98">
        <v>0</v>
      </c>
      <c r="X98">
        <v>1372534845</v>
      </c>
      <c r="Y98">
        <v>1.2500000000000001E-2</v>
      </c>
      <c r="AA98">
        <v>0</v>
      </c>
      <c r="AB98">
        <v>65.709999999999994</v>
      </c>
      <c r="AC98">
        <v>11.6</v>
      </c>
      <c r="AD98">
        <v>0</v>
      </c>
      <c r="AE98">
        <v>0</v>
      </c>
      <c r="AF98">
        <v>65.709999999999994</v>
      </c>
      <c r="AG98">
        <v>11.6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0.01</v>
      </c>
      <c r="AU98" t="s">
        <v>40</v>
      </c>
      <c r="AV98">
        <v>0</v>
      </c>
      <c r="AW98">
        <v>2</v>
      </c>
      <c r="AX98">
        <v>26914348</v>
      </c>
      <c r="AY98">
        <v>1</v>
      </c>
      <c r="AZ98">
        <v>0</v>
      </c>
      <c r="BA98">
        <v>96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Y98*Source!I56</f>
        <v>0.10142500000000002</v>
      </c>
      <c r="CY98">
        <f>AB98</f>
        <v>65.709999999999994</v>
      </c>
      <c r="CZ98">
        <f>AF98</f>
        <v>65.709999999999994</v>
      </c>
      <c r="DA98">
        <f>AJ98</f>
        <v>1</v>
      </c>
      <c r="DB98">
        <v>0</v>
      </c>
    </row>
    <row r="99" spans="1:106" x14ac:dyDescent="0.2">
      <c r="A99">
        <f>ROW(Source!A56)</f>
        <v>56</v>
      </c>
      <c r="B99">
        <v>26914188</v>
      </c>
      <c r="C99">
        <v>26914330</v>
      </c>
      <c r="D99">
        <v>25149961</v>
      </c>
      <c r="E99">
        <v>1</v>
      </c>
      <c r="F99">
        <v>1</v>
      </c>
      <c r="G99">
        <v>1</v>
      </c>
      <c r="H99">
        <v>3</v>
      </c>
      <c r="I99" t="s">
        <v>364</v>
      </c>
      <c r="J99" t="s">
        <v>365</v>
      </c>
      <c r="K99" t="s">
        <v>366</v>
      </c>
      <c r="L99">
        <v>1339</v>
      </c>
      <c r="N99">
        <v>1007</v>
      </c>
      <c r="O99" t="s">
        <v>76</v>
      </c>
      <c r="P99" t="s">
        <v>76</v>
      </c>
      <c r="Q99">
        <v>1</v>
      </c>
      <c r="W99">
        <v>0</v>
      </c>
      <c r="X99">
        <v>-1660354250</v>
      </c>
      <c r="Y99">
        <v>0.44</v>
      </c>
      <c r="AA99">
        <v>2.44</v>
      </c>
      <c r="AB99">
        <v>0</v>
      </c>
      <c r="AC99">
        <v>0</v>
      </c>
      <c r="AD99">
        <v>0</v>
      </c>
      <c r="AE99">
        <v>2.44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0.44</v>
      </c>
      <c r="AU99" t="s">
        <v>6</v>
      </c>
      <c r="AV99">
        <v>0</v>
      </c>
      <c r="AW99">
        <v>2</v>
      </c>
      <c r="AX99">
        <v>26914349</v>
      </c>
      <c r="AY99">
        <v>1</v>
      </c>
      <c r="AZ99">
        <v>0</v>
      </c>
      <c r="BA99">
        <v>97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Y99*Source!I56</f>
        <v>3.5701600000000004</v>
      </c>
      <c r="CY99">
        <f t="shared" ref="CY99:CY104" si="0">AA99</f>
        <v>2.44</v>
      </c>
      <c r="CZ99">
        <f t="shared" ref="CZ99:CZ104" si="1">AE99</f>
        <v>2.44</v>
      </c>
      <c r="DA99">
        <f t="shared" ref="DA99:DA104" si="2">AI99</f>
        <v>1</v>
      </c>
      <c r="DB99">
        <v>0</v>
      </c>
    </row>
    <row r="100" spans="1:106" x14ac:dyDescent="0.2">
      <c r="A100">
        <f>ROW(Source!A56)</f>
        <v>56</v>
      </c>
      <c r="B100">
        <v>26914188</v>
      </c>
      <c r="C100">
        <v>26914330</v>
      </c>
      <c r="D100">
        <v>25155711</v>
      </c>
      <c r="E100">
        <v>1</v>
      </c>
      <c r="F100">
        <v>1</v>
      </c>
      <c r="G100">
        <v>1</v>
      </c>
      <c r="H100">
        <v>3</v>
      </c>
      <c r="I100" t="s">
        <v>389</v>
      </c>
      <c r="J100" t="s">
        <v>390</v>
      </c>
      <c r="K100" t="s">
        <v>391</v>
      </c>
      <c r="L100">
        <v>1348</v>
      </c>
      <c r="N100">
        <v>1009</v>
      </c>
      <c r="O100" t="s">
        <v>24</v>
      </c>
      <c r="P100" t="s">
        <v>24</v>
      </c>
      <c r="Q100">
        <v>1000</v>
      </c>
      <c r="W100">
        <v>0</v>
      </c>
      <c r="X100">
        <v>2108657288</v>
      </c>
      <c r="Y100">
        <v>1.2999999999999999E-2</v>
      </c>
      <c r="AA100">
        <v>6513</v>
      </c>
      <c r="AB100">
        <v>0</v>
      </c>
      <c r="AC100">
        <v>0</v>
      </c>
      <c r="AD100">
        <v>0</v>
      </c>
      <c r="AE100">
        <v>6513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1.2999999999999999E-2</v>
      </c>
      <c r="AU100" t="s">
        <v>6</v>
      </c>
      <c r="AV100">
        <v>0</v>
      </c>
      <c r="AW100">
        <v>2</v>
      </c>
      <c r="AX100">
        <v>26914350</v>
      </c>
      <c r="AY100">
        <v>1</v>
      </c>
      <c r="AZ100">
        <v>0</v>
      </c>
      <c r="BA100">
        <v>98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Y100*Source!I56</f>
        <v>0.10548200000000001</v>
      </c>
      <c r="CY100">
        <f t="shared" si="0"/>
        <v>6513</v>
      </c>
      <c r="CZ100">
        <f t="shared" si="1"/>
        <v>6513</v>
      </c>
      <c r="DA100">
        <f t="shared" si="2"/>
        <v>1</v>
      </c>
      <c r="DB100">
        <v>0</v>
      </c>
    </row>
    <row r="101" spans="1:106" x14ac:dyDescent="0.2">
      <c r="A101">
        <f>ROW(Source!A56)</f>
        <v>56</v>
      </c>
      <c r="B101">
        <v>26914188</v>
      </c>
      <c r="C101">
        <v>26914330</v>
      </c>
      <c r="D101">
        <v>25169756</v>
      </c>
      <c r="E101">
        <v>1</v>
      </c>
      <c r="F101">
        <v>1</v>
      </c>
      <c r="G101">
        <v>1</v>
      </c>
      <c r="H101">
        <v>3</v>
      </c>
      <c r="I101" t="s">
        <v>90</v>
      </c>
      <c r="J101" t="s">
        <v>93</v>
      </c>
      <c r="K101" t="s">
        <v>91</v>
      </c>
      <c r="L101">
        <v>1327</v>
      </c>
      <c r="N101">
        <v>1005</v>
      </c>
      <c r="O101" t="s">
        <v>92</v>
      </c>
      <c r="P101" t="s">
        <v>92</v>
      </c>
      <c r="Q101">
        <v>1</v>
      </c>
      <c r="W101">
        <v>1</v>
      </c>
      <c r="X101">
        <v>2046761779</v>
      </c>
      <c r="Y101">
        <v>-102</v>
      </c>
      <c r="AA101">
        <v>140.44999999999999</v>
      </c>
      <c r="AB101">
        <v>0</v>
      </c>
      <c r="AC101">
        <v>0</v>
      </c>
      <c r="AD101">
        <v>0</v>
      </c>
      <c r="AE101">
        <v>140.44999999999999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-102</v>
      </c>
      <c r="AU101" t="s">
        <v>6</v>
      </c>
      <c r="AV101">
        <v>0</v>
      </c>
      <c r="AW101">
        <v>2</v>
      </c>
      <c r="AX101">
        <v>26914351</v>
      </c>
      <c r="AY101">
        <v>1</v>
      </c>
      <c r="AZ101">
        <v>6144</v>
      </c>
      <c r="BA101">
        <v>99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Y101*Source!I56</f>
        <v>-827.62800000000004</v>
      </c>
      <c r="CY101">
        <f t="shared" si="0"/>
        <v>140.44999999999999</v>
      </c>
      <c r="CZ101">
        <f t="shared" si="1"/>
        <v>140.44999999999999</v>
      </c>
      <c r="DA101">
        <f t="shared" si="2"/>
        <v>1</v>
      </c>
      <c r="DB101">
        <v>0</v>
      </c>
    </row>
    <row r="102" spans="1:106" x14ac:dyDescent="0.2">
      <c r="A102">
        <f>ROW(Source!A56)</f>
        <v>56</v>
      </c>
      <c r="B102">
        <v>26914188</v>
      </c>
      <c r="C102">
        <v>26914330</v>
      </c>
      <c r="D102">
        <v>25169777</v>
      </c>
      <c r="E102">
        <v>1</v>
      </c>
      <c r="F102">
        <v>1</v>
      </c>
      <c r="G102">
        <v>1</v>
      </c>
      <c r="H102">
        <v>3</v>
      </c>
      <c r="I102" t="s">
        <v>95</v>
      </c>
      <c r="J102" t="s">
        <v>97</v>
      </c>
      <c r="K102" t="s">
        <v>96</v>
      </c>
      <c r="L102">
        <v>1327</v>
      </c>
      <c r="N102">
        <v>1005</v>
      </c>
      <c r="O102" t="s">
        <v>92</v>
      </c>
      <c r="P102" t="s">
        <v>92</v>
      </c>
      <c r="Q102">
        <v>1</v>
      </c>
      <c r="W102">
        <v>0</v>
      </c>
      <c r="X102">
        <v>579238719</v>
      </c>
      <c r="Y102">
        <v>102</v>
      </c>
      <c r="AA102">
        <v>56.32</v>
      </c>
      <c r="AB102">
        <v>0</v>
      </c>
      <c r="AC102">
        <v>0</v>
      </c>
      <c r="AD102">
        <v>0</v>
      </c>
      <c r="AE102">
        <v>56.32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6</v>
      </c>
      <c r="AT102">
        <v>102</v>
      </c>
      <c r="AU102" t="s">
        <v>6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Y102*Source!I56</f>
        <v>827.62800000000004</v>
      </c>
      <c r="CY102">
        <f t="shared" si="0"/>
        <v>56.32</v>
      </c>
      <c r="CZ102">
        <f t="shared" si="1"/>
        <v>56.32</v>
      </c>
      <c r="DA102">
        <f t="shared" si="2"/>
        <v>1</v>
      </c>
      <c r="DB102">
        <v>0</v>
      </c>
    </row>
    <row r="103" spans="1:106" x14ac:dyDescent="0.2">
      <c r="A103">
        <f>ROW(Source!A56)</f>
        <v>56</v>
      </c>
      <c r="B103">
        <v>26914188</v>
      </c>
      <c r="C103">
        <v>26914330</v>
      </c>
      <c r="D103">
        <v>25185231</v>
      </c>
      <c r="E103">
        <v>1</v>
      </c>
      <c r="F103">
        <v>1</v>
      </c>
      <c r="G103">
        <v>1</v>
      </c>
      <c r="H103">
        <v>3</v>
      </c>
      <c r="I103" t="s">
        <v>104</v>
      </c>
      <c r="J103" t="s">
        <v>106</v>
      </c>
      <c r="K103" t="s">
        <v>105</v>
      </c>
      <c r="L103">
        <v>1346</v>
      </c>
      <c r="N103">
        <v>1009</v>
      </c>
      <c r="O103" t="s">
        <v>50</v>
      </c>
      <c r="P103" t="s">
        <v>50</v>
      </c>
      <c r="Q103">
        <v>1</v>
      </c>
      <c r="W103">
        <v>0</v>
      </c>
      <c r="X103">
        <v>830044740</v>
      </c>
      <c r="Y103">
        <v>1200</v>
      </c>
      <c r="AA103">
        <v>3.69</v>
      </c>
      <c r="AB103">
        <v>0</v>
      </c>
      <c r="AC103">
        <v>0</v>
      </c>
      <c r="AD103">
        <v>0</v>
      </c>
      <c r="AE103">
        <v>3.69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1200</v>
      </c>
      <c r="AU103" t="s">
        <v>6</v>
      </c>
      <c r="AV103">
        <v>0</v>
      </c>
      <c r="AW103">
        <v>2</v>
      </c>
      <c r="AX103">
        <v>26914353</v>
      </c>
      <c r="AY103">
        <v>1</v>
      </c>
      <c r="AZ103">
        <v>0</v>
      </c>
      <c r="BA103">
        <v>101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Y103*Source!I56</f>
        <v>9736.8000000000011</v>
      </c>
      <c r="CY103">
        <f t="shared" si="0"/>
        <v>3.69</v>
      </c>
      <c r="CZ103">
        <f t="shared" si="1"/>
        <v>3.69</v>
      </c>
      <c r="DA103">
        <f t="shared" si="2"/>
        <v>1</v>
      </c>
      <c r="DB103">
        <v>0</v>
      </c>
    </row>
    <row r="104" spans="1:106" x14ac:dyDescent="0.2">
      <c r="A104">
        <f>ROW(Source!A56)</f>
        <v>56</v>
      </c>
      <c r="B104">
        <v>26914188</v>
      </c>
      <c r="C104">
        <v>26914330</v>
      </c>
      <c r="D104">
        <v>25185864</v>
      </c>
      <c r="E104">
        <v>1</v>
      </c>
      <c r="F104">
        <v>1</v>
      </c>
      <c r="G104">
        <v>1</v>
      </c>
      <c r="H104">
        <v>3</v>
      </c>
      <c r="I104" t="s">
        <v>85</v>
      </c>
      <c r="J104" t="s">
        <v>88</v>
      </c>
      <c r="K104" t="s">
        <v>86</v>
      </c>
      <c r="L104">
        <v>1296</v>
      </c>
      <c r="N104">
        <v>1002</v>
      </c>
      <c r="O104" t="s">
        <v>87</v>
      </c>
      <c r="P104" t="s">
        <v>87</v>
      </c>
      <c r="Q104">
        <v>1</v>
      </c>
      <c r="W104">
        <v>0</v>
      </c>
      <c r="X104">
        <v>-972933126</v>
      </c>
      <c r="Y104">
        <v>20</v>
      </c>
      <c r="AA104">
        <v>9.14</v>
      </c>
      <c r="AB104">
        <v>0</v>
      </c>
      <c r="AC104">
        <v>0</v>
      </c>
      <c r="AD104">
        <v>0</v>
      </c>
      <c r="AE104">
        <v>9.14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20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Y104*Source!I56</f>
        <v>162.28000000000003</v>
      </c>
      <c r="CY104">
        <f t="shared" si="0"/>
        <v>9.14</v>
      </c>
      <c r="CZ104">
        <f t="shared" si="1"/>
        <v>9.14</v>
      </c>
      <c r="DA104">
        <f t="shared" si="2"/>
        <v>1</v>
      </c>
      <c r="DB104">
        <v>0</v>
      </c>
    </row>
    <row r="105" spans="1:106" x14ac:dyDescent="0.2">
      <c r="A105">
        <f>ROW(Source!A57)</f>
        <v>57</v>
      </c>
      <c r="B105">
        <v>26914189</v>
      </c>
      <c r="C105">
        <v>26914330</v>
      </c>
      <c r="D105">
        <v>25418547</v>
      </c>
      <c r="E105">
        <v>1</v>
      </c>
      <c r="F105">
        <v>1</v>
      </c>
      <c r="G105">
        <v>1</v>
      </c>
      <c r="H105">
        <v>1</v>
      </c>
      <c r="I105" t="s">
        <v>378</v>
      </c>
      <c r="J105" t="s">
        <v>6</v>
      </c>
      <c r="K105" t="s">
        <v>379</v>
      </c>
      <c r="L105">
        <v>1191</v>
      </c>
      <c r="N105">
        <v>1013</v>
      </c>
      <c r="O105" t="s">
        <v>332</v>
      </c>
      <c r="P105" t="s">
        <v>332</v>
      </c>
      <c r="Q105">
        <v>1</v>
      </c>
      <c r="W105">
        <v>0</v>
      </c>
      <c r="X105">
        <v>-784637506</v>
      </c>
      <c r="Y105">
        <v>356.983</v>
      </c>
      <c r="AA105">
        <v>0</v>
      </c>
      <c r="AB105">
        <v>0</v>
      </c>
      <c r="AC105">
        <v>0</v>
      </c>
      <c r="AD105">
        <v>67.3</v>
      </c>
      <c r="AE105">
        <v>0</v>
      </c>
      <c r="AF105">
        <v>0</v>
      </c>
      <c r="AG105">
        <v>0</v>
      </c>
      <c r="AH105">
        <v>8.74</v>
      </c>
      <c r="AI105">
        <v>1</v>
      </c>
      <c r="AJ105">
        <v>1</v>
      </c>
      <c r="AK105">
        <v>1</v>
      </c>
      <c r="AL105">
        <v>7.7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310.42</v>
      </c>
      <c r="AU105" t="s">
        <v>41</v>
      </c>
      <c r="AV105">
        <v>1</v>
      </c>
      <c r="AW105">
        <v>2</v>
      </c>
      <c r="AX105">
        <v>26914343</v>
      </c>
      <c r="AY105">
        <v>1</v>
      </c>
      <c r="AZ105">
        <v>0</v>
      </c>
      <c r="BA105">
        <v>103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Y105*Source!I57</f>
        <v>2896.5600620000005</v>
      </c>
      <c r="CY105">
        <f>AD105</f>
        <v>67.3</v>
      </c>
      <c r="CZ105">
        <f>AH105</f>
        <v>8.74</v>
      </c>
      <c r="DA105">
        <f>AL105</f>
        <v>7.7</v>
      </c>
      <c r="DB105">
        <v>0</v>
      </c>
    </row>
    <row r="106" spans="1:106" x14ac:dyDescent="0.2">
      <c r="A106">
        <f>ROW(Source!A57)</f>
        <v>57</v>
      </c>
      <c r="B106">
        <v>26914189</v>
      </c>
      <c r="C106">
        <v>26914330</v>
      </c>
      <c r="D106">
        <v>25412928</v>
      </c>
      <c r="E106">
        <v>1</v>
      </c>
      <c r="F106">
        <v>1</v>
      </c>
      <c r="G106">
        <v>1</v>
      </c>
      <c r="H106">
        <v>1</v>
      </c>
      <c r="I106" t="s">
        <v>333</v>
      </c>
      <c r="J106" t="s">
        <v>6</v>
      </c>
      <c r="K106" t="s">
        <v>334</v>
      </c>
      <c r="L106">
        <v>1191</v>
      </c>
      <c r="N106">
        <v>1013</v>
      </c>
      <c r="O106" t="s">
        <v>332</v>
      </c>
      <c r="P106" t="s">
        <v>332</v>
      </c>
      <c r="Q106">
        <v>1</v>
      </c>
      <c r="W106">
        <v>0</v>
      </c>
      <c r="X106">
        <v>-1417349443</v>
      </c>
      <c r="Y106">
        <v>1.73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7.7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1.73</v>
      </c>
      <c r="AU106" t="s">
        <v>6</v>
      </c>
      <c r="AV106">
        <v>2</v>
      </c>
      <c r="AW106">
        <v>2</v>
      </c>
      <c r="AX106">
        <v>26914344</v>
      </c>
      <c r="AY106">
        <v>1</v>
      </c>
      <c r="AZ106">
        <v>2048</v>
      </c>
      <c r="BA106">
        <v>104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Y106*Source!I57</f>
        <v>14.037220000000001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ROW(Source!A57)</f>
        <v>57</v>
      </c>
      <c r="B107">
        <v>26914189</v>
      </c>
      <c r="C107">
        <v>26914330</v>
      </c>
      <c r="D107">
        <v>25230116</v>
      </c>
      <c r="E107">
        <v>1</v>
      </c>
      <c r="F107">
        <v>1</v>
      </c>
      <c r="G107">
        <v>1</v>
      </c>
      <c r="H107">
        <v>2</v>
      </c>
      <c r="I107" t="s">
        <v>380</v>
      </c>
      <c r="J107" t="s">
        <v>381</v>
      </c>
      <c r="K107" t="s">
        <v>382</v>
      </c>
      <c r="L107">
        <v>1368</v>
      </c>
      <c r="N107">
        <v>1011</v>
      </c>
      <c r="O107" t="s">
        <v>338</v>
      </c>
      <c r="P107" t="s">
        <v>338</v>
      </c>
      <c r="Q107">
        <v>1</v>
      </c>
      <c r="W107">
        <v>0</v>
      </c>
      <c r="X107">
        <v>257150282</v>
      </c>
      <c r="Y107">
        <v>2.5000000000000001E-2</v>
      </c>
      <c r="AA107">
        <v>0</v>
      </c>
      <c r="AB107">
        <v>642.41</v>
      </c>
      <c r="AC107">
        <v>13.5</v>
      </c>
      <c r="AD107">
        <v>0</v>
      </c>
      <c r="AE107">
        <v>0</v>
      </c>
      <c r="AF107">
        <v>83.43</v>
      </c>
      <c r="AG107">
        <v>13.5</v>
      </c>
      <c r="AH107">
        <v>0</v>
      </c>
      <c r="AI107">
        <v>1</v>
      </c>
      <c r="AJ107">
        <v>7.7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0.02</v>
      </c>
      <c r="AU107" t="s">
        <v>40</v>
      </c>
      <c r="AV107">
        <v>0</v>
      </c>
      <c r="AW107">
        <v>2</v>
      </c>
      <c r="AX107">
        <v>26914345</v>
      </c>
      <c r="AY107">
        <v>1</v>
      </c>
      <c r="AZ107">
        <v>0</v>
      </c>
      <c r="BA107">
        <v>105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Y107*Source!I57</f>
        <v>0.20285000000000003</v>
      </c>
      <c r="CY107">
        <f>AB107</f>
        <v>642.41</v>
      </c>
      <c r="CZ107">
        <f>AF107</f>
        <v>83.43</v>
      </c>
      <c r="DA107">
        <f>AJ107</f>
        <v>7.7</v>
      </c>
      <c r="DB107">
        <v>0</v>
      </c>
    </row>
    <row r="108" spans="1:106" x14ac:dyDescent="0.2">
      <c r="A108">
        <f>ROW(Source!A57)</f>
        <v>57</v>
      </c>
      <c r="B108">
        <v>26914189</v>
      </c>
      <c r="C108">
        <v>26914330</v>
      </c>
      <c r="D108">
        <v>25230218</v>
      </c>
      <c r="E108">
        <v>1</v>
      </c>
      <c r="F108">
        <v>1</v>
      </c>
      <c r="G108">
        <v>1</v>
      </c>
      <c r="H108">
        <v>2</v>
      </c>
      <c r="I108" t="s">
        <v>383</v>
      </c>
      <c r="J108" t="s">
        <v>384</v>
      </c>
      <c r="K108" t="s">
        <v>385</v>
      </c>
      <c r="L108">
        <v>1368</v>
      </c>
      <c r="N108">
        <v>1011</v>
      </c>
      <c r="O108" t="s">
        <v>338</v>
      </c>
      <c r="P108" t="s">
        <v>338</v>
      </c>
      <c r="Q108">
        <v>1</v>
      </c>
      <c r="W108">
        <v>0</v>
      </c>
      <c r="X108">
        <v>1330025190</v>
      </c>
      <c r="Y108">
        <v>1.2500000000000001E-2</v>
      </c>
      <c r="AA108">
        <v>0</v>
      </c>
      <c r="AB108">
        <v>677.68</v>
      </c>
      <c r="AC108">
        <v>11.6</v>
      </c>
      <c r="AD108">
        <v>0</v>
      </c>
      <c r="AE108">
        <v>0</v>
      </c>
      <c r="AF108">
        <v>88.01</v>
      </c>
      <c r="AG108">
        <v>11.6</v>
      </c>
      <c r="AH108">
        <v>0</v>
      </c>
      <c r="AI108">
        <v>1</v>
      </c>
      <c r="AJ108">
        <v>7.7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0.01</v>
      </c>
      <c r="AU108" t="s">
        <v>40</v>
      </c>
      <c r="AV108">
        <v>0</v>
      </c>
      <c r="AW108">
        <v>2</v>
      </c>
      <c r="AX108">
        <v>26914346</v>
      </c>
      <c r="AY108">
        <v>1</v>
      </c>
      <c r="AZ108">
        <v>0</v>
      </c>
      <c r="BA108">
        <v>106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Y108*Source!I57</f>
        <v>0.10142500000000002</v>
      </c>
      <c r="CY108">
        <f>AB108</f>
        <v>677.68</v>
      </c>
      <c r="CZ108">
        <f>AF108</f>
        <v>88.01</v>
      </c>
      <c r="DA108">
        <f>AJ108</f>
        <v>7.7</v>
      </c>
      <c r="DB108">
        <v>0</v>
      </c>
    </row>
    <row r="109" spans="1:106" x14ac:dyDescent="0.2">
      <c r="A109">
        <f>ROW(Source!A57)</f>
        <v>57</v>
      </c>
      <c r="B109">
        <v>26914189</v>
      </c>
      <c r="C109">
        <v>26914330</v>
      </c>
      <c r="D109">
        <v>25230679</v>
      </c>
      <c r="E109">
        <v>1</v>
      </c>
      <c r="F109">
        <v>1</v>
      </c>
      <c r="G109">
        <v>1</v>
      </c>
      <c r="H109">
        <v>2</v>
      </c>
      <c r="I109" t="s">
        <v>386</v>
      </c>
      <c r="J109" t="s">
        <v>387</v>
      </c>
      <c r="K109" t="s">
        <v>388</v>
      </c>
      <c r="L109">
        <v>1368</v>
      </c>
      <c r="N109">
        <v>1011</v>
      </c>
      <c r="O109" t="s">
        <v>338</v>
      </c>
      <c r="P109" t="s">
        <v>338</v>
      </c>
      <c r="Q109">
        <v>1</v>
      </c>
      <c r="W109">
        <v>0</v>
      </c>
      <c r="X109">
        <v>983187852</v>
      </c>
      <c r="Y109">
        <v>2.1124999999999998</v>
      </c>
      <c r="AA109">
        <v>0</v>
      </c>
      <c r="AB109">
        <v>95.4</v>
      </c>
      <c r="AC109">
        <v>10.06</v>
      </c>
      <c r="AD109">
        <v>0</v>
      </c>
      <c r="AE109">
        <v>0</v>
      </c>
      <c r="AF109">
        <v>12.39</v>
      </c>
      <c r="AG109">
        <v>10.06</v>
      </c>
      <c r="AH109">
        <v>0</v>
      </c>
      <c r="AI109">
        <v>1</v>
      </c>
      <c r="AJ109">
        <v>7.7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1.69</v>
      </c>
      <c r="AU109" t="s">
        <v>40</v>
      </c>
      <c r="AV109">
        <v>0</v>
      </c>
      <c r="AW109">
        <v>2</v>
      </c>
      <c r="AX109">
        <v>26914347</v>
      </c>
      <c r="AY109">
        <v>1</v>
      </c>
      <c r="AZ109">
        <v>0</v>
      </c>
      <c r="BA109">
        <v>107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Y109*Source!I57</f>
        <v>17.140825</v>
      </c>
      <c r="CY109">
        <f>AB109</f>
        <v>95.4</v>
      </c>
      <c r="CZ109">
        <f>AF109</f>
        <v>12.39</v>
      </c>
      <c r="DA109">
        <f>AJ109</f>
        <v>7.7</v>
      </c>
      <c r="DB109">
        <v>0</v>
      </c>
    </row>
    <row r="110" spans="1:106" x14ac:dyDescent="0.2">
      <c r="A110">
        <f>ROW(Source!A57)</f>
        <v>57</v>
      </c>
      <c r="B110">
        <v>26914189</v>
      </c>
      <c r="C110">
        <v>26914330</v>
      </c>
      <c r="D110">
        <v>25231607</v>
      </c>
      <c r="E110">
        <v>1</v>
      </c>
      <c r="F110">
        <v>1</v>
      </c>
      <c r="G110">
        <v>1</v>
      </c>
      <c r="H110">
        <v>2</v>
      </c>
      <c r="I110" t="s">
        <v>352</v>
      </c>
      <c r="J110" t="s">
        <v>353</v>
      </c>
      <c r="K110" t="s">
        <v>354</v>
      </c>
      <c r="L110">
        <v>1368</v>
      </c>
      <c r="N110">
        <v>1011</v>
      </c>
      <c r="O110" t="s">
        <v>338</v>
      </c>
      <c r="P110" t="s">
        <v>338</v>
      </c>
      <c r="Q110">
        <v>1</v>
      </c>
      <c r="W110">
        <v>0</v>
      </c>
      <c r="X110">
        <v>1372534845</v>
      </c>
      <c r="Y110">
        <v>1.2500000000000001E-2</v>
      </c>
      <c r="AA110">
        <v>0</v>
      </c>
      <c r="AB110">
        <v>505.97</v>
      </c>
      <c r="AC110">
        <v>11.6</v>
      </c>
      <c r="AD110">
        <v>0</v>
      </c>
      <c r="AE110">
        <v>0</v>
      </c>
      <c r="AF110">
        <v>65.709999999999994</v>
      </c>
      <c r="AG110">
        <v>11.6</v>
      </c>
      <c r="AH110">
        <v>0</v>
      </c>
      <c r="AI110">
        <v>1</v>
      </c>
      <c r="AJ110">
        <v>7.7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0.01</v>
      </c>
      <c r="AU110" t="s">
        <v>40</v>
      </c>
      <c r="AV110">
        <v>0</v>
      </c>
      <c r="AW110">
        <v>2</v>
      </c>
      <c r="AX110">
        <v>26914348</v>
      </c>
      <c r="AY110">
        <v>1</v>
      </c>
      <c r="AZ110">
        <v>0</v>
      </c>
      <c r="BA110">
        <v>108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Y110*Source!I57</f>
        <v>0.10142500000000002</v>
      </c>
      <c r="CY110">
        <f>AB110</f>
        <v>505.97</v>
      </c>
      <c r="CZ110">
        <f>AF110</f>
        <v>65.709999999999994</v>
      </c>
      <c r="DA110">
        <f>AJ110</f>
        <v>7.7</v>
      </c>
      <c r="DB110">
        <v>0</v>
      </c>
    </row>
    <row r="111" spans="1:106" x14ac:dyDescent="0.2">
      <c r="A111">
        <f>ROW(Source!A57)</f>
        <v>57</v>
      </c>
      <c r="B111">
        <v>26914189</v>
      </c>
      <c r="C111">
        <v>26914330</v>
      </c>
      <c r="D111">
        <v>25149961</v>
      </c>
      <c r="E111">
        <v>1</v>
      </c>
      <c r="F111">
        <v>1</v>
      </c>
      <c r="G111">
        <v>1</v>
      </c>
      <c r="H111">
        <v>3</v>
      </c>
      <c r="I111" t="s">
        <v>364</v>
      </c>
      <c r="J111" t="s">
        <v>365</v>
      </c>
      <c r="K111" t="s">
        <v>366</v>
      </c>
      <c r="L111">
        <v>1339</v>
      </c>
      <c r="N111">
        <v>1007</v>
      </c>
      <c r="O111" t="s">
        <v>76</v>
      </c>
      <c r="P111" t="s">
        <v>76</v>
      </c>
      <c r="Q111">
        <v>1</v>
      </c>
      <c r="W111">
        <v>0</v>
      </c>
      <c r="X111">
        <v>-1660354250</v>
      </c>
      <c r="Y111">
        <v>0.44</v>
      </c>
      <c r="AA111">
        <v>18.79</v>
      </c>
      <c r="AB111">
        <v>0</v>
      </c>
      <c r="AC111">
        <v>0</v>
      </c>
      <c r="AD111">
        <v>0</v>
      </c>
      <c r="AE111">
        <v>2.44</v>
      </c>
      <c r="AF111">
        <v>0</v>
      </c>
      <c r="AG111">
        <v>0</v>
      </c>
      <c r="AH111">
        <v>0</v>
      </c>
      <c r="AI111">
        <v>7.7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0.44</v>
      </c>
      <c r="AU111" t="s">
        <v>6</v>
      </c>
      <c r="AV111">
        <v>0</v>
      </c>
      <c r="AW111">
        <v>2</v>
      </c>
      <c r="AX111">
        <v>26914349</v>
      </c>
      <c r="AY111">
        <v>1</v>
      </c>
      <c r="AZ111">
        <v>0</v>
      </c>
      <c r="BA111">
        <v>109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Y111*Source!I57</f>
        <v>3.5701600000000004</v>
      </c>
      <c r="CY111">
        <f t="shared" ref="CY111:CY116" si="3">AA111</f>
        <v>18.79</v>
      </c>
      <c r="CZ111">
        <f t="shared" ref="CZ111:CZ116" si="4">AE111</f>
        <v>2.44</v>
      </c>
      <c r="DA111">
        <f t="shared" ref="DA111:DA116" si="5">AI111</f>
        <v>7.7</v>
      </c>
      <c r="DB111">
        <v>0</v>
      </c>
    </row>
    <row r="112" spans="1:106" x14ac:dyDescent="0.2">
      <c r="A112">
        <f>ROW(Source!A57)</f>
        <v>57</v>
      </c>
      <c r="B112">
        <v>26914189</v>
      </c>
      <c r="C112">
        <v>26914330</v>
      </c>
      <c r="D112">
        <v>25155711</v>
      </c>
      <c r="E112">
        <v>1</v>
      </c>
      <c r="F112">
        <v>1</v>
      </c>
      <c r="G112">
        <v>1</v>
      </c>
      <c r="H112">
        <v>3</v>
      </c>
      <c r="I112" t="s">
        <v>389</v>
      </c>
      <c r="J112" t="s">
        <v>390</v>
      </c>
      <c r="K112" t="s">
        <v>391</v>
      </c>
      <c r="L112">
        <v>1348</v>
      </c>
      <c r="N112">
        <v>1009</v>
      </c>
      <c r="O112" t="s">
        <v>24</v>
      </c>
      <c r="P112" t="s">
        <v>24</v>
      </c>
      <c r="Q112">
        <v>1000</v>
      </c>
      <c r="W112">
        <v>0</v>
      </c>
      <c r="X112">
        <v>2108657288</v>
      </c>
      <c r="Y112">
        <v>1.2999999999999999E-2</v>
      </c>
      <c r="AA112">
        <v>50150.1</v>
      </c>
      <c r="AB112">
        <v>0</v>
      </c>
      <c r="AC112">
        <v>0</v>
      </c>
      <c r="AD112">
        <v>0</v>
      </c>
      <c r="AE112">
        <v>6513</v>
      </c>
      <c r="AF112">
        <v>0</v>
      </c>
      <c r="AG112">
        <v>0</v>
      </c>
      <c r="AH112">
        <v>0</v>
      </c>
      <c r="AI112">
        <v>7.7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1.2999999999999999E-2</v>
      </c>
      <c r="AU112" t="s">
        <v>6</v>
      </c>
      <c r="AV112">
        <v>0</v>
      </c>
      <c r="AW112">
        <v>2</v>
      </c>
      <c r="AX112">
        <v>26914350</v>
      </c>
      <c r="AY112">
        <v>1</v>
      </c>
      <c r="AZ112">
        <v>0</v>
      </c>
      <c r="BA112">
        <v>110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Y112*Source!I57</f>
        <v>0.10548200000000001</v>
      </c>
      <c r="CY112">
        <f t="shared" si="3"/>
        <v>50150.1</v>
      </c>
      <c r="CZ112">
        <f t="shared" si="4"/>
        <v>6513</v>
      </c>
      <c r="DA112">
        <f t="shared" si="5"/>
        <v>7.7</v>
      </c>
      <c r="DB112">
        <v>0</v>
      </c>
    </row>
    <row r="113" spans="1:106" x14ac:dyDescent="0.2">
      <c r="A113">
        <f>ROW(Source!A57)</f>
        <v>57</v>
      </c>
      <c r="B113">
        <v>26914189</v>
      </c>
      <c r="C113">
        <v>26914330</v>
      </c>
      <c r="D113">
        <v>25169756</v>
      </c>
      <c r="E113">
        <v>1</v>
      </c>
      <c r="F113">
        <v>1</v>
      </c>
      <c r="G113">
        <v>1</v>
      </c>
      <c r="H113">
        <v>3</v>
      </c>
      <c r="I113" t="s">
        <v>90</v>
      </c>
      <c r="J113" t="s">
        <v>93</v>
      </c>
      <c r="K113" t="s">
        <v>91</v>
      </c>
      <c r="L113">
        <v>1327</v>
      </c>
      <c r="N113">
        <v>1005</v>
      </c>
      <c r="O113" t="s">
        <v>92</v>
      </c>
      <c r="P113" t="s">
        <v>92</v>
      </c>
      <c r="Q113">
        <v>1</v>
      </c>
      <c r="W113">
        <v>1</v>
      </c>
      <c r="X113">
        <v>2046761779</v>
      </c>
      <c r="Y113">
        <v>-102</v>
      </c>
      <c r="AA113">
        <v>1081.47</v>
      </c>
      <c r="AB113">
        <v>0</v>
      </c>
      <c r="AC113">
        <v>0</v>
      </c>
      <c r="AD113">
        <v>0</v>
      </c>
      <c r="AE113">
        <v>140.44999999999999</v>
      </c>
      <c r="AF113">
        <v>0</v>
      </c>
      <c r="AG113">
        <v>0</v>
      </c>
      <c r="AH113">
        <v>0</v>
      </c>
      <c r="AI113">
        <v>7.7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-102</v>
      </c>
      <c r="AU113" t="s">
        <v>6</v>
      </c>
      <c r="AV113">
        <v>0</v>
      </c>
      <c r="AW113">
        <v>2</v>
      </c>
      <c r="AX113">
        <v>26914351</v>
      </c>
      <c r="AY113">
        <v>1</v>
      </c>
      <c r="AZ113">
        <v>6144</v>
      </c>
      <c r="BA113">
        <v>111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Y113*Source!I57</f>
        <v>-827.62800000000004</v>
      </c>
      <c r="CY113">
        <f t="shared" si="3"/>
        <v>1081.47</v>
      </c>
      <c r="CZ113">
        <f t="shared" si="4"/>
        <v>140.44999999999999</v>
      </c>
      <c r="DA113">
        <f t="shared" si="5"/>
        <v>7.7</v>
      </c>
      <c r="DB113">
        <v>0</v>
      </c>
    </row>
    <row r="114" spans="1:106" x14ac:dyDescent="0.2">
      <c r="A114">
        <f>ROW(Source!A57)</f>
        <v>57</v>
      </c>
      <c r="B114">
        <v>26914189</v>
      </c>
      <c r="C114">
        <v>26914330</v>
      </c>
      <c r="D114">
        <v>25169777</v>
      </c>
      <c r="E114">
        <v>1</v>
      </c>
      <c r="F114">
        <v>1</v>
      </c>
      <c r="G114">
        <v>1</v>
      </c>
      <c r="H114">
        <v>3</v>
      </c>
      <c r="I114" t="s">
        <v>95</v>
      </c>
      <c r="J114" t="s">
        <v>97</v>
      </c>
      <c r="K114" t="s">
        <v>96</v>
      </c>
      <c r="L114">
        <v>1327</v>
      </c>
      <c r="N114">
        <v>1005</v>
      </c>
      <c r="O114" t="s">
        <v>92</v>
      </c>
      <c r="P114" t="s">
        <v>92</v>
      </c>
      <c r="Q114">
        <v>1</v>
      </c>
      <c r="W114">
        <v>0</v>
      </c>
      <c r="X114">
        <v>579238719</v>
      </c>
      <c r="Y114">
        <v>102</v>
      </c>
      <c r="AA114">
        <v>433.66</v>
      </c>
      <c r="AB114">
        <v>0</v>
      </c>
      <c r="AC114">
        <v>0</v>
      </c>
      <c r="AD114">
        <v>0</v>
      </c>
      <c r="AE114">
        <v>56.32</v>
      </c>
      <c r="AF114">
        <v>0</v>
      </c>
      <c r="AG114">
        <v>0</v>
      </c>
      <c r="AH114">
        <v>0</v>
      </c>
      <c r="AI114">
        <v>7.7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102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Y114*Source!I57</f>
        <v>827.62800000000004</v>
      </c>
      <c r="CY114">
        <f t="shared" si="3"/>
        <v>433.66</v>
      </c>
      <c r="CZ114">
        <f t="shared" si="4"/>
        <v>56.32</v>
      </c>
      <c r="DA114">
        <f t="shared" si="5"/>
        <v>7.7</v>
      </c>
      <c r="DB114">
        <v>0</v>
      </c>
    </row>
    <row r="115" spans="1:106" x14ac:dyDescent="0.2">
      <c r="A115">
        <f>ROW(Source!A57)</f>
        <v>57</v>
      </c>
      <c r="B115">
        <v>26914189</v>
      </c>
      <c r="C115">
        <v>26914330</v>
      </c>
      <c r="D115">
        <v>25185231</v>
      </c>
      <c r="E115">
        <v>1</v>
      </c>
      <c r="F115">
        <v>1</v>
      </c>
      <c r="G115">
        <v>1</v>
      </c>
      <c r="H115">
        <v>3</v>
      </c>
      <c r="I115" t="s">
        <v>104</v>
      </c>
      <c r="J115" t="s">
        <v>106</v>
      </c>
      <c r="K115" t="s">
        <v>105</v>
      </c>
      <c r="L115">
        <v>1346</v>
      </c>
      <c r="N115">
        <v>1009</v>
      </c>
      <c r="O115" t="s">
        <v>50</v>
      </c>
      <c r="P115" t="s">
        <v>50</v>
      </c>
      <c r="Q115">
        <v>1</v>
      </c>
      <c r="W115">
        <v>0</v>
      </c>
      <c r="X115">
        <v>830044740</v>
      </c>
      <c r="Y115">
        <v>1200</v>
      </c>
      <c r="AA115">
        <v>28.41</v>
      </c>
      <c r="AB115">
        <v>0</v>
      </c>
      <c r="AC115">
        <v>0</v>
      </c>
      <c r="AD115">
        <v>0</v>
      </c>
      <c r="AE115">
        <v>3.69</v>
      </c>
      <c r="AF115">
        <v>0</v>
      </c>
      <c r="AG115">
        <v>0</v>
      </c>
      <c r="AH115">
        <v>0</v>
      </c>
      <c r="AI115">
        <v>7.7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1200</v>
      </c>
      <c r="AU115" t="s">
        <v>6</v>
      </c>
      <c r="AV115">
        <v>0</v>
      </c>
      <c r="AW115">
        <v>2</v>
      </c>
      <c r="AX115">
        <v>26914353</v>
      </c>
      <c r="AY115">
        <v>1</v>
      </c>
      <c r="AZ115">
        <v>0</v>
      </c>
      <c r="BA115">
        <v>113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Y115*Source!I57</f>
        <v>9736.8000000000011</v>
      </c>
      <c r="CY115">
        <f t="shared" si="3"/>
        <v>28.41</v>
      </c>
      <c r="CZ115">
        <f t="shared" si="4"/>
        <v>3.69</v>
      </c>
      <c r="DA115">
        <f t="shared" si="5"/>
        <v>7.7</v>
      </c>
      <c r="DB115">
        <v>0</v>
      </c>
    </row>
    <row r="116" spans="1:106" x14ac:dyDescent="0.2">
      <c r="A116">
        <f>ROW(Source!A57)</f>
        <v>57</v>
      </c>
      <c r="B116">
        <v>26914189</v>
      </c>
      <c r="C116">
        <v>26914330</v>
      </c>
      <c r="D116">
        <v>25185864</v>
      </c>
      <c r="E116">
        <v>1</v>
      </c>
      <c r="F116">
        <v>1</v>
      </c>
      <c r="G116">
        <v>1</v>
      </c>
      <c r="H116">
        <v>3</v>
      </c>
      <c r="I116" t="s">
        <v>85</v>
      </c>
      <c r="J116" t="s">
        <v>88</v>
      </c>
      <c r="K116" t="s">
        <v>86</v>
      </c>
      <c r="L116">
        <v>1296</v>
      </c>
      <c r="N116">
        <v>1002</v>
      </c>
      <c r="O116" t="s">
        <v>87</v>
      </c>
      <c r="P116" t="s">
        <v>87</v>
      </c>
      <c r="Q116">
        <v>1</v>
      </c>
      <c r="W116">
        <v>0</v>
      </c>
      <c r="X116">
        <v>-972933126</v>
      </c>
      <c r="Y116">
        <v>20</v>
      </c>
      <c r="AA116">
        <v>70.38</v>
      </c>
      <c r="AB116">
        <v>0</v>
      </c>
      <c r="AC116">
        <v>0</v>
      </c>
      <c r="AD116">
        <v>0</v>
      </c>
      <c r="AE116">
        <v>9.14</v>
      </c>
      <c r="AF116">
        <v>0</v>
      </c>
      <c r="AG116">
        <v>0</v>
      </c>
      <c r="AH116">
        <v>0</v>
      </c>
      <c r="AI116">
        <v>7.7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20</v>
      </c>
      <c r="AU116" t="s">
        <v>6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Y116*Source!I57</f>
        <v>162.28000000000003</v>
      </c>
      <c r="CY116">
        <f t="shared" si="3"/>
        <v>70.38</v>
      </c>
      <c r="CZ116">
        <f t="shared" si="4"/>
        <v>9.14</v>
      </c>
      <c r="DA116">
        <f t="shared" si="5"/>
        <v>7.7</v>
      </c>
      <c r="DB116">
        <v>0</v>
      </c>
    </row>
    <row r="117" spans="1:106" x14ac:dyDescent="0.2">
      <c r="A117">
        <f>ROW(Source!A64)</f>
        <v>64</v>
      </c>
      <c r="B117">
        <v>26914188</v>
      </c>
      <c r="C117">
        <v>26914358</v>
      </c>
      <c r="D117">
        <v>25418254</v>
      </c>
      <c r="E117">
        <v>1</v>
      </c>
      <c r="F117">
        <v>1</v>
      </c>
      <c r="G117">
        <v>1</v>
      </c>
      <c r="H117">
        <v>1</v>
      </c>
      <c r="I117" t="s">
        <v>392</v>
      </c>
      <c r="J117" t="s">
        <v>6</v>
      </c>
      <c r="K117" t="s">
        <v>393</v>
      </c>
      <c r="L117">
        <v>1191</v>
      </c>
      <c r="N117">
        <v>1013</v>
      </c>
      <c r="O117" t="s">
        <v>332</v>
      </c>
      <c r="P117" t="s">
        <v>332</v>
      </c>
      <c r="Q117">
        <v>1</v>
      </c>
      <c r="W117">
        <v>0</v>
      </c>
      <c r="X117">
        <v>1983201532</v>
      </c>
      <c r="Y117">
        <v>27.392999999999997</v>
      </c>
      <c r="AA117">
        <v>0</v>
      </c>
      <c r="AB117">
        <v>0</v>
      </c>
      <c r="AC117">
        <v>0</v>
      </c>
      <c r="AD117">
        <v>9.51</v>
      </c>
      <c r="AE117">
        <v>0</v>
      </c>
      <c r="AF117">
        <v>0</v>
      </c>
      <c r="AG117">
        <v>0</v>
      </c>
      <c r="AH117">
        <v>9.51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23.82</v>
      </c>
      <c r="AU117" t="s">
        <v>41</v>
      </c>
      <c r="AV117">
        <v>1</v>
      </c>
      <c r="AW117">
        <v>2</v>
      </c>
      <c r="AX117">
        <v>26914365</v>
      </c>
      <c r="AY117">
        <v>1</v>
      </c>
      <c r="AZ117">
        <v>0</v>
      </c>
      <c r="BA117">
        <v>115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Y117*Source!I64</f>
        <v>160.41340799999998</v>
      </c>
      <c r="CY117">
        <f>AD117</f>
        <v>9.51</v>
      </c>
      <c r="CZ117">
        <f>AH117</f>
        <v>9.51</v>
      </c>
      <c r="DA117">
        <f>AL117</f>
        <v>1</v>
      </c>
      <c r="DB117">
        <v>0</v>
      </c>
    </row>
    <row r="118" spans="1:106" x14ac:dyDescent="0.2">
      <c r="A118">
        <f>ROW(Source!A64)</f>
        <v>64</v>
      </c>
      <c r="B118">
        <v>26914188</v>
      </c>
      <c r="C118">
        <v>26914358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333</v>
      </c>
      <c r="J118" t="s">
        <v>6</v>
      </c>
      <c r="K118" t="s">
        <v>334</v>
      </c>
      <c r="L118">
        <v>1191</v>
      </c>
      <c r="N118">
        <v>1013</v>
      </c>
      <c r="O118" t="s">
        <v>332</v>
      </c>
      <c r="P118" t="s">
        <v>332</v>
      </c>
      <c r="Q118">
        <v>1</v>
      </c>
      <c r="W118">
        <v>0</v>
      </c>
      <c r="X118">
        <v>-1417349443</v>
      </c>
      <c r="Y118">
        <v>0.11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0.11</v>
      </c>
      <c r="AU118" t="s">
        <v>6</v>
      </c>
      <c r="AV118">
        <v>2</v>
      </c>
      <c r="AW118">
        <v>2</v>
      </c>
      <c r="AX118">
        <v>26914366</v>
      </c>
      <c r="AY118">
        <v>1</v>
      </c>
      <c r="AZ118">
        <v>2048</v>
      </c>
      <c r="BA118">
        <v>116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Y118*Source!I64</f>
        <v>0.64415999999999995</v>
      </c>
      <c r="CY118">
        <f>AD118</f>
        <v>0</v>
      </c>
      <c r="CZ118">
        <f>AH118</f>
        <v>0</v>
      </c>
      <c r="DA118">
        <f>AL118</f>
        <v>1</v>
      </c>
      <c r="DB118">
        <v>0</v>
      </c>
    </row>
    <row r="119" spans="1:106" x14ac:dyDescent="0.2">
      <c r="A119">
        <f>ROW(Source!A64)</f>
        <v>64</v>
      </c>
      <c r="B119">
        <v>26914188</v>
      </c>
      <c r="C119">
        <v>26914358</v>
      </c>
      <c r="D119">
        <v>25230514</v>
      </c>
      <c r="E119">
        <v>1</v>
      </c>
      <c r="F119">
        <v>1</v>
      </c>
      <c r="G119">
        <v>1</v>
      </c>
      <c r="H119">
        <v>2</v>
      </c>
      <c r="I119" t="s">
        <v>335</v>
      </c>
      <c r="J119" t="s">
        <v>336</v>
      </c>
      <c r="K119" t="s">
        <v>337</v>
      </c>
      <c r="L119">
        <v>1368</v>
      </c>
      <c r="N119">
        <v>1011</v>
      </c>
      <c r="O119" t="s">
        <v>338</v>
      </c>
      <c r="P119" t="s">
        <v>338</v>
      </c>
      <c r="Q119">
        <v>1</v>
      </c>
      <c r="W119">
        <v>0</v>
      </c>
      <c r="X119">
        <v>1188625873</v>
      </c>
      <c r="Y119">
        <v>6.25E-2</v>
      </c>
      <c r="AA119">
        <v>0</v>
      </c>
      <c r="AB119">
        <v>31.26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0.05</v>
      </c>
      <c r="AU119" t="s">
        <v>40</v>
      </c>
      <c r="AV119">
        <v>0</v>
      </c>
      <c r="AW119">
        <v>2</v>
      </c>
      <c r="AX119">
        <v>26914367</v>
      </c>
      <c r="AY119">
        <v>1</v>
      </c>
      <c r="AZ119">
        <v>0</v>
      </c>
      <c r="BA119">
        <v>117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Y119*Source!I64</f>
        <v>0.36599999999999999</v>
      </c>
      <c r="CY119">
        <f>AB119</f>
        <v>31.26</v>
      </c>
      <c r="CZ119">
        <f>AF119</f>
        <v>31.26</v>
      </c>
      <c r="DA119">
        <f>AJ119</f>
        <v>1</v>
      </c>
      <c r="DB119">
        <v>0</v>
      </c>
    </row>
    <row r="120" spans="1:106" x14ac:dyDescent="0.2">
      <c r="A120">
        <f>ROW(Source!A64)</f>
        <v>64</v>
      </c>
      <c r="B120">
        <v>26914188</v>
      </c>
      <c r="C120">
        <v>26914358</v>
      </c>
      <c r="D120">
        <v>25231607</v>
      </c>
      <c r="E120">
        <v>1</v>
      </c>
      <c r="F120">
        <v>1</v>
      </c>
      <c r="G120">
        <v>1</v>
      </c>
      <c r="H120">
        <v>2</v>
      </c>
      <c r="I120" t="s">
        <v>352</v>
      </c>
      <c r="J120" t="s">
        <v>353</v>
      </c>
      <c r="K120" t="s">
        <v>354</v>
      </c>
      <c r="L120">
        <v>1368</v>
      </c>
      <c r="N120">
        <v>1011</v>
      </c>
      <c r="O120" t="s">
        <v>338</v>
      </c>
      <c r="P120" t="s">
        <v>338</v>
      </c>
      <c r="Q120">
        <v>1</v>
      </c>
      <c r="W120">
        <v>0</v>
      </c>
      <c r="X120">
        <v>1372534845</v>
      </c>
      <c r="Y120">
        <v>7.4999999999999997E-2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0.06</v>
      </c>
      <c r="AU120" t="s">
        <v>40</v>
      </c>
      <c r="AV120">
        <v>0</v>
      </c>
      <c r="AW120">
        <v>2</v>
      </c>
      <c r="AX120">
        <v>26914368</v>
      </c>
      <c r="AY120">
        <v>1</v>
      </c>
      <c r="AZ120">
        <v>0</v>
      </c>
      <c r="BA120">
        <v>118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Y120*Source!I64</f>
        <v>0.43919999999999998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v>0</v>
      </c>
    </row>
    <row r="121" spans="1:106" x14ac:dyDescent="0.2">
      <c r="A121">
        <f>ROW(Source!A64)</f>
        <v>64</v>
      </c>
      <c r="B121">
        <v>26914188</v>
      </c>
      <c r="C121">
        <v>26914358</v>
      </c>
      <c r="D121">
        <v>25169777</v>
      </c>
      <c r="E121">
        <v>1</v>
      </c>
      <c r="F121">
        <v>1</v>
      </c>
      <c r="G121">
        <v>1</v>
      </c>
      <c r="H121">
        <v>3</v>
      </c>
      <c r="I121" t="s">
        <v>95</v>
      </c>
      <c r="J121" t="s">
        <v>97</v>
      </c>
      <c r="K121" t="s">
        <v>96</v>
      </c>
      <c r="L121">
        <v>1327</v>
      </c>
      <c r="N121">
        <v>1005</v>
      </c>
      <c r="O121" t="s">
        <v>92</v>
      </c>
      <c r="P121" t="s">
        <v>92</v>
      </c>
      <c r="Q121">
        <v>1</v>
      </c>
      <c r="W121">
        <v>0</v>
      </c>
      <c r="X121">
        <v>579238719</v>
      </c>
      <c r="Y121">
        <v>10.1</v>
      </c>
      <c r="AA121">
        <v>56.32</v>
      </c>
      <c r="AB121">
        <v>0</v>
      </c>
      <c r="AC121">
        <v>0</v>
      </c>
      <c r="AD121">
        <v>0</v>
      </c>
      <c r="AE121">
        <v>56.32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10.1</v>
      </c>
      <c r="AU121" t="s">
        <v>6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Y121*Source!I64</f>
        <v>59.145599999999995</v>
      </c>
      <c r="CY121">
        <f>AA121</f>
        <v>56.32</v>
      </c>
      <c r="CZ121">
        <f>AE121</f>
        <v>56.32</v>
      </c>
      <c r="DA121">
        <f>AI121</f>
        <v>1</v>
      </c>
      <c r="DB121">
        <v>0</v>
      </c>
    </row>
    <row r="122" spans="1:106" x14ac:dyDescent="0.2">
      <c r="A122">
        <f>ROW(Source!A64)</f>
        <v>64</v>
      </c>
      <c r="B122">
        <v>26914188</v>
      </c>
      <c r="C122">
        <v>26914358</v>
      </c>
      <c r="D122">
        <v>25185231</v>
      </c>
      <c r="E122">
        <v>1</v>
      </c>
      <c r="F122">
        <v>1</v>
      </c>
      <c r="G122">
        <v>1</v>
      </c>
      <c r="H122">
        <v>3</v>
      </c>
      <c r="I122" t="s">
        <v>104</v>
      </c>
      <c r="J122" t="s">
        <v>106</v>
      </c>
      <c r="K122" t="s">
        <v>105</v>
      </c>
      <c r="L122">
        <v>1346</v>
      </c>
      <c r="N122">
        <v>1009</v>
      </c>
      <c r="O122" t="s">
        <v>50</v>
      </c>
      <c r="P122" t="s">
        <v>50</v>
      </c>
      <c r="Q122">
        <v>1</v>
      </c>
      <c r="W122">
        <v>0</v>
      </c>
      <c r="X122">
        <v>830044740</v>
      </c>
      <c r="Y122">
        <v>450</v>
      </c>
      <c r="AA122">
        <v>3.69</v>
      </c>
      <c r="AB122">
        <v>0</v>
      </c>
      <c r="AC122">
        <v>0</v>
      </c>
      <c r="AD122">
        <v>0</v>
      </c>
      <c r="AE122">
        <v>3.69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6</v>
      </c>
      <c r="AT122">
        <v>450</v>
      </c>
      <c r="AU122" t="s">
        <v>6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Y122*Source!I64</f>
        <v>2635.2</v>
      </c>
      <c r="CY122">
        <f>AA122</f>
        <v>3.69</v>
      </c>
      <c r="CZ122">
        <f>AE122</f>
        <v>3.69</v>
      </c>
      <c r="DA122">
        <f>AI122</f>
        <v>1</v>
      </c>
      <c r="DB122">
        <v>0</v>
      </c>
    </row>
    <row r="123" spans="1:106" x14ac:dyDescent="0.2">
      <c r="A123">
        <f>ROW(Source!A65)</f>
        <v>65</v>
      </c>
      <c r="B123">
        <v>26914189</v>
      </c>
      <c r="C123">
        <v>26914358</v>
      </c>
      <c r="D123">
        <v>25418254</v>
      </c>
      <c r="E123">
        <v>1</v>
      </c>
      <c r="F123">
        <v>1</v>
      </c>
      <c r="G123">
        <v>1</v>
      </c>
      <c r="H123">
        <v>1</v>
      </c>
      <c r="I123" t="s">
        <v>392</v>
      </c>
      <c r="J123" t="s">
        <v>6</v>
      </c>
      <c r="K123" t="s">
        <v>393</v>
      </c>
      <c r="L123">
        <v>1191</v>
      </c>
      <c r="N123">
        <v>1013</v>
      </c>
      <c r="O123" t="s">
        <v>332</v>
      </c>
      <c r="P123" t="s">
        <v>332</v>
      </c>
      <c r="Q123">
        <v>1</v>
      </c>
      <c r="W123">
        <v>0</v>
      </c>
      <c r="X123">
        <v>1983201532</v>
      </c>
      <c r="Y123">
        <v>27.392999999999997</v>
      </c>
      <c r="AA123">
        <v>0</v>
      </c>
      <c r="AB123">
        <v>0</v>
      </c>
      <c r="AC123">
        <v>0</v>
      </c>
      <c r="AD123">
        <v>73.23</v>
      </c>
      <c r="AE123">
        <v>0</v>
      </c>
      <c r="AF123">
        <v>0</v>
      </c>
      <c r="AG123">
        <v>0</v>
      </c>
      <c r="AH123">
        <v>9.51</v>
      </c>
      <c r="AI123">
        <v>1</v>
      </c>
      <c r="AJ123">
        <v>1</v>
      </c>
      <c r="AK123">
        <v>1</v>
      </c>
      <c r="AL123">
        <v>7.7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23.82</v>
      </c>
      <c r="AU123" t="s">
        <v>41</v>
      </c>
      <c r="AV123">
        <v>1</v>
      </c>
      <c r="AW123">
        <v>2</v>
      </c>
      <c r="AX123">
        <v>26914365</v>
      </c>
      <c r="AY123">
        <v>1</v>
      </c>
      <c r="AZ123">
        <v>0</v>
      </c>
      <c r="BA123">
        <v>121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Y123*Source!I65</f>
        <v>160.41340799999998</v>
      </c>
      <c r="CY123">
        <f>AD123</f>
        <v>73.23</v>
      </c>
      <c r="CZ123">
        <f>AH123</f>
        <v>9.51</v>
      </c>
      <c r="DA123">
        <f>AL123</f>
        <v>7.7</v>
      </c>
      <c r="DB123">
        <v>0</v>
      </c>
    </row>
    <row r="124" spans="1:106" x14ac:dyDescent="0.2">
      <c r="A124">
        <f>ROW(Source!A65)</f>
        <v>65</v>
      </c>
      <c r="B124">
        <v>26914189</v>
      </c>
      <c r="C124">
        <v>26914358</v>
      </c>
      <c r="D124">
        <v>25412928</v>
      </c>
      <c r="E124">
        <v>1</v>
      </c>
      <c r="F124">
        <v>1</v>
      </c>
      <c r="G124">
        <v>1</v>
      </c>
      <c r="H124">
        <v>1</v>
      </c>
      <c r="I124" t="s">
        <v>333</v>
      </c>
      <c r="J124" t="s">
        <v>6</v>
      </c>
      <c r="K124" t="s">
        <v>334</v>
      </c>
      <c r="L124">
        <v>1191</v>
      </c>
      <c r="N124">
        <v>1013</v>
      </c>
      <c r="O124" t="s">
        <v>332</v>
      </c>
      <c r="P124" t="s">
        <v>332</v>
      </c>
      <c r="Q124">
        <v>1</v>
      </c>
      <c r="W124">
        <v>0</v>
      </c>
      <c r="X124">
        <v>-1417349443</v>
      </c>
      <c r="Y124">
        <v>0.11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7.7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0.11</v>
      </c>
      <c r="AU124" t="s">
        <v>6</v>
      </c>
      <c r="AV124">
        <v>2</v>
      </c>
      <c r="AW124">
        <v>2</v>
      </c>
      <c r="AX124">
        <v>26914366</v>
      </c>
      <c r="AY124">
        <v>1</v>
      </c>
      <c r="AZ124">
        <v>2048</v>
      </c>
      <c r="BA124">
        <v>122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Y124*Source!I65</f>
        <v>0.64415999999999995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ROW(Source!A65)</f>
        <v>65</v>
      </c>
      <c r="B125">
        <v>26914189</v>
      </c>
      <c r="C125">
        <v>26914358</v>
      </c>
      <c r="D125">
        <v>25230514</v>
      </c>
      <c r="E125">
        <v>1</v>
      </c>
      <c r="F125">
        <v>1</v>
      </c>
      <c r="G125">
        <v>1</v>
      </c>
      <c r="H125">
        <v>2</v>
      </c>
      <c r="I125" t="s">
        <v>335</v>
      </c>
      <c r="J125" t="s">
        <v>336</v>
      </c>
      <c r="K125" t="s">
        <v>337</v>
      </c>
      <c r="L125">
        <v>1368</v>
      </c>
      <c r="N125">
        <v>1011</v>
      </c>
      <c r="O125" t="s">
        <v>338</v>
      </c>
      <c r="P125" t="s">
        <v>338</v>
      </c>
      <c r="Q125">
        <v>1</v>
      </c>
      <c r="W125">
        <v>0</v>
      </c>
      <c r="X125">
        <v>1188625873</v>
      </c>
      <c r="Y125">
        <v>6.25E-2</v>
      </c>
      <c r="AA125">
        <v>0</v>
      </c>
      <c r="AB125">
        <v>240.7</v>
      </c>
      <c r="AC125">
        <v>13.5</v>
      </c>
      <c r="AD125">
        <v>0</v>
      </c>
      <c r="AE125">
        <v>0</v>
      </c>
      <c r="AF125">
        <v>31.26</v>
      </c>
      <c r="AG125">
        <v>13.5</v>
      </c>
      <c r="AH125">
        <v>0</v>
      </c>
      <c r="AI125">
        <v>1</v>
      </c>
      <c r="AJ125">
        <v>7.7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0.05</v>
      </c>
      <c r="AU125" t="s">
        <v>40</v>
      </c>
      <c r="AV125">
        <v>0</v>
      </c>
      <c r="AW125">
        <v>2</v>
      </c>
      <c r="AX125">
        <v>26914367</v>
      </c>
      <c r="AY125">
        <v>1</v>
      </c>
      <c r="AZ125">
        <v>0</v>
      </c>
      <c r="BA125">
        <v>123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Y125*Source!I65</f>
        <v>0.36599999999999999</v>
      </c>
      <c r="CY125">
        <f>AB125</f>
        <v>240.7</v>
      </c>
      <c r="CZ125">
        <f>AF125</f>
        <v>31.26</v>
      </c>
      <c r="DA125">
        <f>AJ125</f>
        <v>7.7</v>
      </c>
      <c r="DB125">
        <v>0</v>
      </c>
    </row>
    <row r="126" spans="1:106" x14ac:dyDescent="0.2">
      <c r="A126">
        <f>ROW(Source!A65)</f>
        <v>65</v>
      </c>
      <c r="B126">
        <v>26914189</v>
      </c>
      <c r="C126">
        <v>26914358</v>
      </c>
      <c r="D126">
        <v>25231607</v>
      </c>
      <c r="E126">
        <v>1</v>
      </c>
      <c r="F126">
        <v>1</v>
      </c>
      <c r="G126">
        <v>1</v>
      </c>
      <c r="H126">
        <v>2</v>
      </c>
      <c r="I126" t="s">
        <v>352</v>
      </c>
      <c r="J126" t="s">
        <v>353</v>
      </c>
      <c r="K126" t="s">
        <v>354</v>
      </c>
      <c r="L126">
        <v>1368</v>
      </c>
      <c r="N126">
        <v>1011</v>
      </c>
      <c r="O126" t="s">
        <v>338</v>
      </c>
      <c r="P126" t="s">
        <v>338</v>
      </c>
      <c r="Q126">
        <v>1</v>
      </c>
      <c r="W126">
        <v>0</v>
      </c>
      <c r="X126">
        <v>1372534845</v>
      </c>
      <c r="Y126">
        <v>7.4999999999999997E-2</v>
      </c>
      <c r="AA126">
        <v>0</v>
      </c>
      <c r="AB126">
        <v>505.97</v>
      </c>
      <c r="AC126">
        <v>11.6</v>
      </c>
      <c r="AD126">
        <v>0</v>
      </c>
      <c r="AE126">
        <v>0</v>
      </c>
      <c r="AF126">
        <v>65.709999999999994</v>
      </c>
      <c r="AG126">
        <v>11.6</v>
      </c>
      <c r="AH126">
        <v>0</v>
      </c>
      <c r="AI126">
        <v>1</v>
      </c>
      <c r="AJ126">
        <v>7.7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0.06</v>
      </c>
      <c r="AU126" t="s">
        <v>40</v>
      </c>
      <c r="AV126">
        <v>0</v>
      </c>
      <c r="AW126">
        <v>2</v>
      </c>
      <c r="AX126">
        <v>26914368</v>
      </c>
      <c r="AY126">
        <v>1</v>
      </c>
      <c r="AZ126">
        <v>0</v>
      </c>
      <c r="BA126">
        <v>124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Y126*Source!I65</f>
        <v>0.43919999999999998</v>
      </c>
      <c r="CY126">
        <f>AB126</f>
        <v>505.97</v>
      </c>
      <c r="CZ126">
        <f>AF126</f>
        <v>65.709999999999994</v>
      </c>
      <c r="DA126">
        <f>AJ126</f>
        <v>7.7</v>
      </c>
      <c r="DB126">
        <v>0</v>
      </c>
    </row>
    <row r="127" spans="1:106" x14ac:dyDescent="0.2">
      <c r="A127">
        <f>ROW(Source!A65)</f>
        <v>65</v>
      </c>
      <c r="B127">
        <v>26914189</v>
      </c>
      <c r="C127">
        <v>26914358</v>
      </c>
      <c r="D127">
        <v>25169777</v>
      </c>
      <c r="E127">
        <v>1</v>
      </c>
      <c r="F127">
        <v>1</v>
      </c>
      <c r="G127">
        <v>1</v>
      </c>
      <c r="H127">
        <v>3</v>
      </c>
      <c r="I127" t="s">
        <v>95</v>
      </c>
      <c r="J127" t="s">
        <v>97</v>
      </c>
      <c r="K127" t="s">
        <v>96</v>
      </c>
      <c r="L127">
        <v>1327</v>
      </c>
      <c r="N127">
        <v>1005</v>
      </c>
      <c r="O127" t="s">
        <v>92</v>
      </c>
      <c r="P127" t="s">
        <v>92</v>
      </c>
      <c r="Q127">
        <v>1</v>
      </c>
      <c r="W127">
        <v>0</v>
      </c>
      <c r="X127">
        <v>579238719</v>
      </c>
      <c r="Y127">
        <v>10.1</v>
      </c>
      <c r="AA127">
        <v>433.66</v>
      </c>
      <c r="AB127">
        <v>0</v>
      </c>
      <c r="AC127">
        <v>0</v>
      </c>
      <c r="AD127">
        <v>0</v>
      </c>
      <c r="AE127">
        <v>56.32</v>
      </c>
      <c r="AF127">
        <v>0</v>
      </c>
      <c r="AG127">
        <v>0</v>
      </c>
      <c r="AH127">
        <v>0</v>
      </c>
      <c r="AI127">
        <v>7.7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6</v>
      </c>
      <c r="AT127">
        <v>10.1</v>
      </c>
      <c r="AU127" t="s">
        <v>6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Y127*Source!I65</f>
        <v>59.145599999999995</v>
      </c>
      <c r="CY127">
        <f>AA127</f>
        <v>433.66</v>
      </c>
      <c r="CZ127">
        <f>AE127</f>
        <v>56.32</v>
      </c>
      <c r="DA127">
        <f>AI127</f>
        <v>7.7</v>
      </c>
      <c r="DB127">
        <v>0</v>
      </c>
    </row>
    <row r="128" spans="1:106" x14ac:dyDescent="0.2">
      <c r="A128">
        <f>ROW(Source!A65)</f>
        <v>65</v>
      </c>
      <c r="B128">
        <v>26914189</v>
      </c>
      <c r="C128">
        <v>26914358</v>
      </c>
      <c r="D128">
        <v>25185231</v>
      </c>
      <c r="E128">
        <v>1</v>
      </c>
      <c r="F128">
        <v>1</v>
      </c>
      <c r="G128">
        <v>1</v>
      </c>
      <c r="H128">
        <v>3</v>
      </c>
      <c r="I128" t="s">
        <v>104</v>
      </c>
      <c r="J128" t="s">
        <v>106</v>
      </c>
      <c r="K128" t="s">
        <v>105</v>
      </c>
      <c r="L128">
        <v>1346</v>
      </c>
      <c r="N128">
        <v>1009</v>
      </c>
      <c r="O128" t="s">
        <v>50</v>
      </c>
      <c r="P128" t="s">
        <v>50</v>
      </c>
      <c r="Q128">
        <v>1</v>
      </c>
      <c r="W128">
        <v>0</v>
      </c>
      <c r="X128">
        <v>830044740</v>
      </c>
      <c r="Y128">
        <v>450</v>
      </c>
      <c r="AA128">
        <v>28.41</v>
      </c>
      <c r="AB128">
        <v>0</v>
      </c>
      <c r="AC128">
        <v>0</v>
      </c>
      <c r="AD128">
        <v>0</v>
      </c>
      <c r="AE128">
        <v>3.69</v>
      </c>
      <c r="AF128">
        <v>0</v>
      </c>
      <c r="AG128">
        <v>0</v>
      </c>
      <c r="AH128">
        <v>0</v>
      </c>
      <c r="AI128">
        <v>7.7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450</v>
      </c>
      <c r="AU128" t="s">
        <v>6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Y128*Source!I65</f>
        <v>2635.2</v>
      </c>
      <c r="CY128">
        <f>AA128</f>
        <v>28.41</v>
      </c>
      <c r="CZ128">
        <f>AE128</f>
        <v>3.69</v>
      </c>
      <c r="DA128">
        <f>AI128</f>
        <v>7.7</v>
      </c>
      <c r="DB128">
        <v>0</v>
      </c>
    </row>
    <row r="129" spans="1:106" x14ac:dyDescent="0.2">
      <c r="A129">
        <f>ROW(Source!A70)</f>
        <v>70</v>
      </c>
      <c r="B129">
        <v>26914188</v>
      </c>
      <c r="C129">
        <v>26914373</v>
      </c>
      <c r="D129">
        <v>25412980</v>
      </c>
      <c r="E129">
        <v>1</v>
      </c>
      <c r="F129">
        <v>1</v>
      </c>
      <c r="G129">
        <v>1</v>
      </c>
      <c r="H129">
        <v>1</v>
      </c>
      <c r="I129" t="s">
        <v>394</v>
      </c>
      <c r="J129" t="s">
        <v>6</v>
      </c>
      <c r="K129" t="s">
        <v>395</v>
      </c>
      <c r="L129">
        <v>1191</v>
      </c>
      <c r="N129">
        <v>1013</v>
      </c>
      <c r="O129" t="s">
        <v>332</v>
      </c>
      <c r="P129" t="s">
        <v>332</v>
      </c>
      <c r="Q129">
        <v>1</v>
      </c>
      <c r="W129">
        <v>0</v>
      </c>
      <c r="X129">
        <v>145020957</v>
      </c>
      <c r="Y129">
        <v>169.04999999999998</v>
      </c>
      <c r="AA129">
        <v>0</v>
      </c>
      <c r="AB129">
        <v>0</v>
      </c>
      <c r="AC129">
        <v>0</v>
      </c>
      <c r="AD129">
        <v>9.07</v>
      </c>
      <c r="AE129">
        <v>0</v>
      </c>
      <c r="AF129">
        <v>0</v>
      </c>
      <c r="AG129">
        <v>0</v>
      </c>
      <c r="AH129">
        <v>9.07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147</v>
      </c>
      <c r="AU129" t="s">
        <v>41</v>
      </c>
      <c r="AV129">
        <v>1</v>
      </c>
      <c r="AW129">
        <v>2</v>
      </c>
      <c r="AX129">
        <v>26914393</v>
      </c>
      <c r="AY129">
        <v>1</v>
      </c>
      <c r="AZ129">
        <v>0</v>
      </c>
      <c r="BA129">
        <v>127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Y129*Source!I70</f>
        <v>25.357499999999998</v>
      </c>
      <c r="CY129">
        <f>AD129</f>
        <v>9.07</v>
      </c>
      <c r="CZ129">
        <f>AH129</f>
        <v>9.07</v>
      </c>
      <c r="DA129">
        <f>AL129</f>
        <v>1</v>
      </c>
      <c r="DB129">
        <v>0</v>
      </c>
    </row>
    <row r="130" spans="1:106" x14ac:dyDescent="0.2">
      <c r="A130">
        <f>ROW(Source!A70)</f>
        <v>70</v>
      </c>
      <c r="B130">
        <v>26914188</v>
      </c>
      <c r="C130">
        <v>26914373</v>
      </c>
      <c r="D130">
        <v>25232550</v>
      </c>
      <c r="E130">
        <v>1</v>
      </c>
      <c r="F130">
        <v>1</v>
      </c>
      <c r="G130">
        <v>1</v>
      </c>
      <c r="H130">
        <v>2</v>
      </c>
      <c r="I130" t="s">
        <v>396</v>
      </c>
      <c r="J130" t="s">
        <v>397</v>
      </c>
      <c r="K130" t="s">
        <v>398</v>
      </c>
      <c r="L130">
        <v>1368</v>
      </c>
      <c r="N130">
        <v>1011</v>
      </c>
      <c r="O130" t="s">
        <v>338</v>
      </c>
      <c r="P130" t="s">
        <v>338</v>
      </c>
      <c r="Q130">
        <v>1</v>
      </c>
      <c r="W130">
        <v>0</v>
      </c>
      <c r="X130">
        <v>612354663</v>
      </c>
      <c r="Y130">
        <v>0.21250000000000002</v>
      </c>
      <c r="AA130">
        <v>0</v>
      </c>
      <c r="AB130">
        <v>33.590000000000003</v>
      </c>
      <c r="AC130">
        <v>0</v>
      </c>
      <c r="AD130">
        <v>0</v>
      </c>
      <c r="AE130">
        <v>0</v>
      </c>
      <c r="AF130">
        <v>33.590000000000003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0.17</v>
      </c>
      <c r="AU130" t="s">
        <v>40</v>
      </c>
      <c r="AV130">
        <v>0</v>
      </c>
      <c r="AW130">
        <v>2</v>
      </c>
      <c r="AX130">
        <v>26914394</v>
      </c>
      <c r="AY130">
        <v>1</v>
      </c>
      <c r="AZ130">
        <v>0</v>
      </c>
      <c r="BA130">
        <v>128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Y130*Source!I70</f>
        <v>3.1875000000000001E-2</v>
      </c>
      <c r="CY130">
        <f>AB130</f>
        <v>33.590000000000003</v>
      </c>
      <c r="CZ130">
        <f>AF130</f>
        <v>33.590000000000003</v>
      </c>
      <c r="DA130">
        <f>AJ130</f>
        <v>1</v>
      </c>
      <c r="DB130">
        <v>0</v>
      </c>
    </row>
    <row r="131" spans="1:106" x14ac:dyDescent="0.2">
      <c r="A131">
        <f>ROW(Source!A70)</f>
        <v>70</v>
      </c>
      <c r="B131">
        <v>26914188</v>
      </c>
      <c r="C131">
        <v>26914373</v>
      </c>
      <c r="D131">
        <v>25149479</v>
      </c>
      <c r="E131">
        <v>1</v>
      </c>
      <c r="F131">
        <v>1</v>
      </c>
      <c r="G131">
        <v>1</v>
      </c>
      <c r="H131">
        <v>3</v>
      </c>
      <c r="I131" t="s">
        <v>399</v>
      </c>
      <c r="J131" t="s">
        <v>400</v>
      </c>
      <c r="K131" t="s">
        <v>401</v>
      </c>
      <c r="L131">
        <v>1327</v>
      </c>
      <c r="N131">
        <v>1005</v>
      </c>
      <c r="O131" t="s">
        <v>92</v>
      </c>
      <c r="P131" t="s">
        <v>92</v>
      </c>
      <c r="Q131">
        <v>1</v>
      </c>
      <c r="W131">
        <v>0</v>
      </c>
      <c r="X131">
        <v>-732335063</v>
      </c>
      <c r="Y131">
        <v>449</v>
      </c>
      <c r="AA131">
        <v>23.52</v>
      </c>
      <c r="AB131">
        <v>0</v>
      </c>
      <c r="AC131">
        <v>0</v>
      </c>
      <c r="AD131">
        <v>0</v>
      </c>
      <c r="AE131">
        <v>23.52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449</v>
      </c>
      <c r="AU131" t="s">
        <v>6</v>
      </c>
      <c r="AV131">
        <v>0</v>
      </c>
      <c r="AW131">
        <v>2</v>
      </c>
      <c r="AX131">
        <v>26914395</v>
      </c>
      <c r="AY131">
        <v>1</v>
      </c>
      <c r="AZ131">
        <v>0</v>
      </c>
      <c r="BA131">
        <v>129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Y131*Source!I70</f>
        <v>67.349999999999994</v>
      </c>
      <c r="CY131">
        <f t="shared" ref="CY131:CY147" si="6">AA131</f>
        <v>23.52</v>
      </c>
      <c r="CZ131">
        <f t="shared" ref="CZ131:CZ147" si="7">AE131</f>
        <v>23.52</v>
      </c>
      <c r="DA131">
        <f t="shared" ref="DA131:DA147" si="8">AI131</f>
        <v>1</v>
      </c>
      <c r="DB131">
        <v>0</v>
      </c>
    </row>
    <row r="132" spans="1:106" x14ac:dyDescent="0.2">
      <c r="A132">
        <f>ROW(Source!A70)</f>
        <v>70</v>
      </c>
      <c r="B132">
        <v>26914188</v>
      </c>
      <c r="C132">
        <v>26914373</v>
      </c>
      <c r="D132">
        <v>25149493</v>
      </c>
      <c r="E132">
        <v>1</v>
      </c>
      <c r="F132">
        <v>1</v>
      </c>
      <c r="G132">
        <v>1</v>
      </c>
      <c r="H132">
        <v>3</v>
      </c>
      <c r="I132" t="s">
        <v>123</v>
      </c>
      <c r="J132" t="s">
        <v>125</v>
      </c>
      <c r="K132" t="s">
        <v>124</v>
      </c>
      <c r="L132">
        <v>1327</v>
      </c>
      <c r="N132">
        <v>1005</v>
      </c>
      <c r="O132" t="s">
        <v>92</v>
      </c>
      <c r="P132" t="s">
        <v>92</v>
      </c>
      <c r="Q132">
        <v>1</v>
      </c>
      <c r="W132">
        <v>0</v>
      </c>
      <c r="X132">
        <v>1736106746</v>
      </c>
      <c r="Y132">
        <v>449</v>
      </c>
      <c r="AA132">
        <v>11.05</v>
      </c>
      <c r="AB132">
        <v>0</v>
      </c>
      <c r="AC132">
        <v>0</v>
      </c>
      <c r="AD132">
        <v>0</v>
      </c>
      <c r="AE132">
        <v>11.05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449</v>
      </c>
      <c r="AU132" t="s">
        <v>6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Y132*Source!I70</f>
        <v>67.349999999999994</v>
      </c>
      <c r="CY132">
        <f t="shared" si="6"/>
        <v>11.05</v>
      </c>
      <c r="CZ132">
        <f t="shared" si="7"/>
        <v>11.05</v>
      </c>
      <c r="DA132">
        <f t="shared" si="8"/>
        <v>1</v>
      </c>
      <c r="DB132">
        <v>0</v>
      </c>
    </row>
    <row r="133" spans="1:106" x14ac:dyDescent="0.2">
      <c r="A133">
        <f>ROW(Source!A70)</f>
        <v>70</v>
      </c>
      <c r="B133">
        <v>26914188</v>
      </c>
      <c r="C133">
        <v>26914373</v>
      </c>
      <c r="D133">
        <v>25149961</v>
      </c>
      <c r="E133">
        <v>1</v>
      </c>
      <c r="F133">
        <v>1</v>
      </c>
      <c r="G133">
        <v>1</v>
      </c>
      <c r="H133">
        <v>3</v>
      </c>
      <c r="I133" t="s">
        <v>364</v>
      </c>
      <c r="J133" t="s">
        <v>365</v>
      </c>
      <c r="K133" t="s">
        <v>366</v>
      </c>
      <c r="L133">
        <v>1339</v>
      </c>
      <c r="N133">
        <v>1007</v>
      </c>
      <c r="O133" t="s">
        <v>76</v>
      </c>
      <c r="P133" t="s">
        <v>76</v>
      </c>
      <c r="Q133">
        <v>1</v>
      </c>
      <c r="W133">
        <v>0</v>
      </c>
      <c r="X133">
        <v>-1660354250</v>
      </c>
      <c r="Y133">
        <v>0.14299999999999999</v>
      </c>
      <c r="AA133">
        <v>2.44</v>
      </c>
      <c r="AB133">
        <v>0</v>
      </c>
      <c r="AC133">
        <v>0</v>
      </c>
      <c r="AD133">
        <v>0</v>
      </c>
      <c r="AE133">
        <v>2.44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0.14299999999999999</v>
      </c>
      <c r="AU133" t="s">
        <v>6</v>
      </c>
      <c r="AV133">
        <v>0</v>
      </c>
      <c r="AW133">
        <v>2</v>
      </c>
      <c r="AX133">
        <v>26914396</v>
      </c>
      <c r="AY133">
        <v>1</v>
      </c>
      <c r="AZ133">
        <v>0</v>
      </c>
      <c r="BA133">
        <v>130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Y133*Source!I70</f>
        <v>2.1449999999999997E-2</v>
      </c>
      <c r="CY133">
        <f t="shared" si="6"/>
        <v>2.44</v>
      </c>
      <c r="CZ133">
        <f t="shared" si="7"/>
        <v>2.44</v>
      </c>
      <c r="DA133">
        <f t="shared" si="8"/>
        <v>1</v>
      </c>
      <c r="DB133">
        <v>0</v>
      </c>
    </row>
    <row r="134" spans="1:106" x14ac:dyDescent="0.2">
      <c r="A134">
        <f>ROW(Source!A70)</f>
        <v>70</v>
      </c>
      <c r="B134">
        <v>26914188</v>
      </c>
      <c r="C134">
        <v>26914373</v>
      </c>
      <c r="D134">
        <v>25150223</v>
      </c>
      <c r="E134">
        <v>1</v>
      </c>
      <c r="F134">
        <v>1</v>
      </c>
      <c r="G134">
        <v>1</v>
      </c>
      <c r="H134">
        <v>3</v>
      </c>
      <c r="I134" t="s">
        <v>131</v>
      </c>
      <c r="J134" t="s">
        <v>133</v>
      </c>
      <c r="K134" t="s">
        <v>132</v>
      </c>
      <c r="L134">
        <v>1301</v>
      </c>
      <c r="N134">
        <v>1003</v>
      </c>
      <c r="O134" t="s">
        <v>120</v>
      </c>
      <c r="P134" t="s">
        <v>120</v>
      </c>
      <c r="Q134">
        <v>1</v>
      </c>
      <c r="W134">
        <v>0</v>
      </c>
      <c r="X134">
        <v>207034482</v>
      </c>
      <c r="Y134">
        <v>117</v>
      </c>
      <c r="AA134">
        <v>0.6</v>
      </c>
      <c r="AB134">
        <v>0</v>
      </c>
      <c r="AC134">
        <v>0</v>
      </c>
      <c r="AD134">
        <v>0</v>
      </c>
      <c r="AE134">
        <v>0.6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6</v>
      </c>
      <c r="AT134">
        <v>117</v>
      </c>
      <c r="AU134" t="s">
        <v>6</v>
      </c>
      <c r="AV134">
        <v>0</v>
      </c>
      <c r="AW134">
        <v>1</v>
      </c>
      <c r="AX134">
        <v>-1</v>
      </c>
      <c r="AY134">
        <v>0</v>
      </c>
      <c r="AZ134">
        <v>0</v>
      </c>
      <c r="BA134" t="s">
        <v>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Y134*Source!I70</f>
        <v>17.55</v>
      </c>
      <c r="CY134">
        <f t="shared" si="6"/>
        <v>0.6</v>
      </c>
      <c r="CZ134">
        <f t="shared" si="7"/>
        <v>0.6</v>
      </c>
      <c r="DA134">
        <f t="shared" si="8"/>
        <v>1</v>
      </c>
      <c r="DB134">
        <v>0</v>
      </c>
    </row>
    <row r="135" spans="1:106" x14ac:dyDescent="0.2">
      <c r="A135">
        <f>ROW(Source!A70)</f>
        <v>70</v>
      </c>
      <c r="B135">
        <v>26914188</v>
      </c>
      <c r="C135">
        <v>26914373</v>
      </c>
      <c r="D135">
        <v>25150247</v>
      </c>
      <c r="E135">
        <v>1</v>
      </c>
      <c r="F135">
        <v>1</v>
      </c>
      <c r="G135">
        <v>1</v>
      </c>
      <c r="H135">
        <v>3</v>
      </c>
      <c r="I135" t="s">
        <v>402</v>
      </c>
      <c r="J135" t="s">
        <v>403</v>
      </c>
      <c r="K135" t="s">
        <v>404</v>
      </c>
      <c r="L135">
        <v>1301</v>
      </c>
      <c r="N135">
        <v>1003</v>
      </c>
      <c r="O135" t="s">
        <v>120</v>
      </c>
      <c r="P135" t="s">
        <v>120</v>
      </c>
      <c r="Q135">
        <v>1</v>
      </c>
      <c r="W135">
        <v>0</v>
      </c>
      <c r="X135">
        <v>1016996156</v>
      </c>
      <c r="Y135">
        <v>249</v>
      </c>
      <c r="AA135">
        <v>0.17</v>
      </c>
      <c r="AB135">
        <v>0</v>
      </c>
      <c r="AC135">
        <v>0</v>
      </c>
      <c r="AD135">
        <v>0</v>
      </c>
      <c r="AE135">
        <v>0.17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249</v>
      </c>
      <c r="AU135" t="s">
        <v>6</v>
      </c>
      <c r="AV135">
        <v>0</v>
      </c>
      <c r="AW135">
        <v>2</v>
      </c>
      <c r="AX135">
        <v>26914397</v>
      </c>
      <c r="AY135">
        <v>1</v>
      </c>
      <c r="AZ135">
        <v>0</v>
      </c>
      <c r="BA135">
        <v>131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Y135*Source!I70</f>
        <v>37.35</v>
      </c>
      <c r="CY135">
        <f t="shared" si="6"/>
        <v>0.17</v>
      </c>
      <c r="CZ135">
        <f t="shared" si="7"/>
        <v>0.17</v>
      </c>
      <c r="DA135">
        <f t="shared" si="8"/>
        <v>1</v>
      </c>
      <c r="DB135">
        <v>0</v>
      </c>
    </row>
    <row r="136" spans="1:106" x14ac:dyDescent="0.2">
      <c r="A136">
        <f>ROW(Source!A70)</f>
        <v>70</v>
      </c>
      <c r="B136">
        <v>26914188</v>
      </c>
      <c r="C136">
        <v>26914373</v>
      </c>
      <c r="D136">
        <v>25150252</v>
      </c>
      <c r="E136">
        <v>1</v>
      </c>
      <c r="F136">
        <v>1</v>
      </c>
      <c r="G136">
        <v>1</v>
      </c>
      <c r="H136">
        <v>3</v>
      </c>
      <c r="I136" t="s">
        <v>405</v>
      </c>
      <c r="J136" t="s">
        <v>406</v>
      </c>
      <c r="K136" t="s">
        <v>407</v>
      </c>
      <c r="L136">
        <v>1308</v>
      </c>
      <c r="N136">
        <v>1003</v>
      </c>
      <c r="O136" t="s">
        <v>28</v>
      </c>
      <c r="P136" t="s">
        <v>28</v>
      </c>
      <c r="Q136">
        <v>100</v>
      </c>
      <c r="W136">
        <v>0</v>
      </c>
      <c r="X136">
        <v>254035190</v>
      </c>
      <c r="Y136">
        <v>1.62</v>
      </c>
      <c r="AA136">
        <v>173</v>
      </c>
      <c r="AB136">
        <v>0</v>
      </c>
      <c r="AC136">
        <v>0</v>
      </c>
      <c r="AD136">
        <v>0</v>
      </c>
      <c r="AE136">
        <v>173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1.62</v>
      </c>
      <c r="AU136" t="s">
        <v>6</v>
      </c>
      <c r="AV136">
        <v>0</v>
      </c>
      <c r="AW136">
        <v>2</v>
      </c>
      <c r="AX136">
        <v>26914398</v>
      </c>
      <c r="AY136">
        <v>1</v>
      </c>
      <c r="AZ136">
        <v>0</v>
      </c>
      <c r="BA136">
        <v>132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Y136*Source!I70</f>
        <v>0.24299999999999999</v>
      </c>
      <c r="CY136">
        <f t="shared" si="6"/>
        <v>173</v>
      </c>
      <c r="CZ136">
        <f t="shared" si="7"/>
        <v>173</v>
      </c>
      <c r="DA136">
        <f t="shared" si="8"/>
        <v>1</v>
      </c>
      <c r="DB136">
        <v>0</v>
      </c>
    </row>
    <row r="137" spans="1:106" x14ac:dyDescent="0.2">
      <c r="A137">
        <f>ROW(Source!A70)</f>
        <v>70</v>
      </c>
      <c r="B137">
        <v>26914188</v>
      </c>
      <c r="C137">
        <v>26914373</v>
      </c>
      <c r="D137">
        <v>25152784</v>
      </c>
      <c r="E137">
        <v>1</v>
      </c>
      <c r="F137">
        <v>1</v>
      </c>
      <c r="G137">
        <v>1</v>
      </c>
      <c r="H137">
        <v>3</v>
      </c>
      <c r="I137" t="s">
        <v>408</v>
      </c>
      <c r="J137" t="s">
        <v>409</v>
      </c>
      <c r="K137" t="s">
        <v>410</v>
      </c>
      <c r="L137">
        <v>1355</v>
      </c>
      <c r="N137">
        <v>1010</v>
      </c>
      <c r="O137" t="s">
        <v>411</v>
      </c>
      <c r="P137" t="s">
        <v>411</v>
      </c>
      <c r="Q137">
        <v>100</v>
      </c>
      <c r="W137">
        <v>0</v>
      </c>
      <c r="X137">
        <v>1307649985</v>
      </c>
      <c r="Y137">
        <v>0.7</v>
      </c>
      <c r="AA137">
        <v>70</v>
      </c>
      <c r="AB137">
        <v>0</v>
      </c>
      <c r="AC137">
        <v>0</v>
      </c>
      <c r="AD137">
        <v>0</v>
      </c>
      <c r="AE137">
        <v>70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0.7</v>
      </c>
      <c r="AU137" t="s">
        <v>6</v>
      </c>
      <c r="AV137">
        <v>0</v>
      </c>
      <c r="AW137">
        <v>2</v>
      </c>
      <c r="AX137">
        <v>26914400</v>
      </c>
      <c r="AY137">
        <v>1</v>
      </c>
      <c r="AZ137">
        <v>0</v>
      </c>
      <c r="BA137">
        <v>134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Y137*Source!I70</f>
        <v>0.105</v>
      </c>
      <c r="CY137">
        <f t="shared" si="6"/>
        <v>70</v>
      </c>
      <c r="CZ137">
        <f t="shared" si="7"/>
        <v>70</v>
      </c>
      <c r="DA137">
        <f t="shared" si="8"/>
        <v>1</v>
      </c>
      <c r="DB137">
        <v>0</v>
      </c>
    </row>
    <row r="138" spans="1:106" x14ac:dyDescent="0.2">
      <c r="A138">
        <f>ROW(Source!A70)</f>
        <v>70</v>
      </c>
      <c r="B138">
        <v>26914188</v>
      </c>
      <c r="C138">
        <v>26914373</v>
      </c>
      <c r="D138">
        <v>25152829</v>
      </c>
      <c r="E138">
        <v>1</v>
      </c>
      <c r="F138">
        <v>1</v>
      </c>
      <c r="G138">
        <v>1</v>
      </c>
      <c r="H138">
        <v>3</v>
      </c>
      <c r="I138" t="s">
        <v>412</v>
      </c>
      <c r="J138" t="s">
        <v>413</v>
      </c>
      <c r="K138" t="s">
        <v>414</v>
      </c>
      <c r="L138">
        <v>1355</v>
      </c>
      <c r="N138">
        <v>1010</v>
      </c>
      <c r="O138" t="s">
        <v>411</v>
      </c>
      <c r="P138" t="s">
        <v>411</v>
      </c>
      <c r="Q138">
        <v>100</v>
      </c>
      <c r="W138">
        <v>0</v>
      </c>
      <c r="X138">
        <v>1135215184</v>
      </c>
      <c r="Y138">
        <v>1.63</v>
      </c>
      <c r="AA138">
        <v>8</v>
      </c>
      <c r="AB138">
        <v>0</v>
      </c>
      <c r="AC138">
        <v>0</v>
      </c>
      <c r="AD138">
        <v>0</v>
      </c>
      <c r="AE138">
        <v>8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1.63</v>
      </c>
      <c r="AU138" t="s">
        <v>6</v>
      </c>
      <c r="AV138">
        <v>0</v>
      </c>
      <c r="AW138">
        <v>2</v>
      </c>
      <c r="AX138">
        <v>26914401</v>
      </c>
      <c r="AY138">
        <v>1</v>
      </c>
      <c r="AZ138">
        <v>0</v>
      </c>
      <c r="BA138">
        <v>135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Y138*Source!I70</f>
        <v>0.24449999999999997</v>
      </c>
      <c r="CY138">
        <f t="shared" si="6"/>
        <v>8</v>
      </c>
      <c r="CZ138">
        <f t="shared" si="7"/>
        <v>8</v>
      </c>
      <c r="DA138">
        <f t="shared" si="8"/>
        <v>1</v>
      </c>
      <c r="DB138">
        <v>0</v>
      </c>
    </row>
    <row r="139" spans="1:106" x14ac:dyDescent="0.2">
      <c r="A139">
        <f>ROW(Source!A70)</f>
        <v>70</v>
      </c>
      <c r="B139">
        <v>26914188</v>
      </c>
      <c r="C139">
        <v>26914373</v>
      </c>
      <c r="D139">
        <v>25153050</v>
      </c>
      <c r="E139">
        <v>1</v>
      </c>
      <c r="F139">
        <v>1</v>
      </c>
      <c r="G139">
        <v>1</v>
      </c>
      <c r="H139">
        <v>3</v>
      </c>
      <c r="I139" t="s">
        <v>415</v>
      </c>
      <c r="J139" t="s">
        <v>416</v>
      </c>
      <c r="K139" t="s">
        <v>417</v>
      </c>
      <c r="L139">
        <v>1355</v>
      </c>
      <c r="N139">
        <v>1010</v>
      </c>
      <c r="O139" t="s">
        <v>411</v>
      </c>
      <c r="P139" t="s">
        <v>411</v>
      </c>
      <c r="Q139">
        <v>100</v>
      </c>
      <c r="W139">
        <v>0</v>
      </c>
      <c r="X139">
        <v>1561857218</v>
      </c>
      <c r="Y139">
        <v>14.19</v>
      </c>
      <c r="AA139">
        <v>4</v>
      </c>
      <c r="AB139">
        <v>0</v>
      </c>
      <c r="AC139">
        <v>0</v>
      </c>
      <c r="AD139">
        <v>0</v>
      </c>
      <c r="AE139">
        <v>4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14.19</v>
      </c>
      <c r="AU139" t="s">
        <v>6</v>
      </c>
      <c r="AV139">
        <v>0</v>
      </c>
      <c r="AW139">
        <v>2</v>
      </c>
      <c r="AX139">
        <v>26914402</v>
      </c>
      <c r="AY139">
        <v>1</v>
      </c>
      <c r="AZ139">
        <v>0</v>
      </c>
      <c r="BA139">
        <v>136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Y139*Source!I70</f>
        <v>2.1284999999999998</v>
      </c>
      <c r="CY139">
        <f t="shared" si="6"/>
        <v>4</v>
      </c>
      <c r="CZ139">
        <f t="shared" si="7"/>
        <v>4</v>
      </c>
      <c r="DA139">
        <f t="shared" si="8"/>
        <v>1</v>
      </c>
      <c r="DB139">
        <v>0</v>
      </c>
    </row>
    <row r="140" spans="1:106" x14ac:dyDescent="0.2">
      <c r="A140">
        <f>ROW(Source!A70)</f>
        <v>70</v>
      </c>
      <c r="B140">
        <v>26914188</v>
      </c>
      <c r="C140">
        <v>26914373</v>
      </c>
      <c r="D140">
        <v>25153051</v>
      </c>
      <c r="E140">
        <v>1</v>
      </c>
      <c r="F140">
        <v>1</v>
      </c>
      <c r="G140">
        <v>1</v>
      </c>
      <c r="H140">
        <v>3</v>
      </c>
      <c r="I140" t="s">
        <v>418</v>
      </c>
      <c r="J140" t="s">
        <v>419</v>
      </c>
      <c r="K140" t="s">
        <v>420</v>
      </c>
      <c r="L140">
        <v>1355</v>
      </c>
      <c r="N140">
        <v>1010</v>
      </c>
      <c r="O140" t="s">
        <v>411</v>
      </c>
      <c r="P140" t="s">
        <v>411</v>
      </c>
      <c r="Q140">
        <v>100</v>
      </c>
      <c r="W140">
        <v>0</v>
      </c>
      <c r="X140">
        <v>-314866572</v>
      </c>
      <c r="Y140">
        <v>37.880000000000003</v>
      </c>
      <c r="AA140">
        <v>5</v>
      </c>
      <c r="AB140">
        <v>0</v>
      </c>
      <c r="AC140">
        <v>0</v>
      </c>
      <c r="AD140">
        <v>0</v>
      </c>
      <c r="AE140">
        <v>5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37.880000000000003</v>
      </c>
      <c r="AU140" t="s">
        <v>6</v>
      </c>
      <c r="AV140">
        <v>0</v>
      </c>
      <c r="AW140">
        <v>2</v>
      </c>
      <c r="AX140">
        <v>26914403</v>
      </c>
      <c r="AY140">
        <v>1</v>
      </c>
      <c r="AZ140">
        <v>0</v>
      </c>
      <c r="BA140">
        <v>137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Y140*Source!I70</f>
        <v>5.6820000000000004</v>
      </c>
      <c r="CY140">
        <f t="shared" si="6"/>
        <v>5</v>
      </c>
      <c r="CZ140">
        <f t="shared" si="7"/>
        <v>5</v>
      </c>
      <c r="DA140">
        <f t="shared" si="8"/>
        <v>1</v>
      </c>
      <c r="DB140">
        <v>0</v>
      </c>
    </row>
    <row r="141" spans="1:106" x14ac:dyDescent="0.2">
      <c r="A141">
        <f>ROW(Source!A70)</f>
        <v>70</v>
      </c>
      <c r="B141">
        <v>26914188</v>
      </c>
      <c r="C141">
        <v>26914373</v>
      </c>
      <c r="D141">
        <v>25171051</v>
      </c>
      <c r="E141">
        <v>1</v>
      </c>
      <c r="F141">
        <v>1</v>
      </c>
      <c r="G141">
        <v>1</v>
      </c>
      <c r="H141">
        <v>3</v>
      </c>
      <c r="I141" t="s">
        <v>118</v>
      </c>
      <c r="J141" t="s">
        <v>121</v>
      </c>
      <c r="K141" t="s">
        <v>119</v>
      </c>
      <c r="L141">
        <v>1301</v>
      </c>
      <c r="N141">
        <v>1003</v>
      </c>
      <c r="O141" t="s">
        <v>120</v>
      </c>
      <c r="P141" t="s">
        <v>120</v>
      </c>
      <c r="Q141">
        <v>1</v>
      </c>
      <c r="W141">
        <v>0</v>
      </c>
      <c r="X141">
        <v>238585318</v>
      </c>
      <c r="Y141">
        <v>86</v>
      </c>
      <c r="AA141">
        <v>6.16</v>
      </c>
      <c r="AB141">
        <v>0</v>
      </c>
      <c r="AC141">
        <v>0</v>
      </c>
      <c r="AD141">
        <v>0</v>
      </c>
      <c r="AE141">
        <v>6.16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6</v>
      </c>
      <c r="AT141">
        <v>86</v>
      </c>
      <c r="AU141" t="s">
        <v>6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6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Y141*Source!I70</f>
        <v>12.9</v>
      </c>
      <c r="CY141">
        <f t="shared" si="6"/>
        <v>6.16</v>
      </c>
      <c r="CZ141">
        <f t="shared" si="7"/>
        <v>6.16</v>
      </c>
      <c r="DA141">
        <f t="shared" si="8"/>
        <v>1</v>
      </c>
      <c r="DB141">
        <v>0</v>
      </c>
    </row>
    <row r="142" spans="1:106" x14ac:dyDescent="0.2">
      <c r="A142">
        <f>ROW(Source!A70)</f>
        <v>70</v>
      </c>
      <c r="B142">
        <v>26914188</v>
      </c>
      <c r="C142">
        <v>26914373</v>
      </c>
      <c r="D142">
        <v>25171113</v>
      </c>
      <c r="E142">
        <v>1</v>
      </c>
      <c r="F142">
        <v>1</v>
      </c>
      <c r="G142">
        <v>1</v>
      </c>
      <c r="H142">
        <v>3</v>
      </c>
      <c r="I142" t="s">
        <v>127</v>
      </c>
      <c r="J142" t="s">
        <v>129</v>
      </c>
      <c r="K142" t="s">
        <v>128</v>
      </c>
      <c r="L142">
        <v>1301</v>
      </c>
      <c r="N142">
        <v>1003</v>
      </c>
      <c r="O142" t="s">
        <v>120</v>
      </c>
      <c r="P142" t="s">
        <v>120</v>
      </c>
      <c r="Q142">
        <v>1</v>
      </c>
      <c r="W142">
        <v>0</v>
      </c>
      <c r="X142">
        <v>-1697320922</v>
      </c>
      <c r="Y142">
        <v>254</v>
      </c>
      <c r="AA142">
        <v>6.86</v>
      </c>
      <c r="AB142">
        <v>0</v>
      </c>
      <c r="AC142">
        <v>0</v>
      </c>
      <c r="AD142">
        <v>0</v>
      </c>
      <c r="AE142">
        <v>6.86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254</v>
      </c>
      <c r="AU142" t="s">
        <v>6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Y142*Source!I70</f>
        <v>38.1</v>
      </c>
      <c r="CY142">
        <f t="shared" si="6"/>
        <v>6.86</v>
      </c>
      <c r="CZ142">
        <f t="shared" si="7"/>
        <v>6.86</v>
      </c>
      <c r="DA142">
        <f t="shared" si="8"/>
        <v>1</v>
      </c>
      <c r="DB142">
        <v>0</v>
      </c>
    </row>
    <row r="143" spans="1:106" x14ac:dyDescent="0.2">
      <c r="A143">
        <f>ROW(Source!A70)</f>
        <v>70</v>
      </c>
      <c r="B143">
        <v>26914188</v>
      </c>
      <c r="C143">
        <v>26914373</v>
      </c>
      <c r="D143">
        <v>25171144</v>
      </c>
      <c r="E143">
        <v>1</v>
      </c>
      <c r="F143">
        <v>1</v>
      </c>
      <c r="G143">
        <v>1</v>
      </c>
      <c r="H143">
        <v>3</v>
      </c>
      <c r="I143" t="s">
        <v>421</v>
      </c>
      <c r="J143" t="s">
        <v>422</v>
      </c>
      <c r="K143" t="s">
        <v>423</v>
      </c>
      <c r="L143">
        <v>1355</v>
      </c>
      <c r="N143">
        <v>1010</v>
      </c>
      <c r="O143" t="s">
        <v>411</v>
      </c>
      <c r="P143" t="s">
        <v>411</v>
      </c>
      <c r="Q143">
        <v>100</v>
      </c>
      <c r="W143">
        <v>0</v>
      </c>
      <c r="X143">
        <v>-573076483</v>
      </c>
      <c r="Y143">
        <v>0.14000000000000001</v>
      </c>
      <c r="AA143">
        <v>279</v>
      </c>
      <c r="AB143">
        <v>0</v>
      </c>
      <c r="AC143">
        <v>0</v>
      </c>
      <c r="AD143">
        <v>0</v>
      </c>
      <c r="AE143">
        <v>279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0.14000000000000001</v>
      </c>
      <c r="AU143" t="s">
        <v>6</v>
      </c>
      <c r="AV143">
        <v>0</v>
      </c>
      <c r="AW143">
        <v>2</v>
      </c>
      <c r="AX143">
        <v>26914406</v>
      </c>
      <c r="AY143">
        <v>1</v>
      </c>
      <c r="AZ143">
        <v>0</v>
      </c>
      <c r="BA143">
        <v>140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Y143*Source!I70</f>
        <v>2.1000000000000001E-2</v>
      </c>
      <c r="CY143">
        <f t="shared" si="6"/>
        <v>279</v>
      </c>
      <c r="CZ143">
        <f t="shared" si="7"/>
        <v>279</v>
      </c>
      <c r="DA143">
        <f t="shared" si="8"/>
        <v>1</v>
      </c>
      <c r="DB143">
        <v>0</v>
      </c>
    </row>
    <row r="144" spans="1:106" x14ac:dyDescent="0.2">
      <c r="A144">
        <f>ROW(Source!A70)</f>
        <v>70</v>
      </c>
      <c r="B144">
        <v>26914188</v>
      </c>
      <c r="C144">
        <v>26914373</v>
      </c>
      <c r="D144">
        <v>25171153</v>
      </c>
      <c r="E144">
        <v>1</v>
      </c>
      <c r="F144">
        <v>1</v>
      </c>
      <c r="G144">
        <v>1</v>
      </c>
      <c r="H144">
        <v>3</v>
      </c>
      <c r="I144" t="s">
        <v>424</v>
      </c>
      <c r="J144" t="s">
        <v>425</v>
      </c>
      <c r="K144" t="s">
        <v>426</v>
      </c>
      <c r="L144">
        <v>1355</v>
      </c>
      <c r="N144">
        <v>1010</v>
      </c>
      <c r="O144" t="s">
        <v>411</v>
      </c>
      <c r="P144" t="s">
        <v>411</v>
      </c>
      <c r="Q144">
        <v>100</v>
      </c>
      <c r="W144">
        <v>0</v>
      </c>
      <c r="X144">
        <v>1526740868</v>
      </c>
      <c r="Y144">
        <v>0.14000000000000001</v>
      </c>
      <c r="AA144">
        <v>279</v>
      </c>
      <c r="AB144">
        <v>0</v>
      </c>
      <c r="AC144">
        <v>0</v>
      </c>
      <c r="AD144">
        <v>0</v>
      </c>
      <c r="AE144">
        <v>279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0.14000000000000001</v>
      </c>
      <c r="AU144" t="s">
        <v>6</v>
      </c>
      <c r="AV144">
        <v>0</v>
      </c>
      <c r="AW144">
        <v>2</v>
      </c>
      <c r="AX144">
        <v>26914407</v>
      </c>
      <c r="AY144">
        <v>1</v>
      </c>
      <c r="AZ144">
        <v>0</v>
      </c>
      <c r="BA144">
        <v>141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Y144*Source!I70</f>
        <v>2.1000000000000001E-2</v>
      </c>
      <c r="CY144">
        <f t="shared" si="6"/>
        <v>279</v>
      </c>
      <c r="CZ144">
        <f t="shared" si="7"/>
        <v>279</v>
      </c>
      <c r="DA144">
        <f t="shared" si="8"/>
        <v>1</v>
      </c>
      <c r="DB144">
        <v>0</v>
      </c>
    </row>
    <row r="145" spans="1:106" x14ac:dyDescent="0.2">
      <c r="A145">
        <f>ROW(Source!A70)</f>
        <v>70</v>
      </c>
      <c r="B145">
        <v>26914188</v>
      </c>
      <c r="C145">
        <v>26914373</v>
      </c>
      <c r="D145">
        <v>25181886</v>
      </c>
      <c r="E145">
        <v>1</v>
      </c>
      <c r="F145">
        <v>1</v>
      </c>
      <c r="G145">
        <v>1</v>
      </c>
      <c r="H145">
        <v>3</v>
      </c>
      <c r="I145" t="s">
        <v>114</v>
      </c>
      <c r="J145" t="s">
        <v>116</v>
      </c>
      <c r="K145" t="s">
        <v>115</v>
      </c>
      <c r="L145">
        <v>1339</v>
      </c>
      <c r="N145">
        <v>1007</v>
      </c>
      <c r="O145" t="s">
        <v>76</v>
      </c>
      <c r="P145" t="s">
        <v>76</v>
      </c>
      <c r="Q145">
        <v>1</v>
      </c>
      <c r="W145">
        <v>0</v>
      </c>
      <c r="X145">
        <v>2013777</v>
      </c>
      <c r="Y145">
        <v>5.15</v>
      </c>
      <c r="AA145">
        <v>170.19</v>
      </c>
      <c r="AB145">
        <v>0</v>
      </c>
      <c r="AC145">
        <v>0</v>
      </c>
      <c r="AD145">
        <v>0</v>
      </c>
      <c r="AE145">
        <v>170.19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5.15</v>
      </c>
      <c r="AU145" t="s">
        <v>6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Y145*Source!I70</f>
        <v>0.77250000000000008</v>
      </c>
      <c r="CY145">
        <f t="shared" si="6"/>
        <v>170.19</v>
      </c>
      <c r="CZ145">
        <f t="shared" si="7"/>
        <v>170.19</v>
      </c>
      <c r="DA145">
        <f t="shared" si="8"/>
        <v>1</v>
      </c>
      <c r="DB145">
        <v>0</v>
      </c>
    </row>
    <row r="146" spans="1:106" x14ac:dyDescent="0.2">
      <c r="A146">
        <f>ROW(Source!A70)</f>
        <v>70</v>
      </c>
      <c r="B146">
        <v>26914188</v>
      </c>
      <c r="C146">
        <v>26914373</v>
      </c>
      <c r="D146">
        <v>25186101</v>
      </c>
      <c r="E146">
        <v>1</v>
      </c>
      <c r="F146">
        <v>1</v>
      </c>
      <c r="G146">
        <v>1</v>
      </c>
      <c r="H146">
        <v>3</v>
      </c>
      <c r="I146" t="s">
        <v>427</v>
      </c>
      <c r="J146" t="s">
        <v>428</v>
      </c>
      <c r="K146" t="s">
        <v>429</v>
      </c>
      <c r="L146">
        <v>1346</v>
      </c>
      <c r="N146">
        <v>1009</v>
      </c>
      <c r="O146" t="s">
        <v>50</v>
      </c>
      <c r="P146" t="s">
        <v>50</v>
      </c>
      <c r="Q146">
        <v>1</v>
      </c>
      <c r="W146">
        <v>0</v>
      </c>
      <c r="X146">
        <v>1693558002</v>
      </c>
      <c r="Y146">
        <v>25</v>
      </c>
      <c r="AA146">
        <v>13.08</v>
      </c>
      <c r="AB146">
        <v>0</v>
      </c>
      <c r="AC146">
        <v>0</v>
      </c>
      <c r="AD146">
        <v>0</v>
      </c>
      <c r="AE146">
        <v>13.08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25</v>
      </c>
      <c r="AU146" t="s">
        <v>6</v>
      </c>
      <c r="AV146">
        <v>0</v>
      </c>
      <c r="AW146">
        <v>2</v>
      </c>
      <c r="AX146">
        <v>26914410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Y146*Source!I70</f>
        <v>3.75</v>
      </c>
      <c r="CY146">
        <f t="shared" si="6"/>
        <v>13.08</v>
      </c>
      <c r="CZ146">
        <f t="shared" si="7"/>
        <v>13.08</v>
      </c>
      <c r="DA146">
        <f t="shared" si="8"/>
        <v>1</v>
      </c>
      <c r="DB146">
        <v>0</v>
      </c>
    </row>
    <row r="147" spans="1:106" x14ac:dyDescent="0.2">
      <c r="A147">
        <f>ROW(Source!A70)</f>
        <v>70</v>
      </c>
      <c r="B147">
        <v>26914188</v>
      </c>
      <c r="C147">
        <v>26914373</v>
      </c>
      <c r="D147">
        <v>25187370</v>
      </c>
      <c r="E147">
        <v>1</v>
      </c>
      <c r="F147">
        <v>1</v>
      </c>
      <c r="G147">
        <v>1</v>
      </c>
      <c r="H147">
        <v>3</v>
      </c>
      <c r="I147" t="s">
        <v>430</v>
      </c>
      <c r="J147" t="s">
        <v>431</v>
      </c>
      <c r="K147" t="s">
        <v>432</v>
      </c>
      <c r="L147">
        <v>1346</v>
      </c>
      <c r="N147">
        <v>1009</v>
      </c>
      <c r="O147" t="s">
        <v>50</v>
      </c>
      <c r="P147" t="s">
        <v>50</v>
      </c>
      <c r="Q147">
        <v>1</v>
      </c>
      <c r="W147">
        <v>0</v>
      </c>
      <c r="X147">
        <v>-1426801191</v>
      </c>
      <c r="Y147">
        <v>179</v>
      </c>
      <c r="AA147">
        <v>2.94</v>
      </c>
      <c r="AB147">
        <v>0</v>
      </c>
      <c r="AC147">
        <v>0</v>
      </c>
      <c r="AD147">
        <v>0</v>
      </c>
      <c r="AE147">
        <v>2.94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179</v>
      </c>
      <c r="AU147" t="s">
        <v>6</v>
      </c>
      <c r="AV147">
        <v>0</v>
      </c>
      <c r="AW147">
        <v>2</v>
      </c>
      <c r="AX147">
        <v>26914411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Y147*Source!I70</f>
        <v>26.849999999999998</v>
      </c>
      <c r="CY147">
        <f t="shared" si="6"/>
        <v>2.94</v>
      </c>
      <c r="CZ147">
        <f t="shared" si="7"/>
        <v>2.94</v>
      </c>
      <c r="DA147">
        <f t="shared" si="8"/>
        <v>1</v>
      </c>
      <c r="DB147">
        <v>0</v>
      </c>
    </row>
    <row r="148" spans="1:106" x14ac:dyDescent="0.2">
      <c r="A148">
        <f>ROW(Source!A71)</f>
        <v>71</v>
      </c>
      <c r="B148">
        <v>26914189</v>
      </c>
      <c r="C148">
        <v>26914373</v>
      </c>
      <c r="D148">
        <v>25412980</v>
      </c>
      <c r="E148">
        <v>1</v>
      </c>
      <c r="F148">
        <v>1</v>
      </c>
      <c r="G148">
        <v>1</v>
      </c>
      <c r="H148">
        <v>1</v>
      </c>
      <c r="I148" t="s">
        <v>394</v>
      </c>
      <c r="J148" t="s">
        <v>6</v>
      </c>
      <c r="K148" t="s">
        <v>395</v>
      </c>
      <c r="L148">
        <v>1191</v>
      </c>
      <c r="N148">
        <v>1013</v>
      </c>
      <c r="O148" t="s">
        <v>332</v>
      </c>
      <c r="P148" t="s">
        <v>332</v>
      </c>
      <c r="Q148">
        <v>1</v>
      </c>
      <c r="W148">
        <v>0</v>
      </c>
      <c r="X148">
        <v>145020957</v>
      </c>
      <c r="Y148">
        <v>169.04999999999998</v>
      </c>
      <c r="AA148">
        <v>0</v>
      </c>
      <c r="AB148">
        <v>0</v>
      </c>
      <c r="AC148">
        <v>0</v>
      </c>
      <c r="AD148">
        <v>69.84</v>
      </c>
      <c r="AE148">
        <v>0</v>
      </c>
      <c r="AF148">
        <v>0</v>
      </c>
      <c r="AG148">
        <v>0</v>
      </c>
      <c r="AH148">
        <v>9.07</v>
      </c>
      <c r="AI148">
        <v>1</v>
      </c>
      <c r="AJ148">
        <v>1</v>
      </c>
      <c r="AK148">
        <v>1</v>
      </c>
      <c r="AL148">
        <v>7.7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147</v>
      </c>
      <c r="AU148" t="s">
        <v>41</v>
      </c>
      <c r="AV148">
        <v>1</v>
      </c>
      <c r="AW148">
        <v>2</v>
      </c>
      <c r="AX148">
        <v>26914393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Y148*Source!I71</f>
        <v>25.357499999999998</v>
      </c>
      <c r="CY148">
        <f>AD148</f>
        <v>69.84</v>
      </c>
      <c r="CZ148">
        <f>AH148</f>
        <v>9.07</v>
      </c>
      <c r="DA148">
        <f>AL148</f>
        <v>7.7</v>
      </c>
      <c r="DB148">
        <v>0</v>
      </c>
    </row>
    <row r="149" spans="1:106" x14ac:dyDescent="0.2">
      <c r="A149">
        <f>ROW(Source!A71)</f>
        <v>71</v>
      </c>
      <c r="B149">
        <v>26914189</v>
      </c>
      <c r="C149">
        <v>26914373</v>
      </c>
      <c r="D149">
        <v>25232550</v>
      </c>
      <c r="E149">
        <v>1</v>
      </c>
      <c r="F149">
        <v>1</v>
      </c>
      <c r="G149">
        <v>1</v>
      </c>
      <c r="H149">
        <v>2</v>
      </c>
      <c r="I149" t="s">
        <v>396</v>
      </c>
      <c r="J149" t="s">
        <v>397</v>
      </c>
      <c r="K149" t="s">
        <v>398</v>
      </c>
      <c r="L149">
        <v>1368</v>
      </c>
      <c r="N149">
        <v>1011</v>
      </c>
      <c r="O149" t="s">
        <v>338</v>
      </c>
      <c r="P149" t="s">
        <v>338</v>
      </c>
      <c r="Q149">
        <v>1</v>
      </c>
      <c r="W149">
        <v>0</v>
      </c>
      <c r="X149">
        <v>612354663</v>
      </c>
      <c r="Y149">
        <v>0.21250000000000002</v>
      </c>
      <c r="AA149">
        <v>0</v>
      </c>
      <c r="AB149">
        <v>258.64</v>
      </c>
      <c r="AC149">
        <v>0</v>
      </c>
      <c r="AD149">
        <v>0</v>
      </c>
      <c r="AE149">
        <v>0</v>
      </c>
      <c r="AF149">
        <v>33.590000000000003</v>
      </c>
      <c r="AG149">
        <v>0</v>
      </c>
      <c r="AH149">
        <v>0</v>
      </c>
      <c r="AI149">
        <v>1</v>
      </c>
      <c r="AJ149">
        <v>7.7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0.17</v>
      </c>
      <c r="AU149" t="s">
        <v>40</v>
      </c>
      <c r="AV149">
        <v>0</v>
      </c>
      <c r="AW149">
        <v>2</v>
      </c>
      <c r="AX149">
        <v>26914394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Y149*Source!I71</f>
        <v>3.1875000000000001E-2</v>
      </c>
      <c r="CY149">
        <f>AB149</f>
        <v>258.64</v>
      </c>
      <c r="CZ149">
        <f>AF149</f>
        <v>33.590000000000003</v>
      </c>
      <c r="DA149">
        <f>AJ149</f>
        <v>7.7</v>
      </c>
      <c r="DB149">
        <v>0</v>
      </c>
    </row>
    <row r="150" spans="1:106" x14ac:dyDescent="0.2">
      <c r="A150">
        <f>ROW(Source!A71)</f>
        <v>71</v>
      </c>
      <c r="B150">
        <v>26914189</v>
      </c>
      <c r="C150">
        <v>26914373</v>
      </c>
      <c r="D150">
        <v>25149479</v>
      </c>
      <c r="E150">
        <v>1</v>
      </c>
      <c r="F150">
        <v>1</v>
      </c>
      <c r="G150">
        <v>1</v>
      </c>
      <c r="H150">
        <v>3</v>
      </c>
      <c r="I150" t="s">
        <v>399</v>
      </c>
      <c r="J150" t="s">
        <v>400</v>
      </c>
      <c r="K150" t="s">
        <v>401</v>
      </c>
      <c r="L150">
        <v>1327</v>
      </c>
      <c r="N150">
        <v>1005</v>
      </c>
      <c r="O150" t="s">
        <v>92</v>
      </c>
      <c r="P150" t="s">
        <v>92</v>
      </c>
      <c r="Q150">
        <v>1</v>
      </c>
      <c r="W150">
        <v>0</v>
      </c>
      <c r="X150">
        <v>-732335063</v>
      </c>
      <c r="Y150">
        <v>449</v>
      </c>
      <c r="AA150">
        <v>181.1</v>
      </c>
      <c r="AB150">
        <v>0</v>
      </c>
      <c r="AC150">
        <v>0</v>
      </c>
      <c r="AD150">
        <v>0</v>
      </c>
      <c r="AE150">
        <v>23.52</v>
      </c>
      <c r="AF150">
        <v>0</v>
      </c>
      <c r="AG150">
        <v>0</v>
      </c>
      <c r="AH150">
        <v>0</v>
      </c>
      <c r="AI150">
        <v>7.7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449</v>
      </c>
      <c r="AU150" t="s">
        <v>6</v>
      </c>
      <c r="AV150">
        <v>0</v>
      </c>
      <c r="AW150">
        <v>2</v>
      </c>
      <c r="AX150">
        <v>26914395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Y150*Source!I71</f>
        <v>67.349999999999994</v>
      </c>
      <c r="CY150">
        <f t="shared" ref="CY150:CY166" si="9">AA150</f>
        <v>181.1</v>
      </c>
      <c r="CZ150">
        <f t="shared" ref="CZ150:CZ166" si="10">AE150</f>
        <v>23.52</v>
      </c>
      <c r="DA150">
        <f t="shared" ref="DA150:DA166" si="11">AI150</f>
        <v>7.7</v>
      </c>
      <c r="DB150">
        <v>0</v>
      </c>
    </row>
    <row r="151" spans="1:106" x14ac:dyDescent="0.2">
      <c r="A151">
        <f>ROW(Source!A71)</f>
        <v>71</v>
      </c>
      <c r="B151">
        <v>26914189</v>
      </c>
      <c r="C151">
        <v>26914373</v>
      </c>
      <c r="D151">
        <v>25149493</v>
      </c>
      <c r="E151">
        <v>1</v>
      </c>
      <c r="F151">
        <v>1</v>
      </c>
      <c r="G151">
        <v>1</v>
      </c>
      <c r="H151">
        <v>3</v>
      </c>
      <c r="I151" t="s">
        <v>123</v>
      </c>
      <c r="J151" t="s">
        <v>125</v>
      </c>
      <c r="K151" t="s">
        <v>124</v>
      </c>
      <c r="L151">
        <v>1327</v>
      </c>
      <c r="N151">
        <v>1005</v>
      </c>
      <c r="O151" t="s">
        <v>92</v>
      </c>
      <c r="P151" t="s">
        <v>92</v>
      </c>
      <c r="Q151">
        <v>1</v>
      </c>
      <c r="W151">
        <v>0</v>
      </c>
      <c r="X151">
        <v>1736106746</v>
      </c>
      <c r="Y151">
        <v>449</v>
      </c>
      <c r="AA151">
        <v>85.09</v>
      </c>
      <c r="AB151">
        <v>0</v>
      </c>
      <c r="AC151">
        <v>0</v>
      </c>
      <c r="AD151">
        <v>0</v>
      </c>
      <c r="AE151">
        <v>11.05</v>
      </c>
      <c r="AF151">
        <v>0</v>
      </c>
      <c r="AG151">
        <v>0</v>
      </c>
      <c r="AH151">
        <v>0</v>
      </c>
      <c r="AI151">
        <v>7.7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449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Y151*Source!I71</f>
        <v>67.349999999999994</v>
      </c>
      <c r="CY151">
        <f t="shared" si="9"/>
        <v>85.09</v>
      </c>
      <c r="CZ151">
        <f t="shared" si="10"/>
        <v>11.05</v>
      </c>
      <c r="DA151">
        <f t="shared" si="11"/>
        <v>7.7</v>
      </c>
      <c r="DB151">
        <v>0</v>
      </c>
    </row>
    <row r="152" spans="1:106" x14ac:dyDescent="0.2">
      <c r="A152">
        <f>ROW(Source!A71)</f>
        <v>71</v>
      </c>
      <c r="B152">
        <v>26914189</v>
      </c>
      <c r="C152">
        <v>26914373</v>
      </c>
      <c r="D152">
        <v>25149961</v>
      </c>
      <c r="E152">
        <v>1</v>
      </c>
      <c r="F152">
        <v>1</v>
      </c>
      <c r="G152">
        <v>1</v>
      </c>
      <c r="H152">
        <v>3</v>
      </c>
      <c r="I152" t="s">
        <v>364</v>
      </c>
      <c r="J152" t="s">
        <v>365</v>
      </c>
      <c r="K152" t="s">
        <v>366</v>
      </c>
      <c r="L152">
        <v>1339</v>
      </c>
      <c r="N152">
        <v>1007</v>
      </c>
      <c r="O152" t="s">
        <v>76</v>
      </c>
      <c r="P152" t="s">
        <v>76</v>
      </c>
      <c r="Q152">
        <v>1</v>
      </c>
      <c r="W152">
        <v>0</v>
      </c>
      <c r="X152">
        <v>-1660354250</v>
      </c>
      <c r="Y152">
        <v>0.14299999999999999</v>
      </c>
      <c r="AA152">
        <v>18.79</v>
      </c>
      <c r="AB152">
        <v>0</v>
      </c>
      <c r="AC152">
        <v>0</v>
      </c>
      <c r="AD152">
        <v>0</v>
      </c>
      <c r="AE152">
        <v>2.44</v>
      </c>
      <c r="AF152">
        <v>0</v>
      </c>
      <c r="AG152">
        <v>0</v>
      </c>
      <c r="AH152">
        <v>0</v>
      </c>
      <c r="AI152">
        <v>7.7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0.14299999999999999</v>
      </c>
      <c r="AU152" t="s">
        <v>6</v>
      </c>
      <c r="AV152">
        <v>0</v>
      </c>
      <c r="AW152">
        <v>2</v>
      </c>
      <c r="AX152">
        <v>26914396</v>
      </c>
      <c r="AY152">
        <v>1</v>
      </c>
      <c r="AZ152">
        <v>0</v>
      </c>
      <c r="BA152">
        <v>149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Y152*Source!I71</f>
        <v>2.1449999999999997E-2</v>
      </c>
      <c r="CY152">
        <f t="shared" si="9"/>
        <v>18.79</v>
      </c>
      <c r="CZ152">
        <f t="shared" si="10"/>
        <v>2.44</v>
      </c>
      <c r="DA152">
        <f t="shared" si="11"/>
        <v>7.7</v>
      </c>
      <c r="DB152">
        <v>0</v>
      </c>
    </row>
    <row r="153" spans="1:106" x14ac:dyDescent="0.2">
      <c r="A153">
        <f>ROW(Source!A71)</f>
        <v>71</v>
      </c>
      <c r="B153">
        <v>26914189</v>
      </c>
      <c r="C153">
        <v>26914373</v>
      </c>
      <c r="D153">
        <v>25150223</v>
      </c>
      <c r="E153">
        <v>1</v>
      </c>
      <c r="F153">
        <v>1</v>
      </c>
      <c r="G153">
        <v>1</v>
      </c>
      <c r="H153">
        <v>3</v>
      </c>
      <c r="I153" t="s">
        <v>131</v>
      </c>
      <c r="J153" t="s">
        <v>133</v>
      </c>
      <c r="K153" t="s">
        <v>132</v>
      </c>
      <c r="L153">
        <v>1301</v>
      </c>
      <c r="N153">
        <v>1003</v>
      </c>
      <c r="O153" t="s">
        <v>120</v>
      </c>
      <c r="P153" t="s">
        <v>120</v>
      </c>
      <c r="Q153">
        <v>1</v>
      </c>
      <c r="W153">
        <v>0</v>
      </c>
      <c r="X153">
        <v>207034482</v>
      </c>
      <c r="Y153">
        <v>117</v>
      </c>
      <c r="AA153">
        <v>4.62</v>
      </c>
      <c r="AB153">
        <v>0</v>
      </c>
      <c r="AC153">
        <v>0</v>
      </c>
      <c r="AD153">
        <v>0</v>
      </c>
      <c r="AE153">
        <v>0.6</v>
      </c>
      <c r="AF153">
        <v>0</v>
      </c>
      <c r="AG153">
        <v>0</v>
      </c>
      <c r="AH153">
        <v>0</v>
      </c>
      <c r="AI153">
        <v>7.7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6</v>
      </c>
      <c r="AT153">
        <v>117</v>
      </c>
      <c r="AU153" t="s">
        <v>6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6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Y153*Source!I71</f>
        <v>17.55</v>
      </c>
      <c r="CY153">
        <f t="shared" si="9"/>
        <v>4.62</v>
      </c>
      <c r="CZ153">
        <f t="shared" si="10"/>
        <v>0.6</v>
      </c>
      <c r="DA153">
        <f t="shared" si="11"/>
        <v>7.7</v>
      </c>
      <c r="DB153">
        <v>0</v>
      </c>
    </row>
    <row r="154" spans="1:106" x14ac:dyDescent="0.2">
      <c r="A154">
        <f>ROW(Source!A71)</f>
        <v>71</v>
      </c>
      <c r="B154">
        <v>26914189</v>
      </c>
      <c r="C154">
        <v>26914373</v>
      </c>
      <c r="D154">
        <v>25150247</v>
      </c>
      <c r="E154">
        <v>1</v>
      </c>
      <c r="F154">
        <v>1</v>
      </c>
      <c r="G154">
        <v>1</v>
      </c>
      <c r="H154">
        <v>3</v>
      </c>
      <c r="I154" t="s">
        <v>402</v>
      </c>
      <c r="J154" t="s">
        <v>403</v>
      </c>
      <c r="K154" t="s">
        <v>404</v>
      </c>
      <c r="L154">
        <v>1301</v>
      </c>
      <c r="N154">
        <v>1003</v>
      </c>
      <c r="O154" t="s">
        <v>120</v>
      </c>
      <c r="P154" t="s">
        <v>120</v>
      </c>
      <c r="Q154">
        <v>1</v>
      </c>
      <c r="W154">
        <v>0</v>
      </c>
      <c r="X154">
        <v>1016996156</v>
      </c>
      <c r="Y154">
        <v>249</v>
      </c>
      <c r="AA154">
        <v>1.31</v>
      </c>
      <c r="AB154">
        <v>0</v>
      </c>
      <c r="AC154">
        <v>0</v>
      </c>
      <c r="AD154">
        <v>0</v>
      </c>
      <c r="AE154">
        <v>0.17</v>
      </c>
      <c r="AF154">
        <v>0</v>
      </c>
      <c r="AG154">
        <v>0</v>
      </c>
      <c r="AH154">
        <v>0</v>
      </c>
      <c r="AI154">
        <v>7.7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249</v>
      </c>
      <c r="AU154" t="s">
        <v>6</v>
      </c>
      <c r="AV154">
        <v>0</v>
      </c>
      <c r="AW154">
        <v>2</v>
      </c>
      <c r="AX154">
        <v>26914397</v>
      </c>
      <c r="AY154">
        <v>1</v>
      </c>
      <c r="AZ154">
        <v>0</v>
      </c>
      <c r="BA154">
        <v>150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Y154*Source!I71</f>
        <v>37.35</v>
      </c>
      <c r="CY154">
        <f t="shared" si="9"/>
        <v>1.31</v>
      </c>
      <c r="CZ154">
        <f t="shared" si="10"/>
        <v>0.17</v>
      </c>
      <c r="DA154">
        <f t="shared" si="11"/>
        <v>7.7</v>
      </c>
      <c r="DB154">
        <v>0</v>
      </c>
    </row>
    <row r="155" spans="1:106" x14ac:dyDescent="0.2">
      <c r="A155">
        <f>ROW(Source!A71)</f>
        <v>71</v>
      </c>
      <c r="B155">
        <v>26914189</v>
      </c>
      <c r="C155">
        <v>26914373</v>
      </c>
      <c r="D155">
        <v>25150252</v>
      </c>
      <c r="E155">
        <v>1</v>
      </c>
      <c r="F155">
        <v>1</v>
      </c>
      <c r="G155">
        <v>1</v>
      </c>
      <c r="H155">
        <v>3</v>
      </c>
      <c r="I155" t="s">
        <v>405</v>
      </c>
      <c r="J155" t="s">
        <v>406</v>
      </c>
      <c r="K155" t="s">
        <v>407</v>
      </c>
      <c r="L155">
        <v>1308</v>
      </c>
      <c r="N155">
        <v>1003</v>
      </c>
      <c r="O155" t="s">
        <v>28</v>
      </c>
      <c r="P155" t="s">
        <v>28</v>
      </c>
      <c r="Q155">
        <v>100</v>
      </c>
      <c r="W155">
        <v>0</v>
      </c>
      <c r="X155">
        <v>254035190</v>
      </c>
      <c r="Y155">
        <v>1.62</v>
      </c>
      <c r="AA155">
        <v>1332.1</v>
      </c>
      <c r="AB155">
        <v>0</v>
      </c>
      <c r="AC155">
        <v>0</v>
      </c>
      <c r="AD155">
        <v>0</v>
      </c>
      <c r="AE155">
        <v>173</v>
      </c>
      <c r="AF155">
        <v>0</v>
      </c>
      <c r="AG155">
        <v>0</v>
      </c>
      <c r="AH155">
        <v>0</v>
      </c>
      <c r="AI155">
        <v>7.7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1.62</v>
      </c>
      <c r="AU155" t="s">
        <v>6</v>
      </c>
      <c r="AV155">
        <v>0</v>
      </c>
      <c r="AW155">
        <v>2</v>
      </c>
      <c r="AX155">
        <v>26914398</v>
      </c>
      <c r="AY155">
        <v>1</v>
      </c>
      <c r="AZ155">
        <v>0</v>
      </c>
      <c r="BA155">
        <v>151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Y155*Source!I71</f>
        <v>0.24299999999999999</v>
      </c>
      <c r="CY155">
        <f t="shared" si="9"/>
        <v>1332.1</v>
      </c>
      <c r="CZ155">
        <f t="shared" si="10"/>
        <v>173</v>
      </c>
      <c r="DA155">
        <f t="shared" si="11"/>
        <v>7.7</v>
      </c>
      <c r="DB155">
        <v>0</v>
      </c>
    </row>
    <row r="156" spans="1:106" x14ac:dyDescent="0.2">
      <c r="A156">
        <f>ROW(Source!A71)</f>
        <v>71</v>
      </c>
      <c r="B156">
        <v>26914189</v>
      </c>
      <c r="C156">
        <v>26914373</v>
      </c>
      <c r="D156">
        <v>25152784</v>
      </c>
      <c r="E156">
        <v>1</v>
      </c>
      <c r="F156">
        <v>1</v>
      </c>
      <c r="G156">
        <v>1</v>
      </c>
      <c r="H156">
        <v>3</v>
      </c>
      <c r="I156" t="s">
        <v>408</v>
      </c>
      <c r="J156" t="s">
        <v>409</v>
      </c>
      <c r="K156" t="s">
        <v>410</v>
      </c>
      <c r="L156">
        <v>1355</v>
      </c>
      <c r="N156">
        <v>1010</v>
      </c>
      <c r="O156" t="s">
        <v>411</v>
      </c>
      <c r="P156" t="s">
        <v>411</v>
      </c>
      <c r="Q156">
        <v>100</v>
      </c>
      <c r="W156">
        <v>0</v>
      </c>
      <c r="X156">
        <v>1307649985</v>
      </c>
      <c r="Y156">
        <v>0.7</v>
      </c>
      <c r="AA156">
        <v>539</v>
      </c>
      <c r="AB156">
        <v>0</v>
      </c>
      <c r="AC156">
        <v>0</v>
      </c>
      <c r="AD156">
        <v>0</v>
      </c>
      <c r="AE156">
        <v>70</v>
      </c>
      <c r="AF156">
        <v>0</v>
      </c>
      <c r="AG156">
        <v>0</v>
      </c>
      <c r="AH156">
        <v>0</v>
      </c>
      <c r="AI156">
        <v>7.7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0.7</v>
      </c>
      <c r="AU156" t="s">
        <v>6</v>
      </c>
      <c r="AV156">
        <v>0</v>
      </c>
      <c r="AW156">
        <v>2</v>
      </c>
      <c r="AX156">
        <v>26914400</v>
      </c>
      <c r="AY156">
        <v>1</v>
      </c>
      <c r="AZ156">
        <v>0</v>
      </c>
      <c r="BA156">
        <v>153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Y156*Source!I71</f>
        <v>0.105</v>
      </c>
      <c r="CY156">
        <f t="shared" si="9"/>
        <v>539</v>
      </c>
      <c r="CZ156">
        <f t="shared" si="10"/>
        <v>70</v>
      </c>
      <c r="DA156">
        <f t="shared" si="11"/>
        <v>7.7</v>
      </c>
      <c r="DB156">
        <v>0</v>
      </c>
    </row>
    <row r="157" spans="1:106" x14ac:dyDescent="0.2">
      <c r="A157">
        <f>ROW(Source!A71)</f>
        <v>71</v>
      </c>
      <c r="B157">
        <v>26914189</v>
      </c>
      <c r="C157">
        <v>26914373</v>
      </c>
      <c r="D157">
        <v>25152829</v>
      </c>
      <c r="E157">
        <v>1</v>
      </c>
      <c r="F157">
        <v>1</v>
      </c>
      <c r="G157">
        <v>1</v>
      </c>
      <c r="H157">
        <v>3</v>
      </c>
      <c r="I157" t="s">
        <v>412</v>
      </c>
      <c r="J157" t="s">
        <v>413</v>
      </c>
      <c r="K157" t="s">
        <v>414</v>
      </c>
      <c r="L157">
        <v>1355</v>
      </c>
      <c r="N157">
        <v>1010</v>
      </c>
      <c r="O157" t="s">
        <v>411</v>
      </c>
      <c r="P157" t="s">
        <v>411</v>
      </c>
      <c r="Q157">
        <v>100</v>
      </c>
      <c r="W157">
        <v>0</v>
      </c>
      <c r="X157">
        <v>1135215184</v>
      </c>
      <c r="Y157">
        <v>1.63</v>
      </c>
      <c r="AA157">
        <v>61.6</v>
      </c>
      <c r="AB157">
        <v>0</v>
      </c>
      <c r="AC157">
        <v>0</v>
      </c>
      <c r="AD157">
        <v>0</v>
      </c>
      <c r="AE157">
        <v>8</v>
      </c>
      <c r="AF157">
        <v>0</v>
      </c>
      <c r="AG157">
        <v>0</v>
      </c>
      <c r="AH157">
        <v>0</v>
      </c>
      <c r="AI157">
        <v>7.7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1.63</v>
      </c>
      <c r="AU157" t="s">
        <v>6</v>
      </c>
      <c r="AV157">
        <v>0</v>
      </c>
      <c r="AW157">
        <v>2</v>
      </c>
      <c r="AX157">
        <v>26914401</v>
      </c>
      <c r="AY157">
        <v>1</v>
      </c>
      <c r="AZ157">
        <v>0</v>
      </c>
      <c r="BA157">
        <v>154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Y157*Source!I71</f>
        <v>0.24449999999999997</v>
      </c>
      <c r="CY157">
        <f t="shared" si="9"/>
        <v>61.6</v>
      </c>
      <c r="CZ157">
        <f t="shared" si="10"/>
        <v>8</v>
      </c>
      <c r="DA157">
        <f t="shared" si="11"/>
        <v>7.7</v>
      </c>
      <c r="DB157">
        <v>0</v>
      </c>
    </row>
    <row r="158" spans="1:106" x14ac:dyDescent="0.2">
      <c r="A158">
        <f>ROW(Source!A71)</f>
        <v>71</v>
      </c>
      <c r="B158">
        <v>26914189</v>
      </c>
      <c r="C158">
        <v>26914373</v>
      </c>
      <c r="D158">
        <v>25153050</v>
      </c>
      <c r="E158">
        <v>1</v>
      </c>
      <c r="F158">
        <v>1</v>
      </c>
      <c r="G158">
        <v>1</v>
      </c>
      <c r="H158">
        <v>3</v>
      </c>
      <c r="I158" t="s">
        <v>415</v>
      </c>
      <c r="J158" t="s">
        <v>416</v>
      </c>
      <c r="K158" t="s">
        <v>417</v>
      </c>
      <c r="L158">
        <v>1355</v>
      </c>
      <c r="N158">
        <v>1010</v>
      </c>
      <c r="O158" t="s">
        <v>411</v>
      </c>
      <c r="P158" t="s">
        <v>411</v>
      </c>
      <c r="Q158">
        <v>100</v>
      </c>
      <c r="W158">
        <v>0</v>
      </c>
      <c r="X158">
        <v>1561857218</v>
      </c>
      <c r="Y158">
        <v>14.19</v>
      </c>
      <c r="AA158">
        <v>30.8</v>
      </c>
      <c r="AB158">
        <v>0</v>
      </c>
      <c r="AC158">
        <v>0</v>
      </c>
      <c r="AD158">
        <v>0</v>
      </c>
      <c r="AE158">
        <v>4</v>
      </c>
      <c r="AF158">
        <v>0</v>
      </c>
      <c r="AG158">
        <v>0</v>
      </c>
      <c r="AH158">
        <v>0</v>
      </c>
      <c r="AI158">
        <v>7.7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14.19</v>
      </c>
      <c r="AU158" t="s">
        <v>6</v>
      </c>
      <c r="AV158">
        <v>0</v>
      </c>
      <c r="AW158">
        <v>2</v>
      </c>
      <c r="AX158">
        <v>26914402</v>
      </c>
      <c r="AY158">
        <v>1</v>
      </c>
      <c r="AZ158">
        <v>0</v>
      </c>
      <c r="BA158">
        <v>155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Y158*Source!I71</f>
        <v>2.1284999999999998</v>
      </c>
      <c r="CY158">
        <f t="shared" si="9"/>
        <v>30.8</v>
      </c>
      <c r="CZ158">
        <f t="shared" si="10"/>
        <v>4</v>
      </c>
      <c r="DA158">
        <f t="shared" si="11"/>
        <v>7.7</v>
      </c>
      <c r="DB158">
        <v>0</v>
      </c>
    </row>
    <row r="159" spans="1:106" x14ac:dyDescent="0.2">
      <c r="A159">
        <f>ROW(Source!A71)</f>
        <v>71</v>
      </c>
      <c r="B159">
        <v>26914189</v>
      </c>
      <c r="C159">
        <v>26914373</v>
      </c>
      <c r="D159">
        <v>25153051</v>
      </c>
      <c r="E159">
        <v>1</v>
      </c>
      <c r="F159">
        <v>1</v>
      </c>
      <c r="G159">
        <v>1</v>
      </c>
      <c r="H159">
        <v>3</v>
      </c>
      <c r="I159" t="s">
        <v>418</v>
      </c>
      <c r="J159" t="s">
        <v>419</v>
      </c>
      <c r="K159" t="s">
        <v>420</v>
      </c>
      <c r="L159">
        <v>1355</v>
      </c>
      <c r="N159">
        <v>1010</v>
      </c>
      <c r="O159" t="s">
        <v>411</v>
      </c>
      <c r="P159" t="s">
        <v>411</v>
      </c>
      <c r="Q159">
        <v>100</v>
      </c>
      <c r="W159">
        <v>0</v>
      </c>
      <c r="X159">
        <v>-314866572</v>
      </c>
      <c r="Y159">
        <v>37.880000000000003</v>
      </c>
      <c r="AA159">
        <v>38.5</v>
      </c>
      <c r="AB159">
        <v>0</v>
      </c>
      <c r="AC159">
        <v>0</v>
      </c>
      <c r="AD159">
        <v>0</v>
      </c>
      <c r="AE159">
        <v>5</v>
      </c>
      <c r="AF159">
        <v>0</v>
      </c>
      <c r="AG159">
        <v>0</v>
      </c>
      <c r="AH159">
        <v>0</v>
      </c>
      <c r="AI159">
        <v>7.7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37.880000000000003</v>
      </c>
      <c r="AU159" t="s">
        <v>6</v>
      </c>
      <c r="AV159">
        <v>0</v>
      </c>
      <c r="AW159">
        <v>2</v>
      </c>
      <c r="AX159">
        <v>26914403</v>
      </c>
      <c r="AY159">
        <v>1</v>
      </c>
      <c r="AZ159">
        <v>0</v>
      </c>
      <c r="BA159">
        <v>156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Y159*Source!I71</f>
        <v>5.6820000000000004</v>
      </c>
      <c r="CY159">
        <f t="shared" si="9"/>
        <v>38.5</v>
      </c>
      <c r="CZ159">
        <f t="shared" si="10"/>
        <v>5</v>
      </c>
      <c r="DA159">
        <f t="shared" si="11"/>
        <v>7.7</v>
      </c>
      <c r="DB159">
        <v>0</v>
      </c>
    </row>
    <row r="160" spans="1:106" x14ac:dyDescent="0.2">
      <c r="A160">
        <f>ROW(Source!A71)</f>
        <v>71</v>
      </c>
      <c r="B160">
        <v>26914189</v>
      </c>
      <c r="C160">
        <v>26914373</v>
      </c>
      <c r="D160">
        <v>25171051</v>
      </c>
      <c r="E160">
        <v>1</v>
      </c>
      <c r="F160">
        <v>1</v>
      </c>
      <c r="G160">
        <v>1</v>
      </c>
      <c r="H160">
        <v>3</v>
      </c>
      <c r="I160" t="s">
        <v>118</v>
      </c>
      <c r="J160" t="s">
        <v>121</v>
      </c>
      <c r="K160" t="s">
        <v>119</v>
      </c>
      <c r="L160">
        <v>1301</v>
      </c>
      <c r="N160">
        <v>1003</v>
      </c>
      <c r="O160" t="s">
        <v>120</v>
      </c>
      <c r="P160" t="s">
        <v>120</v>
      </c>
      <c r="Q160">
        <v>1</v>
      </c>
      <c r="W160">
        <v>0</v>
      </c>
      <c r="X160">
        <v>238585318</v>
      </c>
      <c r="Y160">
        <v>86</v>
      </c>
      <c r="AA160">
        <v>47.43</v>
      </c>
      <c r="AB160">
        <v>0</v>
      </c>
      <c r="AC160">
        <v>0</v>
      </c>
      <c r="AD160">
        <v>0</v>
      </c>
      <c r="AE160">
        <v>6.16</v>
      </c>
      <c r="AF160">
        <v>0</v>
      </c>
      <c r="AG160">
        <v>0</v>
      </c>
      <c r="AH160">
        <v>0</v>
      </c>
      <c r="AI160">
        <v>7.7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6</v>
      </c>
      <c r="AT160">
        <v>86</v>
      </c>
      <c r="AU160" t="s">
        <v>6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Y160*Source!I71</f>
        <v>12.9</v>
      </c>
      <c r="CY160">
        <f t="shared" si="9"/>
        <v>47.43</v>
      </c>
      <c r="CZ160">
        <f t="shared" si="10"/>
        <v>6.16</v>
      </c>
      <c r="DA160">
        <f t="shared" si="11"/>
        <v>7.7</v>
      </c>
      <c r="DB160">
        <v>0</v>
      </c>
    </row>
    <row r="161" spans="1:106" x14ac:dyDescent="0.2">
      <c r="A161">
        <f>ROW(Source!A71)</f>
        <v>71</v>
      </c>
      <c r="B161">
        <v>26914189</v>
      </c>
      <c r="C161">
        <v>26914373</v>
      </c>
      <c r="D161">
        <v>25171113</v>
      </c>
      <c r="E161">
        <v>1</v>
      </c>
      <c r="F161">
        <v>1</v>
      </c>
      <c r="G161">
        <v>1</v>
      </c>
      <c r="H161">
        <v>3</v>
      </c>
      <c r="I161" t="s">
        <v>127</v>
      </c>
      <c r="J161" t="s">
        <v>129</v>
      </c>
      <c r="K161" t="s">
        <v>128</v>
      </c>
      <c r="L161">
        <v>1301</v>
      </c>
      <c r="N161">
        <v>1003</v>
      </c>
      <c r="O161" t="s">
        <v>120</v>
      </c>
      <c r="P161" t="s">
        <v>120</v>
      </c>
      <c r="Q161">
        <v>1</v>
      </c>
      <c r="W161">
        <v>0</v>
      </c>
      <c r="X161">
        <v>-1697320922</v>
      </c>
      <c r="Y161">
        <v>254</v>
      </c>
      <c r="AA161">
        <v>52.82</v>
      </c>
      <c r="AB161">
        <v>0</v>
      </c>
      <c r="AC161">
        <v>0</v>
      </c>
      <c r="AD161">
        <v>0</v>
      </c>
      <c r="AE161">
        <v>6.86</v>
      </c>
      <c r="AF161">
        <v>0</v>
      </c>
      <c r="AG161">
        <v>0</v>
      </c>
      <c r="AH161">
        <v>0</v>
      </c>
      <c r="AI161">
        <v>7.7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254</v>
      </c>
      <c r="AU161" t="s">
        <v>6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Y161*Source!I71</f>
        <v>38.1</v>
      </c>
      <c r="CY161">
        <f t="shared" si="9"/>
        <v>52.82</v>
      </c>
      <c r="CZ161">
        <f t="shared" si="10"/>
        <v>6.86</v>
      </c>
      <c r="DA161">
        <f t="shared" si="11"/>
        <v>7.7</v>
      </c>
      <c r="DB161">
        <v>0</v>
      </c>
    </row>
    <row r="162" spans="1:106" x14ac:dyDescent="0.2">
      <c r="A162">
        <f>ROW(Source!A71)</f>
        <v>71</v>
      </c>
      <c r="B162">
        <v>26914189</v>
      </c>
      <c r="C162">
        <v>26914373</v>
      </c>
      <c r="D162">
        <v>25171144</v>
      </c>
      <c r="E162">
        <v>1</v>
      </c>
      <c r="F162">
        <v>1</v>
      </c>
      <c r="G162">
        <v>1</v>
      </c>
      <c r="H162">
        <v>3</v>
      </c>
      <c r="I162" t="s">
        <v>421</v>
      </c>
      <c r="J162" t="s">
        <v>422</v>
      </c>
      <c r="K162" t="s">
        <v>423</v>
      </c>
      <c r="L162">
        <v>1355</v>
      </c>
      <c r="N162">
        <v>1010</v>
      </c>
      <c r="O162" t="s">
        <v>411</v>
      </c>
      <c r="P162" t="s">
        <v>411</v>
      </c>
      <c r="Q162">
        <v>100</v>
      </c>
      <c r="W162">
        <v>0</v>
      </c>
      <c r="X162">
        <v>-573076483</v>
      </c>
      <c r="Y162">
        <v>0.14000000000000001</v>
      </c>
      <c r="AA162">
        <v>2148.3000000000002</v>
      </c>
      <c r="AB162">
        <v>0</v>
      </c>
      <c r="AC162">
        <v>0</v>
      </c>
      <c r="AD162">
        <v>0</v>
      </c>
      <c r="AE162">
        <v>279</v>
      </c>
      <c r="AF162">
        <v>0</v>
      </c>
      <c r="AG162">
        <v>0</v>
      </c>
      <c r="AH162">
        <v>0</v>
      </c>
      <c r="AI162">
        <v>7.7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0.14000000000000001</v>
      </c>
      <c r="AU162" t="s">
        <v>6</v>
      </c>
      <c r="AV162">
        <v>0</v>
      </c>
      <c r="AW162">
        <v>2</v>
      </c>
      <c r="AX162">
        <v>26914406</v>
      </c>
      <c r="AY162">
        <v>1</v>
      </c>
      <c r="AZ162">
        <v>0</v>
      </c>
      <c r="BA162">
        <v>159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Y162*Source!I71</f>
        <v>2.1000000000000001E-2</v>
      </c>
      <c r="CY162">
        <f t="shared" si="9"/>
        <v>2148.3000000000002</v>
      </c>
      <c r="CZ162">
        <f t="shared" si="10"/>
        <v>279</v>
      </c>
      <c r="DA162">
        <f t="shared" si="11"/>
        <v>7.7</v>
      </c>
      <c r="DB162">
        <v>0</v>
      </c>
    </row>
    <row r="163" spans="1:106" x14ac:dyDescent="0.2">
      <c r="A163">
        <f>ROW(Source!A71)</f>
        <v>71</v>
      </c>
      <c r="B163">
        <v>26914189</v>
      </c>
      <c r="C163">
        <v>26914373</v>
      </c>
      <c r="D163">
        <v>25171153</v>
      </c>
      <c r="E163">
        <v>1</v>
      </c>
      <c r="F163">
        <v>1</v>
      </c>
      <c r="G163">
        <v>1</v>
      </c>
      <c r="H163">
        <v>3</v>
      </c>
      <c r="I163" t="s">
        <v>424</v>
      </c>
      <c r="J163" t="s">
        <v>425</v>
      </c>
      <c r="K163" t="s">
        <v>426</v>
      </c>
      <c r="L163">
        <v>1355</v>
      </c>
      <c r="N163">
        <v>1010</v>
      </c>
      <c r="O163" t="s">
        <v>411</v>
      </c>
      <c r="P163" t="s">
        <v>411</v>
      </c>
      <c r="Q163">
        <v>100</v>
      </c>
      <c r="W163">
        <v>0</v>
      </c>
      <c r="X163">
        <v>1526740868</v>
      </c>
      <c r="Y163">
        <v>0.14000000000000001</v>
      </c>
      <c r="AA163">
        <v>2148.3000000000002</v>
      </c>
      <c r="AB163">
        <v>0</v>
      </c>
      <c r="AC163">
        <v>0</v>
      </c>
      <c r="AD163">
        <v>0</v>
      </c>
      <c r="AE163">
        <v>279</v>
      </c>
      <c r="AF163">
        <v>0</v>
      </c>
      <c r="AG163">
        <v>0</v>
      </c>
      <c r="AH163">
        <v>0</v>
      </c>
      <c r="AI163">
        <v>7.7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0.14000000000000001</v>
      </c>
      <c r="AU163" t="s">
        <v>6</v>
      </c>
      <c r="AV163">
        <v>0</v>
      </c>
      <c r="AW163">
        <v>2</v>
      </c>
      <c r="AX163">
        <v>26914407</v>
      </c>
      <c r="AY163">
        <v>1</v>
      </c>
      <c r="AZ163">
        <v>0</v>
      </c>
      <c r="BA163">
        <v>160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Y163*Source!I71</f>
        <v>2.1000000000000001E-2</v>
      </c>
      <c r="CY163">
        <f t="shared" si="9"/>
        <v>2148.3000000000002</v>
      </c>
      <c r="CZ163">
        <f t="shared" si="10"/>
        <v>279</v>
      </c>
      <c r="DA163">
        <f t="shared" si="11"/>
        <v>7.7</v>
      </c>
      <c r="DB163">
        <v>0</v>
      </c>
    </row>
    <row r="164" spans="1:106" x14ac:dyDescent="0.2">
      <c r="A164">
        <f>ROW(Source!A71)</f>
        <v>71</v>
      </c>
      <c r="B164">
        <v>26914189</v>
      </c>
      <c r="C164">
        <v>26914373</v>
      </c>
      <c r="D164">
        <v>25181886</v>
      </c>
      <c r="E164">
        <v>1</v>
      </c>
      <c r="F164">
        <v>1</v>
      </c>
      <c r="G164">
        <v>1</v>
      </c>
      <c r="H164">
        <v>3</v>
      </c>
      <c r="I164" t="s">
        <v>114</v>
      </c>
      <c r="J164" t="s">
        <v>116</v>
      </c>
      <c r="K164" t="s">
        <v>115</v>
      </c>
      <c r="L164">
        <v>1339</v>
      </c>
      <c r="N164">
        <v>1007</v>
      </c>
      <c r="O164" t="s">
        <v>76</v>
      </c>
      <c r="P164" t="s">
        <v>76</v>
      </c>
      <c r="Q164">
        <v>1</v>
      </c>
      <c r="W164">
        <v>0</v>
      </c>
      <c r="X164">
        <v>2013777</v>
      </c>
      <c r="Y164">
        <v>5.15</v>
      </c>
      <c r="AA164">
        <v>1310.46</v>
      </c>
      <c r="AB164">
        <v>0</v>
      </c>
      <c r="AC164">
        <v>0</v>
      </c>
      <c r="AD164">
        <v>0</v>
      </c>
      <c r="AE164">
        <v>170.19</v>
      </c>
      <c r="AF164">
        <v>0</v>
      </c>
      <c r="AG164">
        <v>0</v>
      </c>
      <c r="AH164">
        <v>0</v>
      </c>
      <c r="AI164">
        <v>7.7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5.15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Y164*Source!I71</f>
        <v>0.77250000000000008</v>
      </c>
      <c r="CY164">
        <f t="shared" si="9"/>
        <v>1310.46</v>
      </c>
      <c r="CZ164">
        <f t="shared" si="10"/>
        <v>170.19</v>
      </c>
      <c r="DA164">
        <f t="shared" si="11"/>
        <v>7.7</v>
      </c>
      <c r="DB164">
        <v>0</v>
      </c>
    </row>
    <row r="165" spans="1:106" x14ac:dyDescent="0.2">
      <c r="A165">
        <f>ROW(Source!A71)</f>
        <v>71</v>
      </c>
      <c r="B165">
        <v>26914189</v>
      </c>
      <c r="C165">
        <v>26914373</v>
      </c>
      <c r="D165">
        <v>25186101</v>
      </c>
      <c r="E165">
        <v>1</v>
      </c>
      <c r="F165">
        <v>1</v>
      </c>
      <c r="G165">
        <v>1</v>
      </c>
      <c r="H165">
        <v>3</v>
      </c>
      <c r="I165" t="s">
        <v>427</v>
      </c>
      <c r="J165" t="s">
        <v>428</v>
      </c>
      <c r="K165" t="s">
        <v>429</v>
      </c>
      <c r="L165">
        <v>1346</v>
      </c>
      <c r="N165">
        <v>1009</v>
      </c>
      <c r="O165" t="s">
        <v>50</v>
      </c>
      <c r="P165" t="s">
        <v>50</v>
      </c>
      <c r="Q165">
        <v>1</v>
      </c>
      <c r="W165">
        <v>0</v>
      </c>
      <c r="X165">
        <v>1693558002</v>
      </c>
      <c r="Y165">
        <v>25</v>
      </c>
      <c r="AA165">
        <v>100.72</v>
      </c>
      <c r="AB165">
        <v>0</v>
      </c>
      <c r="AC165">
        <v>0</v>
      </c>
      <c r="AD165">
        <v>0</v>
      </c>
      <c r="AE165">
        <v>13.08</v>
      </c>
      <c r="AF165">
        <v>0</v>
      </c>
      <c r="AG165">
        <v>0</v>
      </c>
      <c r="AH165">
        <v>0</v>
      </c>
      <c r="AI165">
        <v>7.7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25</v>
      </c>
      <c r="AU165" t="s">
        <v>6</v>
      </c>
      <c r="AV165">
        <v>0</v>
      </c>
      <c r="AW165">
        <v>2</v>
      </c>
      <c r="AX165">
        <v>26914410</v>
      </c>
      <c r="AY165">
        <v>1</v>
      </c>
      <c r="AZ165">
        <v>0</v>
      </c>
      <c r="BA165">
        <v>163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Y165*Source!I71</f>
        <v>3.75</v>
      </c>
      <c r="CY165">
        <f t="shared" si="9"/>
        <v>100.72</v>
      </c>
      <c r="CZ165">
        <f t="shared" si="10"/>
        <v>13.08</v>
      </c>
      <c r="DA165">
        <f t="shared" si="11"/>
        <v>7.7</v>
      </c>
      <c r="DB165">
        <v>0</v>
      </c>
    </row>
    <row r="166" spans="1:106" x14ac:dyDescent="0.2">
      <c r="A166">
        <f>ROW(Source!A71)</f>
        <v>71</v>
      </c>
      <c r="B166">
        <v>26914189</v>
      </c>
      <c r="C166">
        <v>26914373</v>
      </c>
      <c r="D166">
        <v>25187370</v>
      </c>
      <c r="E166">
        <v>1</v>
      </c>
      <c r="F166">
        <v>1</v>
      </c>
      <c r="G166">
        <v>1</v>
      </c>
      <c r="H166">
        <v>3</v>
      </c>
      <c r="I166" t="s">
        <v>430</v>
      </c>
      <c r="J166" t="s">
        <v>431</v>
      </c>
      <c r="K166" t="s">
        <v>432</v>
      </c>
      <c r="L166">
        <v>1346</v>
      </c>
      <c r="N166">
        <v>1009</v>
      </c>
      <c r="O166" t="s">
        <v>50</v>
      </c>
      <c r="P166" t="s">
        <v>50</v>
      </c>
      <c r="Q166">
        <v>1</v>
      </c>
      <c r="W166">
        <v>0</v>
      </c>
      <c r="X166">
        <v>-1426801191</v>
      </c>
      <c r="Y166">
        <v>179</v>
      </c>
      <c r="AA166">
        <v>22.64</v>
      </c>
      <c r="AB166">
        <v>0</v>
      </c>
      <c r="AC166">
        <v>0</v>
      </c>
      <c r="AD166">
        <v>0</v>
      </c>
      <c r="AE166">
        <v>2.94</v>
      </c>
      <c r="AF166">
        <v>0</v>
      </c>
      <c r="AG166">
        <v>0</v>
      </c>
      <c r="AH166">
        <v>0</v>
      </c>
      <c r="AI166">
        <v>7.7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179</v>
      </c>
      <c r="AU166" t="s">
        <v>6</v>
      </c>
      <c r="AV166">
        <v>0</v>
      </c>
      <c r="AW166">
        <v>2</v>
      </c>
      <c r="AX166">
        <v>26914411</v>
      </c>
      <c r="AY166">
        <v>1</v>
      </c>
      <c r="AZ166">
        <v>0</v>
      </c>
      <c r="BA166">
        <v>164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Y166*Source!I71</f>
        <v>26.849999999999998</v>
      </c>
      <c r="CY166">
        <f t="shared" si="9"/>
        <v>22.64</v>
      </c>
      <c r="CZ166">
        <f t="shared" si="10"/>
        <v>2.94</v>
      </c>
      <c r="DA166">
        <f t="shared" si="11"/>
        <v>7.7</v>
      </c>
      <c r="DB166">
        <v>0</v>
      </c>
    </row>
    <row r="167" spans="1:106" x14ac:dyDescent="0.2">
      <c r="A167">
        <f>ROW(Source!A82)</f>
        <v>82</v>
      </c>
      <c r="B167">
        <v>26914188</v>
      </c>
      <c r="C167">
        <v>26914417</v>
      </c>
      <c r="D167">
        <v>25418142</v>
      </c>
      <c r="E167">
        <v>1</v>
      </c>
      <c r="F167">
        <v>1</v>
      </c>
      <c r="G167">
        <v>1</v>
      </c>
      <c r="H167">
        <v>1</v>
      </c>
      <c r="I167" t="s">
        <v>433</v>
      </c>
      <c r="J167" t="s">
        <v>6</v>
      </c>
      <c r="K167" t="s">
        <v>434</v>
      </c>
      <c r="L167">
        <v>1191</v>
      </c>
      <c r="N167">
        <v>1013</v>
      </c>
      <c r="O167" t="s">
        <v>332</v>
      </c>
      <c r="P167" t="s">
        <v>332</v>
      </c>
      <c r="Q167">
        <v>1</v>
      </c>
      <c r="W167">
        <v>0</v>
      </c>
      <c r="X167">
        <v>-814890593</v>
      </c>
      <c r="Y167">
        <v>44</v>
      </c>
      <c r="AA167">
        <v>0</v>
      </c>
      <c r="AB167">
        <v>0</v>
      </c>
      <c r="AC167">
        <v>0</v>
      </c>
      <c r="AD167">
        <v>8.9700000000000006</v>
      </c>
      <c r="AE167">
        <v>0</v>
      </c>
      <c r="AF167">
        <v>0</v>
      </c>
      <c r="AG167">
        <v>0</v>
      </c>
      <c r="AH167">
        <v>8.9700000000000006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44</v>
      </c>
      <c r="AU167" t="s">
        <v>6</v>
      </c>
      <c r="AV167">
        <v>1</v>
      </c>
      <c r="AW167">
        <v>2</v>
      </c>
      <c r="AX167">
        <v>26914427</v>
      </c>
      <c r="AY167">
        <v>1</v>
      </c>
      <c r="AZ167">
        <v>0</v>
      </c>
      <c r="BA167">
        <v>165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Y167*Source!I82</f>
        <v>14.344000000000001</v>
      </c>
      <c r="CY167">
        <f>AD167</f>
        <v>8.9700000000000006</v>
      </c>
      <c r="CZ167">
        <f>AH167</f>
        <v>8.9700000000000006</v>
      </c>
      <c r="DA167">
        <f>AL167</f>
        <v>1</v>
      </c>
      <c r="DB167">
        <v>0</v>
      </c>
    </row>
    <row r="168" spans="1:106" x14ac:dyDescent="0.2">
      <c r="A168">
        <f>ROW(Source!A82)</f>
        <v>82</v>
      </c>
      <c r="B168">
        <v>26914188</v>
      </c>
      <c r="C168">
        <v>26914417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333</v>
      </c>
      <c r="J168" t="s">
        <v>6</v>
      </c>
      <c r="K168" t="s">
        <v>334</v>
      </c>
      <c r="L168">
        <v>1191</v>
      </c>
      <c r="N168">
        <v>1013</v>
      </c>
      <c r="O168" t="s">
        <v>332</v>
      </c>
      <c r="P168" t="s">
        <v>332</v>
      </c>
      <c r="Q168">
        <v>1</v>
      </c>
      <c r="W168">
        <v>0</v>
      </c>
      <c r="X168">
        <v>-1417349443</v>
      </c>
      <c r="Y168">
        <v>0.48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0.48</v>
      </c>
      <c r="AU168" t="s">
        <v>6</v>
      </c>
      <c r="AV168">
        <v>2</v>
      </c>
      <c r="AW168">
        <v>2</v>
      </c>
      <c r="AX168">
        <v>26914428</v>
      </c>
      <c r="AY168">
        <v>1</v>
      </c>
      <c r="AZ168">
        <v>0</v>
      </c>
      <c r="BA168">
        <v>166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Y168*Source!I82</f>
        <v>0.15648000000000001</v>
      </c>
      <c r="CY168">
        <f>AD168</f>
        <v>0</v>
      </c>
      <c r="CZ168">
        <f>AH168</f>
        <v>0</v>
      </c>
      <c r="DA168">
        <f>AL168</f>
        <v>1</v>
      </c>
      <c r="DB168">
        <v>0</v>
      </c>
    </row>
    <row r="169" spans="1:106" x14ac:dyDescent="0.2">
      <c r="A169">
        <f>ROW(Source!A82)</f>
        <v>82</v>
      </c>
      <c r="B169">
        <v>26914188</v>
      </c>
      <c r="C169">
        <v>26914417</v>
      </c>
      <c r="D169">
        <v>25230514</v>
      </c>
      <c r="E169">
        <v>1</v>
      </c>
      <c r="F169">
        <v>1</v>
      </c>
      <c r="G169">
        <v>1</v>
      </c>
      <c r="H169">
        <v>2</v>
      </c>
      <c r="I169" t="s">
        <v>335</v>
      </c>
      <c r="J169" t="s">
        <v>336</v>
      </c>
      <c r="K169" t="s">
        <v>337</v>
      </c>
      <c r="L169">
        <v>1368</v>
      </c>
      <c r="N169">
        <v>1011</v>
      </c>
      <c r="O169" t="s">
        <v>338</v>
      </c>
      <c r="P169" t="s">
        <v>338</v>
      </c>
      <c r="Q169">
        <v>1</v>
      </c>
      <c r="W169">
        <v>0</v>
      </c>
      <c r="X169">
        <v>1188625873</v>
      </c>
      <c r="Y169">
        <v>0.38</v>
      </c>
      <c r="AA169">
        <v>0</v>
      </c>
      <c r="AB169">
        <v>31.26</v>
      </c>
      <c r="AC169">
        <v>13.5</v>
      </c>
      <c r="AD169">
        <v>0</v>
      </c>
      <c r="AE169">
        <v>0</v>
      </c>
      <c r="AF169">
        <v>31.26</v>
      </c>
      <c r="AG169">
        <v>13.5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0.38</v>
      </c>
      <c r="AU169" t="s">
        <v>6</v>
      </c>
      <c r="AV169">
        <v>0</v>
      </c>
      <c r="AW169">
        <v>2</v>
      </c>
      <c r="AX169">
        <v>26914429</v>
      </c>
      <c r="AY169">
        <v>1</v>
      </c>
      <c r="AZ169">
        <v>0</v>
      </c>
      <c r="BA169">
        <v>167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Y169*Source!I82</f>
        <v>0.12388</v>
      </c>
      <c r="CY169">
        <f>AB169</f>
        <v>31.26</v>
      </c>
      <c r="CZ169">
        <f>AF169</f>
        <v>31.26</v>
      </c>
      <c r="DA169">
        <f>AJ169</f>
        <v>1</v>
      </c>
      <c r="DB169">
        <v>0</v>
      </c>
    </row>
    <row r="170" spans="1:106" x14ac:dyDescent="0.2">
      <c r="A170">
        <f>ROW(Source!A82)</f>
        <v>82</v>
      </c>
      <c r="B170">
        <v>26914188</v>
      </c>
      <c r="C170">
        <v>26914417</v>
      </c>
      <c r="D170">
        <v>25231607</v>
      </c>
      <c r="E170">
        <v>1</v>
      </c>
      <c r="F170">
        <v>1</v>
      </c>
      <c r="G170">
        <v>1</v>
      </c>
      <c r="H170">
        <v>2</v>
      </c>
      <c r="I170" t="s">
        <v>352</v>
      </c>
      <c r="J170" t="s">
        <v>353</v>
      </c>
      <c r="K170" t="s">
        <v>354</v>
      </c>
      <c r="L170">
        <v>1368</v>
      </c>
      <c r="N170">
        <v>1011</v>
      </c>
      <c r="O170" t="s">
        <v>338</v>
      </c>
      <c r="P170" t="s">
        <v>338</v>
      </c>
      <c r="Q170">
        <v>1</v>
      </c>
      <c r="W170">
        <v>0</v>
      </c>
      <c r="X170">
        <v>1372534845</v>
      </c>
      <c r="Y170">
        <v>0.1</v>
      </c>
      <c r="AA170">
        <v>0</v>
      </c>
      <c r="AB170">
        <v>65.709999999999994</v>
      </c>
      <c r="AC170">
        <v>11.6</v>
      </c>
      <c r="AD170">
        <v>0</v>
      </c>
      <c r="AE170">
        <v>0</v>
      </c>
      <c r="AF170">
        <v>65.709999999999994</v>
      </c>
      <c r="AG170">
        <v>11.6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0.1</v>
      </c>
      <c r="AU170" t="s">
        <v>6</v>
      </c>
      <c r="AV170">
        <v>0</v>
      </c>
      <c r="AW170">
        <v>2</v>
      </c>
      <c r="AX170">
        <v>26914430</v>
      </c>
      <c r="AY170">
        <v>1</v>
      </c>
      <c r="AZ170">
        <v>0</v>
      </c>
      <c r="BA170">
        <v>168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Y170*Source!I82</f>
        <v>3.2600000000000004E-2</v>
      </c>
      <c r="CY170">
        <f>AB170</f>
        <v>65.709999999999994</v>
      </c>
      <c r="CZ170">
        <f>AF170</f>
        <v>65.709999999999994</v>
      </c>
      <c r="DA170">
        <f>AJ170</f>
        <v>1</v>
      </c>
      <c r="DB170">
        <v>0</v>
      </c>
    </row>
    <row r="171" spans="1:106" x14ac:dyDescent="0.2">
      <c r="A171">
        <f>ROW(Source!A82)</f>
        <v>82</v>
      </c>
      <c r="B171">
        <v>26914188</v>
      </c>
      <c r="C171">
        <v>26914417</v>
      </c>
      <c r="D171">
        <v>25231911</v>
      </c>
      <c r="E171">
        <v>1</v>
      </c>
      <c r="F171">
        <v>1</v>
      </c>
      <c r="G171">
        <v>1</v>
      </c>
      <c r="H171">
        <v>2</v>
      </c>
      <c r="I171" t="s">
        <v>435</v>
      </c>
      <c r="J171" t="s">
        <v>436</v>
      </c>
      <c r="K171" t="s">
        <v>437</v>
      </c>
      <c r="L171">
        <v>1368</v>
      </c>
      <c r="N171">
        <v>1011</v>
      </c>
      <c r="O171" t="s">
        <v>338</v>
      </c>
      <c r="P171" t="s">
        <v>338</v>
      </c>
      <c r="Q171">
        <v>1</v>
      </c>
      <c r="W171">
        <v>0</v>
      </c>
      <c r="X171">
        <v>-353815937</v>
      </c>
      <c r="Y171">
        <v>0.43</v>
      </c>
      <c r="AA171">
        <v>0</v>
      </c>
      <c r="AB171">
        <v>8.1</v>
      </c>
      <c r="AC171">
        <v>0</v>
      </c>
      <c r="AD171">
        <v>0</v>
      </c>
      <c r="AE171">
        <v>0</v>
      </c>
      <c r="AF171">
        <v>8.1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0.43</v>
      </c>
      <c r="AU171" t="s">
        <v>6</v>
      </c>
      <c r="AV171">
        <v>0</v>
      </c>
      <c r="AW171">
        <v>2</v>
      </c>
      <c r="AX171">
        <v>26914431</v>
      </c>
      <c r="AY171">
        <v>1</v>
      </c>
      <c r="AZ171">
        <v>0</v>
      </c>
      <c r="BA171">
        <v>169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Y171*Source!I82</f>
        <v>0.14018</v>
      </c>
      <c r="CY171">
        <f>AB171</f>
        <v>8.1</v>
      </c>
      <c r="CZ171">
        <f>AF171</f>
        <v>8.1</v>
      </c>
      <c r="DA171">
        <f>AJ171</f>
        <v>1</v>
      </c>
      <c r="DB171">
        <v>0</v>
      </c>
    </row>
    <row r="172" spans="1:106" x14ac:dyDescent="0.2">
      <c r="A172">
        <f>ROW(Source!A82)</f>
        <v>82</v>
      </c>
      <c r="B172">
        <v>26914188</v>
      </c>
      <c r="C172">
        <v>26914417</v>
      </c>
      <c r="D172">
        <v>25151447</v>
      </c>
      <c r="E172">
        <v>1</v>
      </c>
      <c r="F172">
        <v>1</v>
      </c>
      <c r="G172">
        <v>1</v>
      </c>
      <c r="H172">
        <v>3</v>
      </c>
      <c r="I172" t="s">
        <v>438</v>
      </c>
      <c r="J172" t="s">
        <v>439</v>
      </c>
      <c r="K172" t="s">
        <v>440</v>
      </c>
      <c r="L172">
        <v>1348</v>
      </c>
      <c r="N172">
        <v>1009</v>
      </c>
      <c r="O172" t="s">
        <v>24</v>
      </c>
      <c r="P172" t="s">
        <v>24</v>
      </c>
      <c r="Q172">
        <v>1000</v>
      </c>
      <c r="W172">
        <v>0</v>
      </c>
      <c r="X172">
        <v>-1506867946</v>
      </c>
      <c r="Y172">
        <v>5.1000000000000004E-3</v>
      </c>
      <c r="AA172">
        <v>9424</v>
      </c>
      <c r="AB172">
        <v>0</v>
      </c>
      <c r="AC172">
        <v>0</v>
      </c>
      <c r="AD172">
        <v>0</v>
      </c>
      <c r="AE172">
        <v>9424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5.1000000000000004E-3</v>
      </c>
      <c r="AU172" t="s">
        <v>6</v>
      </c>
      <c r="AV172">
        <v>0</v>
      </c>
      <c r="AW172">
        <v>2</v>
      </c>
      <c r="AX172">
        <v>26914432</v>
      </c>
      <c r="AY172">
        <v>1</v>
      </c>
      <c r="AZ172">
        <v>0</v>
      </c>
      <c r="BA172">
        <v>170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Y172*Source!I82</f>
        <v>1.6626000000000002E-3</v>
      </c>
      <c r="CY172">
        <f>AA172</f>
        <v>9424</v>
      </c>
      <c r="CZ172">
        <f>AE172</f>
        <v>9424</v>
      </c>
      <c r="DA172">
        <f>AI172</f>
        <v>1</v>
      </c>
      <c r="DB172">
        <v>0</v>
      </c>
    </row>
    <row r="173" spans="1:106" x14ac:dyDescent="0.2">
      <c r="A173">
        <f>ROW(Source!A82)</f>
        <v>82</v>
      </c>
      <c r="B173">
        <v>26914188</v>
      </c>
      <c r="C173">
        <v>26914417</v>
      </c>
      <c r="D173">
        <v>25174088</v>
      </c>
      <c r="E173">
        <v>1</v>
      </c>
      <c r="F173">
        <v>1</v>
      </c>
      <c r="G173">
        <v>1</v>
      </c>
      <c r="H173">
        <v>3</v>
      </c>
      <c r="I173" t="s">
        <v>441</v>
      </c>
      <c r="J173" t="s">
        <v>442</v>
      </c>
      <c r="K173" t="s">
        <v>443</v>
      </c>
      <c r="L173">
        <v>1348</v>
      </c>
      <c r="N173">
        <v>1009</v>
      </c>
      <c r="O173" t="s">
        <v>24</v>
      </c>
      <c r="P173" t="s">
        <v>24</v>
      </c>
      <c r="Q173">
        <v>1000</v>
      </c>
      <c r="W173">
        <v>0</v>
      </c>
      <c r="X173">
        <v>1559169980</v>
      </c>
      <c r="Y173">
        <v>0.05</v>
      </c>
      <c r="AA173">
        <v>5650</v>
      </c>
      <c r="AB173">
        <v>0</v>
      </c>
      <c r="AC173">
        <v>0</v>
      </c>
      <c r="AD173">
        <v>0</v>
      </c>
      <c r="AE173">
        <v>5650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0.05</v>
      </c>
      <c r="AU173" t="s">
        <v>6</v>
      </c>
      <c r="AV173">
        <v>0</v>
      </c>
      <c r="AW173">
        <v>2</v>
      </c>
      <c r="AX173">
        <v>26914433</v>
      </c>
      <c r="AY173">
        <v>1</v>
      </c>
      <c r="AZ173">
        <v>0</v>
      </c>
      <c r="BA173">
        <v>171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Y173*Source!I82</f>
        <v>1.6300000000000002E-2</v>
      </c>
      <c r="CY173">
        <f>AA173</f>
        <v>5650</v>
      </c>
      <c r="CZ173">
        <f>AE173</f>
        <v>5650</v>
      </c>
      <c r="DA173">
        <f>AI173</f>
        <v>1</v>
      </c>
      <c r="DB173">
        <v>0</v>
      </c>
    </row>
    <row r="174" spans="1:106" x14ac:dyDescent="0.2">
      <c r="A174">
        <f>ROW(Source!A82)</f>
        <v>82</v>
      </c>
      <c r="B174">
        <v>26914188</v>
      </c>
      <c r="C174">
        <v>26914417</v>
      </c>
      <c r="D174">
        <v>25174206</v>
      </c>
      <c r="E174">
        <v>1</v>
      </c>
      <c r="F174">
        <v>1</v>
      </c>
      <c r="G174">
        <v>1</v>
      </c>
      <c r="H174">
        <v>3</v>
      </c>
      <c r="I174" t="s">
        <v>140</v>
      </c>
      <c r="J174" t="s">
        <v>142</v>
      </c>
      <c r="K174" t="s">
        <v>141</v>
      </c>
      <c r="L174">
        <v>1348</v>
      </c>
      <c r="N174">
        <v>1009</v>
      </c>
      <c r="O174" t="s">
        <v>24</v>
      </c>
      <c r="P174" t="s">
        <v>24</v>
      </c>
      <c r="Q174">
        <v>1000</v>
      </c>
      <c r="W174">
        <v>1</v>
      </c>
      <c r="X174">
        <v>773831</v>
      </c>
      <c r="Y174">
        <v>-0.98</v>
      </c>
      <c r="AA174">
        <v>6102</v>
      </c>
      <c r="AB174">
        <v>0</v>
      </c>
      <c r="AC174">
        <v>0</v>
      </c>
      <c r="AD174">
        <v>0</v>
      </c>
      <c r="AE174">
        <v>6102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-0.98</v>
      </c>
      <c r="AU174" t="s">
        <v>6</v>
      </c>
      <c r="AV174">
        <v>0</v>
      </c>
      <c r="AW174">
        <v>2</v>
      </c>
      <c r="AX174">
        <v>26914434</v>
      </c>
      <c r="AY174">
        <v>1</v>
      </c>
      <c r="AZ174">
        <v>6144</v>
      </c>
      <c r="BA174">
        <v>172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Y174*Source!I82</f>
        <v>-0.31947999999999999</v>
      </c>
      <c r="CY174">
        <f>AA174</f>
        <v>6102</v>
      </c>
      <c r="CZ174">
        <f>AE174</f>
        <v>6102</v>
      </c>
      <c r="DA174">
        <f>AI174</f>
        <v>1</v>
      </c>
      <c r="DB174">
        <v>0</v>
      </c>
    </row>
    <row r="175" spans="1:106" x14ac:dyDescent="0.2">
      <c r="A175">
        <f>ROW(Source!A82)</f>
        <v>82</v>
      </c>
      <c r="B175">
        <v>26914188</v>
      </c>
      <c r="C175">
        <v>26914417</v>
      </c>
      <c r="D175">
        <v>25210460</v>
      </c>
      <c r="E175">
        <v>1</v>
      </c>
      <c r="F175">
        <v>1</v>
      </c>
      <c r="G175">
        <v>1</v>
      </c>
      <c r="H175">
        <v>3</v>
      </c>
      <c r="I175" t="s">
        <v>144</v>
      </c>
      <c r="J175" t="s">
        <v>146</v>
      </c>
      <c r="K175" t="s">
        <v>145</v>
      </c>
      <c r="L175">
        <v>1301</v>
      </c>
      <c r="N175">
        <v>1003</v>
      </c>
      <c r="O175" t="s">
        <v>120</v>
      </c>
      <c r="P175" t="s">
        <v>120</v>
      </c>
      <c r="Q175">
        <v>1</v>
      </c>
      <c r="W175">
        <v>0</v>
      </c>
      <c r="X175">
        <v>-830948210</v>
      </c>
      <c r="Y175">
        <v>92.024540000000002</v>
      </c>
      <c r="AA175">
        <v>78.510000000000005</v>
      </c>
      <c r="AB175">
        <v>0</v>
      </c>
      <c r="AC175">
        <v>0</v>
      </c>
      <c r="AD175">
        <v>0</v>
      </c>
      <c r="AE175">
        <v>78.510000000000005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6</v>
      </c>
      <c r="AT175">
        <v>92.024540000000002</v>
      </c>
      <c r="AU175" t="s">
        <v>6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6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Y175*Source!I82</f>
        <v>30.000000040000003</v>
      </c>
      <c r="CY175">
        <f>AA175</f>
        <v>78.510000000000005</v>
      </c>
      <c r="CZ175">
        <f>AE175</f>
        <v>78.510000000000005</v>
      </c>
      <c r="DA175">
        <f>AI175</f>
        <v>1</v>
      </c>
      <c r="DB175">
        <v>0</v>
      </c>
    </row>
    <row r="176" spans="1:106" x14ac:dyDescent="0.2">
      <c r="A176">
        <f>ROW(Source!A83)</f>
        <v>83</v>
      </c>
      <c r="B176">
        <v>26914189</v>
      </c>
      <c r="C176">
        <v>26914417</v>
      </c>
      <c r="D176">
        <v>25418142</v>
      </c>
      <c r="E176">
        <v>1</v>
      </c>
      <c r="F176">
        <v>1</v>
      </c>
      <c r="G176">
        <v>1</v>
      </c>
      <c r="H176">
        <v>1</v>
      </c>
      <c r="I176" t="s">
        <v>433</v>
      </c>
      <c r="J176" t="s">
        <v>6</v>
      </c>
      <c r="K176" t="s">
        <v>434</v>
      </c>
      <c r="L176">
        <v>1191</v>
      </c>
      <c r="N176">
        <v>1013</v>
      </c>
      <c r="O176" t="s">
        <v>332</v>
      </c>
      <c r="P176" t="s">
        <v>332</v>
      </c>
      <c r="Q176">
        <v>1</v>
      </c>
      <c r="W176">
        <v>0</v>
      </c>
      <c r="X176">
        <v>-814890593</v>
      </c>
      <c r="Y176">
        <v>44</v>
      </c>
      <c r="AA176">
        <v>0</v>
      </c>
      <c r="AB176">
        <v>0</v>
      </c>
      <c r="AC176">
        <v>0</v>
      </c>
      <c r="AD176">
        <v>69.069999999999993</v>
      </c>
      <c r="AE176">
        <v>0</v>
      </c>
      <c r="AF176">
        <v>0</v>
      </c>
      <c r="AG176">
        <v>0</v>
      </c>
      <c r="AH176">
        <v>8.9700000000000006</v>
      </c>
      <c r="AI176">
        <v>1</v>
      </c>
      <c r="AJ176">
        <v>1</v>
      </c>
      <c r="AK176">
        <v>1</v>
      </c>
      <c r="AL176">
        <v>7.7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44</v>
      </c>
      <c r="AU176" t="s">
        <v>6</v>
      </c>
      <c r="AV176">
        <v>1</v>
      </c>
      <c r="AW176">
        <v>2</v>
      </c>
      <c r="AX176">
        <v>26914427</v>
      </c>
      <c r="AY176">
        <v>1</v>
      </c>
      <c r="AZ176">
        <v>0</v>
      </c>
      <c r="BA176">
        <v>173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Y176*Source!I83</f>
        <v>14.344000000000001</v>
      </c>
      <c r="CY176">
        <f>AD176</f>
        <v>69.069999999999993</v>
      </c>
      <c r="CZ176">
        <f>AH176</f>
        <v>8.9700000000000006</v>
      </c>
      <c r="DA176">
        <f>AL176</f>
        <v>7.7</v>
      </c>
      <c r="DB176">
        <v>0</v>
      </c>
    </row>
    <row r="177" spans="1:106" x14ac:dyDescent="0.2">
      <c r="A177">
        <f>ROW(Source!A83)</f>
        <v>83</v>
      </c>
      <c r="B177">
        <v>26914189</v>
      </c>
      <c r="C177">
        <v>26914417</v>
      </c>
      <c r="D177">
        <v>25412928</v>
      </c>
      <c r="E177">
        <v>1</v>
      </c>
      <c r="F177">
        <v>1</v>
      </c>
      <c r="G177">
        <v>1</v>
      </c>
      <c r="H177">
        <v>1</v>
      </c>
      <c r="I177" t="s">
        <v>333</v>
      </c>
      <c r="J177" t="s">
        <v>6</v>
      </c>
      <c r="K177" t="s">
        <v>334</v>
      </c>
      <c r="L177">
        <v>1191</v>
      </c>
      <c r="N177">
        <v>1013</v>
      </c>
      <c r="O177" t="s">
        <v>332</v>
      </c>
      <c r="P177" t="s">
        <v>332</v>
      </c>
      <c r="Q177">
        <v>1</v>
      </c>
      <c r="W177">
        <v>0</v>
      </c>
      <c r="X177">
        <v>-1417349443</v>
      </c>
      <c r="Y177">
        <v>0.48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7.7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0.48</v>
      </c>
      <c r="AU177" t="s">
        <v>6</v>
      </c>
      <c r="AV177">
        <v>2</v>
      </c>
      <c r="AW177">
        <v>2</v>
      </c>
      <c r="AX177">
        <v>26914428</v>
      </c>
      <c r="AY177">
        <v>1</v>
      </c>
      <c r="AZ177">
        <v>0</v>
      </c>
      <c r="BA177">
        <v>174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Y177*Source!I83</f>
        <v>0.15648000000000001</v>
      </c>
      <c r="CY177">
        <f>AD177</f>
        <v>0</v>
      </c>
      <c r="CZ177">
        <f>AH177</f>
        <v>0</v>
      </c>
      <c r="DA177">
        <f>AL177</f>
        <v>1</v>
      </c>
      <c r="DB177">
        <v>0</v>
      </c>
    </row>
    <row r="178" spans="1:106" x14ac:dyDescent="0.2">
      <c r="A178">
        <f>ROW(Source!A83)</f>
        <v>83</v>
      </c>
      <c r="B178">
        <v>26914189</v>
      </c>
      <c r="C178">
        <v>26914417</v>
      </c>
      <c r="D178">
        <v>25230514</v>
      </c>
      <c r="E178">
        <v>1</v>
      </c>
      <c r="F178">
        <v>1</v>
      </c>
      <c r="G178">
        <v>1</v>
      </c>
      <c r="H178">
        <v>2</v>
      </c>
      <c r="I178" t="s">
        <v>335</v>
      </c>
      <c r="J178" t="s">
        <v>336</v>
      </c>
      <c r="K178" t="s">
        <v>337</v>
      </c>
      <c r="L178">
        <v>1368</v>
      </c>
      <c r="N178">
        <v>1011</v>
      </c>
      <c r="O178" t="s">
        <v>338</v>
      </c>
      <c r="P178" t="s">
        <v>338</v>
      </c>
      <c r="Q178">
        <v>1</v>
      </c>
      <c r="W178">
        <v>0</v>
      </c>
      <c r="X178">
        <v>1188625873</v>
      </c>
      <c r="Y178">
        <v>0.38</v>
      </c>
      <c r="AA178">
        <v>0</v>
      </c>
      <c r="AB178">
        <v>240.7</v>
      </c>
      <c r="AC178">
        <v>13.5</v>
      </c>
      <c r="AD178">
        <v>0</v>
      </c>
      <c r="AE178">
        <v>0</v>
      </c>
      <c r="AF178">
        <v>31.26</v>
      </c>
      <c r="AG178">
        <v>13.5</v>
      </c>
      <c r="AH178">
        <v>0</v>
      </c>
      <c r="AI178">
        <v>1</v>
      </c>
      <c r="AJ178">
        <v>7.7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0.38</v>
      </c>
      <c r="AU178" t="s">
        <v>6</v>
      </c>
      <c r="AV178">
        <v>0</v>
      </c>
      <c r="AW178">
        <v>2</v>
      </c>
      <c r="AX178">
        <v>26914429</v>
      </c>
      <c r="AY178">
        <v>1</v>
      </c>
      <c r="AZ178">
        <v>0</v>
      </c>
      <c r="BA178">
        <v>175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Y178*Source!I83</f>
        <v>0.12388</v>
      </c>
      <c r="CY178">
        <f>AB178</f>
        <v>240.7</v>
      </c>
      <c r="CZ178">
        <f>AF178</f>
        <v>31.26</v>
      </c>
      <c r="DA178">
        <f>AJ178</f>
        <v>7.7</v>
      </c>
      <c r="DB178">
        <v>0</v>
      </c>
    </row>
    <row r="179" spans="1:106" x14ac:dyDescent="0.2">
      <c r="A179">
        <f>ROW(Source!A83)</f>
        <v>83</v>
      </c>
      <c r="B179">
        <v>26914189</v>
      </c>
      <c r="C179">
        <v>26914417</v>
      </c>
      <c r="D179">
        <v>25231607</v>
      </c>
      <c r="E179">
        <v>1</v>
      </c>
      <c r="F179">
        <v>1</v>
      </c>
      <c r="G179">
        <v>1</v>
      </c>
      <c r="H179">
        <v>2</v>
      </c>
      <c r="I179" t="s">
        <v>352</v>
      </c>
      <c r="J179" t="s">
        <v>353</v>
      </c>
      <c r="K179" t="s">
        <v>354</v>
      </c>
      <c r="L179">
        <v>1368</v>
      </c>
      <c r="N179">
        <v>1011</v>
      </c>
      <c r="O179" t="s">
        <v>338</v>
      </c>
      <c r="P179" t="s">
        <v>338</v>
      </c>
      <c r="Q179">
        <v>1</v>
      </c>
      <c r="W179">
        <v>0</v>
      </c>
      <c r="X179">
        <v>1372534845</v>
      </c>
      <c r="Y179">
        <v>0.1</v>
      </c>
      <c r="AA179">
        <v>0</v>
      </c>
      <c r="AB179">
        <v>505.97</v>
      </c>
      <c r="AC179">
        <v>11.6</v>
      </c>
      <c r="AD179">
        <v>0</v>
      </c>
      <c r="AE179">
        <v>0</v>
      </c>
      <c r="AF179">
        <v>65.709999999999994</v>
      </c>
      <c r="AG179">
        <v>11.6</v>
      </c>
      <c r="AH179">
        <v>0</v>
      </c>
      <c r="AI179">
        <v>1</v>
      </c>
      <c r="AJ179">
        <v>7.7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0.1</v>
      </c>
      <c r="AU179" t="s">
        <v>6</v>
      </c>
      <c r="AV179">
        <v>0</v>
      </c>
      <c r="AW179">
        <v>2</v>
      </c>
      <c r="AX179">
        <v>26914430</v>
      </c>
      <c r="AY179">
        <v>1</v>
      </c>
      <c r="AZ179">
        <v>0</v>
      </c>
      <c r="BA179">
        <v>176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Y179*Source!I83</f>
        <v>3.2600000000000004E-2</v>
      </c>
      <c r="CY179">
        <f>AB179</f>
        <v>505.97</v>
      </c>
      <c r="CZ179">
        <f>AF179</f>
        <v>65.709999999999994</v>
      </c>
      <c r="DA179">
        <f>AJ179</f>
        <v>7.7</v>
      </c>
      <c r="DB179">
        <v>0</v>
      </c>
    </row>
    <row r="180" spans="1:106" x14ac:dyDescent="0.2">
      <c r="A180">
        <f>ROW(Source!A83)</f>
        <v>83</v>
      </c>
      <c r="B180">
        <v>26914189</v>
      </c>
      <c r="C180">
        <v>26914417</v>
      </c>
      <c r="D180">
        <v>25231911</v>
      </c>
      <c r="E180">
        <v>1</v>
      </c>
      <c r="F180">
        <v>1</v>
      </c>
      <c r="G180">
        <v>1</v>
      </c>
      <c r="H180">
        <v>2</v>
      </c>
      <c r="I180" t="s">
        <v>435</v>
      </c>
      <c r="J180" t="s">
        <v>436</v>
      </c>
      <c r="K180" t="s">
        <v>437</v>
      </c>
      <c r="L180">
        <v>1368</v>
      </c>
      <c r="N180">
        <v>1011</v>
      </c>
      <c r="O180" t="s">
        <v>338</v>
      </c>
      <c r="P180" t="s">
        <v>338</v>
      </c>
      <c r="Q180">
        <v>1</v>
      </c>
      <c r="W180">
        <v>0</v>
      </c>
      <c r="X180">
        <v>-353815937</v>
      </c>
      <c r="Y180">
        <v>0.43</v>
      </c>
      <c r="AA180">
        <v>0</v>
      </c>
      <c r="AB180">
        <v>62.37</v>
      </c>
      <c r="AC180">
        <v>0</v>
      </c>
      <c r="AD180">
        <v>0</v>
      </c>
      <c r="AE180">
        <v>0</v>
      </c>
      <c r="AF180">
        <v>8.1</v>
      </c>
      <c r="AG180">
        <v>0</v>
      </c>
      <c r="AH180">
        <v>0</v>
      </c>
      <c r="AI180">
        <v>1</v>
      </c>
      <c r="AJ180">
        <v>7.7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0.43</v>
      </c>
      <c r="AU180" t="s">
        <v>6</v>
      </c>
      <c r="AV180">
        <v>0</v>
      </c>
      <c r="AW180">
        <v>2</v>
      </c>
      <c r="AX180">
        <v>26914431</v>
      </c>
      <c r="AY180">
        <v>1</v>
      </c>
      <c r="AZ180">
        <v>0</v>
      </c>
      <c r="BA180">
        <v>177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Y180*Source!I83</f>
        <v>0.14018</v>
      </c>
      <c r="CY180">
        <f>AB180</f>
        <v>62.37</v>
      </c>
      <c r="CZ180">
        <f>AF180</f>
        <v>8.1</v>
      </c>
      <c r="DA180">
        <f>AJ180</f>
        <v>7.7</v>
      </c>
      <c r="DB180">
        <v>0</v>
      </c>
    </row>
    <row r="181" spans="1:106" x14ac:dyDescent="0.2">
      <c r="A181">
        <f>ROW(Source!A83)</f>
        <v>83</v>
      </c>
      <c r="B181">
        <v>26914189</v>
      </c>
      <c r="C181">
        <v>26914417</v>
      </c>
      <c r="D181">
        <v>25151447</v>
      </c>
      <c r="E181">
        <v>1</v>
      </c>
      <c r="F181">
        <v>1</v>
      </c>
      <c r="G181">
        <v>1</v>
      </c>
      <c r="H181">
        <v>3</v>
      </c>
      <c r="I181" t="s">
        <v>438</v>
      </c>
      <c r="J181" t="s">
        <v>439</v>
      </c>
      <c r="K181" t="s">
        <v>440</v>
      </c>
      <c r="L181">
        <v>1348</v>
      </c>
      <c r="N181">
        <v>1009</v>
      </c>
      <c r="O181" t="s">
        <v>24</v>
      </c>
      <c r="P181" t="s">
        <v>24</v>
      </c>
      <c r="Q181">
        <v>1000</v>
      </c>
      <c r="W181">
        <v>0</v>
      </c>
      <c r="X181">
        <v>-1506867946</v>
      </c>
      <c r="Y181">
        <v>5.1000000000000004E-3</v>
      </c>
      <c r="AA181">
        <v>72564.800000000003</v>
      </c>
      <c r="AB181">
        <v>0</v>
      </c>
      <c r="AC181">
        <v>0</v>
      </c>
      <c r="AD181">
        <v>0</v>
      </c>
      <c r="AE181">
        <v>9424</v>
      </c>
      <c r="AF181">
        <v>0</v>
      </c>
      <c r="AG181">
        <v>0</v>
      </c>
      <c r="AH181">
        <v>0</v>
      </c>
      <c r="AI181">
        <v>7.7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5.1000000000000004E-3</v>
      </c>
      <c r="AU181" t="s">
        <v>6</v>
      </c>
      <c r="AV181">
        <v>0</v>
      </c>
      <c r="AW181">
        <v>2</v>
      </c>
      <c r="AX181">
        <v>26914432</v>
      </c>
      <c r="AY181">
        <v>1</v>
      </c>
      <c r="AZ181">
        <v>0</v>
      </c>
      <c r="BA181">
        <v>178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Y181*Source!I83</f>
        <v>1.6626000000000002E-3</v>
      </c>
      <c r="CY181">
        <f>AA181</f>
        <v>72564.800000000003</v>
      </c>
      <c r="CZ181">
        <f>AE181</f>
        <v>9424</v>
      </c>
      <c r="DA181">
        <f>AI181</f>
        <v>7.7</v>
      </c>
      <c r="DB181">
        <v>0</v>
      </c>
    </row>
    <row r="182" spans="1:106" x14ac:dyDescent="0.2">
      <c r="A182">
        <f>ROW(Source!A83)</f>
        <v>83</v>
      </c>
      <c r="B182">
        <v>26914189</v>
      </c>
      <c r="C182">
        <v>26914417</v>
      </c>
      <c r="D182">
        <v>25174088</v>
      </c>
      <c r="E182">
        <v>1</v>
      </c>
      <c r="F182">
        <v>1</v>
      </c>
      <c r="G182">
        <v>1</v>
      </c>
      <c r="H182">
        <v>3</v>
      </c>
      <c r="I182" t="s">
        <v>441</v>
      </c>
      <c r="J182" t="s">
        <v>442</v>
      </c>
      <c r="K182" t="s">
        <v>443</v>
      </c>
      <c r="L182">
        <v>1348</v>
      </c>
      <c r="N182">
        <v>1009</v>
      </c>
      <c r="O182" t="s">
        <v>24</v>
      </c>
      <c r="P182" t="s">
        <v>24</v>
      </c>
      <c r="Q182">
        <v>1000</v>
      </c>
      <c r="W182">
        <v>0</v>
      </c>
      <c r="X182">
        <v>1559169980</v>
      </c>
      <c r="Y182">
        <v>0.05</v>
      </c>
      <c r="AA182">
        <v>43505</v>
      </c>
      <c r="AB182">
        <v>0</v>
      </c>
      <c r="AC182">
        <v>0</v>
      </c>
      <c r="AD182">
        <v>0</v>
      </c>
      <c r="AE182">
        <v>5650</v>
      </c>
      <c r="AF182">
        <v>0</v>
      </c>
      <c r="AG182">
        <v>0</v>
      </c>
      <c r="AH182">
        <v>0</v>
      </c>
      <c r="AI182">
        <v>7.7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0.05</v>
      </c>
      <c r="AU182" t="s">
        <v>6</v>
      </c>
      <c r="AV182">
        <v>0</v>
      </c>
      <c r="AW182">
        <v>2</v>
      </c>
      <c r="AX182">
        <v>26914433</v>
      </c>
      <c r="AY182">
        <v>1</v>
      </c>
      <c r="AZ182">
        <v>0</v>
      </c>
      <c r="BA182">
        <v>179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Y182*Source!I83</f>
        <v>1.6300000000000002E-2</v>
      </c>
      <c r="CY182">
        <f>AA182</f>
        <v>43505</v>
      </c>
      <c r="CZ182">
        <f>AE182</f>
        <v>5650</v>
      </c>
      <c r="DA182">
        <f>AI182</f>
        <v>7.7</v>
      </c>
      <c r="DB182">
        <v>0</v>
      </c>
    </row>
    <row r="183" spans="1:106" x14ac:dyDescent="0.2">
      <c r="A183">
        <f>ROW(Source!A83)</f>
        <v>83</v>
      </c>
      <c r="B183">
        <v>26914189</v>
      </c>
      <c r="C183">
        <v>26914417</v>
      </c>
      <c r="D183">
        <v>25174206</v>
      </c>
      <c r="E183">
        <v>1</v>
      </c>
      <c r="F183">
        <v>1</v>
      </c>
      <c r="G183">
        <v>1</v>
      </c>
      <c r="H183">
        <v>3</v>
      </c>
      <c r="I183" t="s">
        <v>140</v>
      </c>
      <c r="J183" t="s">
        <v>142</v>
      </c>
      <c r="K183" t="s">
        <v>141</v>
      </c>
      <c r="L183">
        <v>1348</v>
      </c>
      <c r="N183">
        <v>1009</v>
      </c>
      <c r="O183" t="s">
        <v>24</v>
      </c>
      <c r="P183" t="s">
        <v>24</v>
      </c>
      <c r="Q183">
        <v>1000</v>
      </c>
      <c r="W183">
        <v>1</v>
      </c>
      <c r="X183">
        <v>773831</v>
      </c>
      <c r="Y183">
        <v>-0.98</v>
      </c>
      <c r="AA183">
        <v>46985.4</v>
      </c>
      <c r="AB183">
        <v>0</v>
      </c>
      <c r="AC183">
        <v>0</v>
      </c>
      <c r="AD183">
        <v>0</v>
      </c>
      <c r="AE183">
        <v>6102</v>
      </c>
      <c r="AF183">
        <v>0</v>
      </c>
      <c r="AG183">
        <v>0</v>
      </c>
      <c r="AH183">
        <v>0</v>
      </c>
      <c r="AI183">
        <v>7.7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-0.98</v>
      </c>
      <c r="AU183" t="s">
        <v>6</v>
      </c>
      <c r="AV183">
        <v>0</v>
      </c>
      <c r="AW183">
        <v>2</v>
      </c>
      <c r="AX183">
        <v>26914434</v>
      </c>
      <c r="AY183">
        <v>1</v>
      </c>
      <c r="AZ183">
        <v>6144</v>
      </c>
      <c r="BA183">
        <v>180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Y183*Source!I83</f>
        <v>-0.31947999999999999</v>
      </c>
      <c r="CY183">
        <f>AA183</f>
        <v>46985.4</v>
      </c>
      <c r="CZ183">
        <f>AE183</f>
        <v>6102</v>
      </c>
      <c r="DA183">
        <f>AI183</f>
        <v>7.7</v>
      </c>
      <c r="DB183">
        <v>0</v>
      </c>
    </row>
    <row r="184" spans="1:106" x14ac:dyDescent="0.2">
      <c r="A184">
        <f>ROW(Source!A83)</f>
        <v>83</v>
      </c>
      <c r="B184">
        <v>26914189</v>
      </c>
      <c r="C184">
        <v>26914417</v>
      </c>
      <c r="D184">
        <v>25210460</v>
      </c>
      <c r="E184">
        <v>1</v>
      </c>
      <c r="F184">
        <v>1</v>
      </c>
      <c r="G184">
        <v>1</v>
      </c>
      <c r="H184">
        <v>3</v>
      </c>
      <c r="I184" t="s">
        <v>144</v>
      </c>
      <c r="J184" t="s">
        <v>146</v>
      </c>
      <c r="K184" t="s">
        <v>145</v>
      </c>
      <c r="L184">
        <v>1301</v>
      </c>
      <c r="N184">
        <v>1003</v>
      </c>
      <c r="O184" t="s">
        <v>120</v>
      </c>
      <c r="P184" t="s">
        <v>120</v>
      </c>
      <c r="Q184">
        <v>1</v>
      </c>
      <c r="W184">
        <v>0</v>
      </c>
      <c r="X184">
        <v>-830948210</v>
      </c>
      <c r="Y184">
        <v>92.024540000000002</v>
      </c>
      <c r="AA184">
        <v>604.53</v>
      </c>
      <c r="AB184">
        <v>0</v>
      </c>
      <c r="AC184">
        <v>0</v>
      </c>
      <c r="AD184">
        <v>0</v>
      </c>
      <c r="AE184">
        <v>78.510000000000005</v>
      </c>
      <c r="AF184">
        <v>0</v>
      </c>
      <c r="AG184">
        <v>0</v>
      </c>
      <c r="AH184">
        <v>0</v>
      </c>
      <c r="AI184">
        <v>7.7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92.024540000000002</v>
      </c>
      <c r="AU184" t="s">
        <v>6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Y184*Source!I83</f>
        <v>30.000000040000003</v>
      </c>
      <c r="CY184">
        <f>AA184</f>
        <v>604.53</v>
      </c>
      <c r="CZ184">
        <f>AE184</f>
        <v>78.510000000000005</v>
      </c>
      <c r="DA184">
        <f>AI184</f>
        <v>7.7</v>
      </c>
      <c r="DB184">
        <v>0</v>
      </c>
    </row>
    <row r="185" spans="1:106" x14ac:dyDescent="0.2">
      <c r="A185">
        <f>ROW(Source!A88)</f>
        <v>88</v>
      </c>
      <c r="B185">
        <v>26914188</v>
      </c>
      <c r="C185">
        <v>26914437</v>
      </c>
      <c r="D185">
        <v>25420494</v>
      </c>
      <c r="E185">
        <v>1</v>
      </c>
      <c r="F185">
        <v>1</v>
      </c>
      <c r="G185">
        <v>1</v>
      </c>
      <c r="H185">
        <v>1</v>
      </c>
      <c r="I185" t="s">
        <v>444</v>
      </c>
      <c r="J185" t="s">
        <v>6</v>
      </c>
      <c r="K185" t="s">
        <v>445</v>
      </c>
      <c r="L185">
        <v>1191</v>
      </c>
      <c r="N185">
        <v>1013</v>
      </c>
      <c r="O185" t="s">
        <v>332</v>
      </c>
      <c r="P185" t="s">
        <v>332</v>
      </c>
      <c r="Q185">
        <v>1</v>
      </c>
      <c r="W185">
        <v>0</v>
      </c>
      <c r="X185">
        <v>1145761654</v>
      </c>
      <c r="Y185">
        <v>6.1064999999999987</v>
      </c>
      <c r="AA185">
        <v>0</v>
      </c>
      <c r="AB185">
        <v>0</v>
      </c>
      <c r="AC185">
        <v>0</v>
      </c>
      <c r="AD185">
        <v>10.65</v>
      </c>
      <c r="AE185">
        <v>0</v>
      </c>
      <c r="AF185">
        <v>0</v>
      </c>
      <c r="AG185">
        <v>0</v>
      </c>
      <c r="AH185">
        <v>10.65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5.31</v>
      </c>
      <c r="AU185" t="s">
        <v>41</v>
      </c>
      <c r="AV185">
        <v>1</v>
      </c>
      <c r="AW185">
        <v>2</v>
      </c>
      <c r="AX185">
        <v>26914446</v>
      </c>
      <c r="AY185">
        <v>1</v>
      </c>
      <c r="AZ185">
        <v>0</v>
      </c>
      <c r="BA185">
        <v>181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Y185*Source!I88</f>
        <v>0.5129459999999999</v>
      </c>
      <c r="CY185">
        <f>AD185</f>
        <v>10.65</v>
      </c>
      <c r="CZ185">
        <f>AH185</f>
        <v>10.65</v>
      </c>
      <c r="DA185">
        <f>AL185</f>
        <v>1</v>
      </c>
      <c r="DB185">
        <v>0</v>
      </c>
    </row>
    <row r="186" spans="1:106" x14ac:dyDescent="0.2">
      <c r="A186">
        <f>ROW(Source!A88)</f>
        <v>88</v>
      </c>
      <c r="B186">
        <v>26914188</v>
      </c>
      <c r="C186">
        <v>26914437</v>
      </c>
      <c r="D186">
        <v>25412928</v>
      </c>
      <c r="E186">
        <v>1</v>
      </c>
      <c r="F186">
        <v>1</v>
      </c>
      <c r="G186">
        <v>1</v>
      </c>
      <c r="H186">
        <v>1</v>
      </c>
      <c r="I186" t="s">
        <v>333</v>
      </c>
      <c r="J186" t="s">
        <v>6</v>
      </c>
      <c r="K186" t="s">
        <v>334</v>
      </c>
      <c r="L186">
        <v>1191</v>
      </c>
      <c r="N186">
        <v>1013</v>
      </c>
      <c r="O186" t="s">
        <v>332</v>
      </c>
      <c r="P186" t="s">
        <v>332</v>
      </c>
      <c r="Q186">
        <v>1</v>
      </c>
      <c r="W186">
        <v>0</v>
      </c>
      <c r="X186">
        <v>-1417349443</v>
      </c>
      <c r="Y186">
        <v>0.02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0.02</v>
      </c>
      <c r="AU186" t="s">
        <v>6</v>
      </c>
      <c r="AV186">
        <v>2</v>
      </c>
      <c r="AW186">
        <v>2</v>
      </c>
      <c r="AX186">
        <v>26914447</v>
      </c>
      <c r="AY186">
        <v>1</v>
      </c>
      <c r="AZ186">
        <v>2048</v>
      </c>
      <c r="BA186">
        <v>182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Y186*Source!I88</f>
        <v>1.6800000000000001E-3</v>
      </c>
      <c r="CY186">
        <f>AD186</f>
        <v>0</v>
      </c>
      <c r="CZ186">
        <f>AH186</f>
        <v>0</v>
      </c>
      <c r="DA186">
        <f>AL186</f>
        <v>1</v>
      </c>
      <c r="DB186">
        <v>0</v>
      </c>
    </row>
    <row r="187" spans="1:106" x14ac:dyDescent="0.2">
      <c r="A187">
        <f>ROW(Source!A88)</f>
        <v>88</v>
      </c>
      <c r="B187">
        <v>26914188</v>
      </c>
      <c r="C187">
        <v>26914437</v>
      </c>
      <c r="D187">
        <v>25230418</v>
      </c>
      <c r="E187">
        <v>1</v>
      </c>
      <c r="F187">
        <v>1</v>
      </c>
      <c r="G187">
        <v>1</v>
      </c>
      <c r="H187">
        <v>2</v>
      </c>
      <c r="I187" t="s">
        <v>446</v>
      </c>
      <c r="J187" t="s">
        <v>447</v>
      </c>
      <c r="K187" t="s">
        <v>448</v>
      </c>
      <c r="L187">
        <v>1368</v>
      </c>
      <c r="N187">
        <v>1011</v>
      </c>
      <c r="O187" t="s">
        <v>338</v>
      </c>
      <c r="P187" t="s">
        <v>338</v>
      </c>
      <c r="Q187">
        <v>1</v>
      </c>
      <c r="W187">
        <v>0</v>
      </c>
      <c r="X187">
        <v>1047452784</v>
      </c>
      <c r="Y187">
        <v>1.2500000000000001E-2</v>
      </c>
      <c r="AA187">
        <v>0</v>
      </c>
      <c r="AB187">
        <v>1.7</v>
      </c>
      <c r="AC187">
        <v>0</v>
      </c>
      <c r="AD187">
        <v>0</v>
      </c>
      <c r="AE187">
        <v>0</v>
      </c>
      <c r="AF187">
        <v>1.7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0.01</v>
      </c>
      <c r="AU187" t="s">
        <v>40</v>
      </c>
      <c r="AV187">
        <v>0</v>
      </c>
      <c r="AW187">
        <v>2</v>
      </c>
      <c r="AX187">
        <v>26914448</v>
      </c>
      <c r="AY187">
        <v>1</v>
      </c>
      <c r="AZ187">
        <v>0</v>
      </c>
      <c r="BA187">
        <v>183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Y187*Source!I88</f>
        <v>1.0500000000000002E-3</v>
      </c>
      <c r="CY187">
        <f>AB187</f>
        <v>1.7</v>
      </c>
      <c r="CZ187">
        <f>AF187</f>
        <v>1.7</v>
      </c>
      <c r="DA187">
        <f>AJ187</f>
        <v>1</v>
      </c>
      <c r="DB187">
        <v>0</v>
      </c>
    </row>
    <row r="188" spans="1:106" x14ac:dyDescent="0.2">
      <c r="A188">
        <f>ROW(Source!A88)</f>
        <v>88</v>
      </c>
      <c r="B188">
        <v>26914188</v>
      </c>
      <c r="C188">
        <v>26914437</v>
      </c>
      <c r="D188">
        <v>25230445</v>
      </c>
      <c r="E188">
        <v>1</v>
      </c>
      <c r="F188">
        <v>1</v>
      </c>
      <c r="G188">
        <v>1</v>
      </c>
      <c r="H188">
        <v>2</v>
      </c>
      <c r="I188" t="s">
        <v>449</v>
      </c>
      <c r="J188" t="s">
        <v>450</v>
      </c>
      <c r="K188" t="s">
        <v>451</v>
      </c>
      <c r="L188">
        <v>1368</v>
      </c>
      <c r="N188">
        <v>1011</v>
      </c>
      <c r="O188" t="s">
        <v>338</v>
      </c>
      <c r="P188" t="s">
        <v>338</v>
      </c>
      <c r="Q188">
        <v>1</v>
      </c>
      <c r="W188">
        <v>0</v>
      </c>
      <c r="X188">
        <v>1225731627</v>
      </c>
      <c r="Y188">
        <v>1.2500000000000001E-2</v>
      </c>
      <c r="AA188">
        <v>0</v>
      </c>
      <c r="AB188">
        <v>89.99</v>
      </c>
      <c r="AC188">
        <v>10.06</v>
      </c>
      <c r="AD188">
        <v>0</v>
      </c>
      <c r="AE188">
        <v>0</v>
      </c>
      <c r="AF188">
        <v>89.99</v>
      </c>
      <c r="AG188">
        <v>10.06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0.01</v>
      </c>
      <c r="AU188" t="s">
        <v>40</v>
      </c>
      <c r="AV188">
        <v>0</v>
      </c>
      <c r="AW188">
        <v>2</v>
      </c>
      <c r="AX188">
        <v>26914449</v>
      </c>
      <c r="AY188">
        <v>1</v>
      </c>
      <c r="AZ188">
        <v>0</v>
      </c>
      <c r="BA188">
        <v>184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Y188*Source!I88</f>
        <v>1.0500000000000002E-3</v>
      </c>
      <c r="CY188">
        <f>AB188</f>
        <v>89.99</v>
      </c>
      <c r="CZ188">
        <f>AF188</f>
        <v>89.99</v>
      </c>
      <c r="DA188">
        <f>AJ188</f>
        <v>1</v>
      </c>
      <c r="DB188">
        <v>0</v>
      </c>
    </row>
    <row r="189" spans="1:106" x14ac:dyDescent="0.2">
      <c r="A189">
        <f>ROW(Source!A88)</f>
        <v>88</v>
      </c>
      <c r="B189">
        <v>26914188</v>
      </c>
      <c r="C189">
        <v>26914437</v>
      </c>
      <c r="D189">
        <v>25231607</v>
      </c>
      <c r="E189">
        <v>1</v>
      </c>
      <c r="F189">
        <v>1</v>
      </c>
      <c r="G189">
        <v>1</v>
      </c>
      <c r="H189">
        <v>2</v>
      </c>
      <c r="I189" t="s">
        <v>352</v>
      </c>
      <c r="J189" t="s">
        <v>353</v>
      </c>
      <c r="K189" t="s">
        <v>354</v>
      </c>
      <c r="L189">
        <v>1368</v>
      </c>
      <c r="N189">
        <v>1011</v>
      </c>
      <c r="O189" t="s">
        <v>338</v>
      </c>
      <c r="P189" t="s">
        <v>338</v>
      </c>
      <c r="Q189">
        <v>1</v>
      </c>
      <c r="W189">
        <v>0</v>
      </c>
      <c r="X189">
        <v>1372534845</v>
      </c>
      <c r="Y189">
        <v>1.2500000000000001E-2</v>
      </c>
      <c r="AA189">
        <v>0</v>
      </c>
      <c r="AB189">
        <v>65.709999999999994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0.01</v>
      </c>
      <c r="AU189" t="s">
        <v>40</v>
      </c>
      <c r="AV189">
        <v>0</v>
      </c>
      <c r="AW189">
        <v>2</v>
      </c>
      <c r="AX189">
        <v>26914450</v>
      </c>
      <c r="AY189">
        <v>1</v>
      </c>
      <c r="AZ189">
        <v>0</v>
      </c>
      <c r="BA189">
        <v>185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Y189*Source!I88</f>
        <v>1.0500000000000002E-3</v>
      </c>
      <c r="CY189">
        <f>AB189</f>
        <v>65.709999999999994</v>
      </c>
      <c r="CZ189">
        <f>AF189</f>
        <v>65.709999999999994</v>
      </c>
      <c r="DA189">
        <f>AJ189</f>
        <v>1</v>
      </c>
      <c r="DB189">
        <v>0</v>
      </c>
    </row>
    <row r="190" spans="1:106" x14ac:dyDescent="0.2">
      <c r="A190">
        <f>ROW(Source!A88)</f>
        <v>88</v>
      </c>
      <c r="B190">
        <v>26914188</v>
      </c>
      <c r="C190">
        <v>26914437</v>
      </c>
      <c r="D190">
        <v>25232466</v>
      </c>
      <c r="E190">
        <v>1</v>
      </c>
      <c r="F190">
        <v>1</v>
      </c>
      <c r="G190">
        <v>1</v>
      </c>
      <c r="H190">
        <v>2</v>
      </c>
      <c r="I190" t="s">
        <v>452</v>
      </c>
      <c r="J190" t="s">
        <v>453</v>
      </c>
      <c r="K190" t="s">
        <v>454</v>
      </c>
      <c r="L190">
        <v>1368</v>
      </c>
      <c r="N190">
        <v>1011</v>
      </c>
      <c r="O190" t="s">
        <v>338</v>
      </c>
      <c r="P190" t="s">
        <v>338</v>
      </c>
      <c r="Q190">
        <v>1</v>
      </c>
      <c r="W190">
        <v>0</v>
      </c>
      <c r="X190">
        <v>271748449</v>
      </c>
      <c r="Y190">
        <v>1.4000000000000001</v>
      </c>
      <c r="AA190">
        <v>0</v>
      </c>
      <c r="AB190">
        <v>6.82</v>
      </c>
      <c r="AC190">
        <v>0</v>
      </c>
      <c r="AD190">
        <v>0</v>
      </c>
      <c r="AE190">
        <v>0</v>
      </c>
      <c r="AF190">
        <v>6.82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1.1200000000000001</v>
      </c>
      <c r="AU190" t="s">
        <v>40</v>
      </c>
      <c r="AV190">
        <v>0</v>
      </c>
      <c r="AW190">
        <v>2</v>
      </c>
      <c r="AX190">
        <v>26914451</v>
      </c>
      <c r="AY190">
        <v>1</v>
      </c>
      <c r="AZ190">
        <v>0</v>
      </c>
      <c r="BA190">
        <v>186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Y190*Source!I88</f>
        <v>0.11760000000000002</v>
      </c>
      <c r="CY190">
        <f>AB190</f>
        <v>6.82</v>
      </c>
      <c r="CZ190">
        <f>AF190</f>
        <v>6.82</v>
      </c>
      <c r="DA190">
        <f>AJ190</f>
        <v>1</v>
      </c>
      <c r="DB190">
        <v>0</v>
      </c>
    </row>
    <row r="191" spans="1:106" x14ac:dyDescent="0.2">
      <c r="A191">
        <f>ROW(Source!A88)</f>
        <v>88</v>
      </c>
      <c r="B191">
        <v>26914188</v>
      </c>
      <c r="C191">
        <v>26914437</v>
      </c>
      <c r="D191">
        <v>25186091</v>
      </c>
      <c r="E191">
        <v>1</v>
      </c>
      <c r="F191">
        <v>1</v>
      </c>
      <c r="G191">
        <v>1</v>
      </c>
      <c r="H191">
        <v>3</v>
      </c>
      <c r="I191" t="s">
        <v>455</v>
      </c>
      <c r="J191" t="s">
        <v>456</v>
      </c>
      <c r="K191" t="s">
        <v>457</v>
      </c>
      <c r="L191">
        <v>1348</v>
      </c>
      <c r="N191">
        <v>1009</v>
      </c>
      <c r="O191" t="s">
        <v>24</v>
      </c>
      <c r="P191" t="s">
        <v>24</v>
      </c>
      <c r="Q191">
        <v>1000</v>
      </c>
      <c r="W191">
        <v>0</v>
      </c>
      <c r="X191">
        <v>-1655298345</v>
      </c>
      <c r="Y191">
        <v>1.2E-2</v>
      </c>
      <c r="AA191">
        <v>15620</v>
      </c>
      <c r="AB191">
        <v>0</v>
      </c>
      <c r="AC191">
        <v>0</v>
      </c>
      <c r="AD191">
        <v>0</v>
      </c>
      <c r="AE191">
        <v>15620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1.2E-2</v>
      </c>
      <c r="AU191" t="s">
        <v>6</v>
      </c>
      <c r="AV191">
        <v>0</v>
      </c>
      <c r="AW191">
        <v>2</v>
      </c>
      <c r="AX191">
        <v>26914452</v>
      </c>
      <c r="AY191">
        <v>1</v>
      </c>
      <c r="AZ191">
        <v>0</v>
      </c>
      <c r="BA191">
        <v>187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Y191*Source!I88</f>
        <v>1.008E-3</v>
      </c>
      <c r="CY191">
        <f>AA191</f>
        <v>15620</v>
      </c>
      <c r="CZ191">
        <f>AE191</f>
        <v>15620</v>
      </c>
      <c r="DA191">
        <f>AI191</f>
        <v>1</v>
      </c>
      <c r="DB191">
        <v>0</v>
      </c>
    </row>
    <row r="192" spans="1:106" x14ac:dyDescent="0.2">
      <c r="A192">
        <f>ROW(Source!A88)</f>
        <v>88</v>
      </c>
      <c r="B192">
        <v>26914188</v>
      </c>
      <c r="C192">
        <v>26914437</v>
      </c>
      <c r="D192">
        <v>25187223</v>
      </c>
      <c r="E192">
        <v>1</v>
      </c>
      <c r="F192">
        <v>1</v>
      </c>
      <c r="G192">
        <v>1</v>
      </c>
      <c r="H192">
        <v>3</v>
      </c>
      <c r="I192" t="s">
        <v>458</v>
      </c>
      <c r="J192" t="s">
        <v>459</v>
      </c>
      <c r="K192" t="s">
        <v>460</v>
      </c>
      <c r="L192">
        <v>1348</v>
      </c>
      <c r="N192">
        <v>1009</v>
      </c>
      <c r="O192" t="s">
        <v>24</v>
      </c>
      <c r="P192" t="s">
        <v>24</v>
      </c>
      <c r="Q192">
        <v>1000</v>
      </c>
      <c r="W192">
        <v>0</v>
      </c>
      <c r="X192">
        <v>1262170789</v>
      </c>
      <c r="Y192">
        <v>2E-3</v>
      </c>
      <c r="AA192">
        <v>7640</v>
      </c>
      <c r="AB192">
        <v>0</v>
      </c>
      <c r="AC192">
        <v>0</v>
      </c>
      <c r="AD192">
        <v>0</v>
      </c>
      <c r="AE192">
        <v>7640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2E-3</v>
      </c>
      <c r="AU192" t="s">
        <v>6</v>
      </c>
      <c r="AV192">
        <v>0</v>
      </c>
      <c r="AW192">
        <v>2</v>
      </c>
      <c r="AX192">
        <v>26914453</v>
      </c>
      <c r="AY192">
        <v>1</v>
      </c>
      <c r="AZ192">
        <v>0</v>
      </c>
      <c r="BA192">
        <v>188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Y192*Source!I88</f>
        <v>1.6800000000000002E-4</v>
      </c>
      <c r="CY192">
        <f>AA192</f>
        <v>7640</v>
      </c>
      <c r="CZ192">
        <f>AE192</f>
        <v>7640</v>
      </c>
      <c r="DA192">
        <f>AI192</f>
        <v>1</v>
      </c>
      <c r="DB192">
        <v>0</v>
      </c>
    </row>
    <row r="193" spans="1:106" x14ac:dyDescent="0.2">
      <c r="A193">
        <f>ROW(Source!A89)</f>
        <v>89</v>
      </c>
      <c r="B193">
        <v>26914189</v>
      </c>
      <c r="C193">
        <v>26914437</v>
      </c>
      <c r="D193">
        <v>25420494</v>
      </c>
      <c r="E193">
        <v>1</v>
      </c>
      <c r="F193">
        <v>1</v>
      </c>
      <c r="G193">
        <v>1</v>
      </c>
      <c r="H193">
        <v>1</v>
      </c>
      <c r="I193" t="s">
        <v>444</v>
      </c>
      <c r="J193" t="s">
        <v>6</v>
      </c>
      <c r="K193" t="s">
        <v>445</v>
      </c>
      <c r="L193">
        <v>1191</v>
      </c>
      <c r="N193">
        <v>1013</v>
      </c>
      <c r="O193" t="s">
        <v>332</v>
      </c>
      <c r="P193" t="s">
        <v>332</v>
      </c>
      <c r="Q193">
        <v>1</v>
      </c>
      <c r="W193">
        <v>0</v>
      </c>
      <c r="X193">
        <v>1145761654</v>
      </c>
      <c r="Y193">
        <v>6.1064999999999987</v>
      </c>
      <c r="AA193">
        <v>0</v>
      </c>
      <c r="AB193">
        <v>0</v>
      </c>
      <c r="AC193">
        <v>0</v>
      </c>
      <c r="AD193">
        <v>82.01</v>
      </c>
      <c r="AE193">
        <v>0</v>
      </c>
      <c r="AF193">
        <v>0</v>
      </c>
      <c r="AG193">
        <v>0</v>
      </c>
      <c r="AH193">
        <v>10.65</v>
      </c>
      <c r="AI193">
        <v>1</v>
      </c>
      <c r="AJ193">
        <v>1</v>
      </c>
      <c r="AK193">
        <v>1</v>
      </c>
      <c r="AL193">
        <v>7.7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5.31</v>
      </c>
      <c r="AU193" t="s">
        <v>41</v>
      </c>
      <c r="AV193">
        <v>1</v>
      </c>
      <c r="AW193">
        <v>2</v>
      </c>
      <c r="AX193">
        <v>26914446</v>
      </c>
      <c r="AY193">
        <v>1</v>
      </c>
      <c r="AZ193">
        <v>0</v>
      </c>
      <c r="BA193">
        <v>189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Y193*Source!I89</f>
        <v>0.5129459999999999</v>
      </c>
      <c r="CY193">
        <f>AD193</f>
        <v>82.01</v>
      </c>
      <c r="CZ193">
        <f>AH193</f>
        <v>10.65</v>
      </c>
      <c r="DA193">
        <f>AL193</f>
        <v>7.7</v>
      </c>
      <c r="DB193">
        <v>0</v>
      </c>
    </row>
    <row r="194" spans="1:106" x14ac:dyDescent="0.2">
      <c r="A194">
        <f>ROW(Source!A89)</f>
        <v>89</v>
      </c>
      <c r="B194">
        <v>26914189</v>
      </c>
      <c r="C194">
        <v>26914437</v>
      </c>
      <c r="D194">
        <v>25412928</v>
      </c>
      <c r="E194">
        <v>1</v>
      </c>
      <c r="F194">
        <v>1</v>
      </c>
      <c r="G194">
        <v>1</v>
      </c>
      <c r="H194">
        <v>1</v>
      </c>
      <c r="I194" t="s">
        <v>333</v>
      </c>
      <c r="J194" t="s">
        <v>6</v>
      </c>
      <c r="K194" t="s">
        <v>334</v>
      </c>
      <c r="L194">
        <v>1191</v>
      </c>
      <c r="N194">
        <v>1013</v>
      </c>
      <c r="O194" t="s">
        <v>332</v>
      </c>
      <c r="P194" t="s">
        <v>332</v>
      </c>
      <c r="Q194">
        <v>1</v>
      </c>
      <c r="W194">
        <v>0</v>
      </c>
      <c r="X194">
        <v>-1417349443</v>
      </c>
      <c r="Y194">
        <v>0.02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7.7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0.02</v>
      </c>
      <c r="AU194" t="s">
        <v>6</v>
      </c>
      <c r="AV194">
        <v>2</v>
      </c>
      <c r="AW194">
        <v>2</v>
      </c>
      <c r="AX194">
        <v>26914447</v>
      </c>
      <c r="AY194">
        <v>1</v>
      </c>
      <c r="AZ194">
        <v>2048</v>
      </c>
      <c r="BA194">
        <v>190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Y194*Source!I89</f>
        <v>1.6800000000000001E-3</v>
      </c>
      <c r="CY194">
        <f>AD194</f>
        <v>0</v>
      </c>
      <c r="CZ194">
        <f>AH194</f>
        <v>0</v>
      </c>
      <c r="DA194">
        <f>AL194</f>
        <v>1</v>
      </c>
      <c r="DB194">
        <v>0</v>
      </c>
    </row>
    <row r="195" spans="1:106" x14ac:dyDescent="0.2">
      <c r="A195">
        <f>ROW(Source!A89)</f>
        <v>89</v>
      </c>
      <c r="B195">
        <v>26914189</v>
      </c>
      <c r="C195">
        <v>26914437</v>
      </c>
      <c r="D195">
        <v>25230418</v>
      </c>
      <c r="E195">
        <v>1</v>
      </c>
      <c r="F195">
        <v>1</v>
      </c>
      <c r="G195">
        <v>1</v>
      </c>
      <c r="H195">
        <v>2</v>
      </c>
      <c r="I195" t="s">
        <v>446</v>
      </c>
      <c r="J195" t="s">
        <v>447</v>
      </c>
      <c r="K195" t="s">
        <v>448</v>
      </c>
      <c r="L195">
        <v>1368</v>
      </c>
      <c r="N195">
        <v>1011</v>
      </c>
      <c r="O195" t="s">
        <v>338</v>
      </c>
      <c r="P195" t="s">
        <v>338</v>
      </c>
      <c r="Q195">
        <v>1</v>
      </c>
      <c r="W195">
        <v>0</v>
      </c>
      <c r="X195">
        <v>1047452784</v>
      </c>
      <c r="Y195">
        <v>1.2500000000000001E-2</v>
      </c>
      <c r="AA195">
        <v>0</v>
      </c>
      <c r="AB195">
        <v>13.09</v>
      </c>
      <c r="AC195">
        <v>0</v>
      </c>
      <c r="AD195">
        <v>0</v>
      </c>
      <c r="AE195">
        <v>0</v>
      </c>
      <c r="AF195">
        <v>1.7</v>
      </c>
      <c r="AG195">
        <v>0</v>
      </c>
      <c r="AH195">
        <v>0</v>
      </c>
      <c r="AI195">
        <v>1</v>
      </c>
      <c r="AJ195">
        <v>7.7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0.01</v>
      </c>
      <c r="AU195" t="s">
        <v>40</v>
      </c>
      <c r="AV195">
        <v>0</v>
      </c>
      <c r="AW195">
        <v>2</v>
      </c>
      <c r="AX195">
        <v>26914448</v>
      </c>
      <c r="AY195">
        <v>1</v>
      </c>
      <c r="AZ195">
        <v>0</v>
      </c>
      <c r="BA195">
        <v>191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Y195*Source!I89</f>
        <v>1.0500000000000002E-3</v>
      </c>
      <c r="CY195">
        <f>AB195</f>
        <v>13.09</v>
      </c>
      <c r="CZ195">
        <f>AF195</f>
        <v>1.7</v>
      </c>
      <c r="DA195">
        <f>AJ195</f>
        <v>7.7</v>
      </c>
      <c r="DB195">
        <v>0</v>
      </c>
    </row>
    <row r="196" spans="1:106" x14ac:dyDescent="0.2">
      <c r="A196">
        <f>ROW(Source!A89)</f>
        <v>89</v>
      </c>
      <c r="B196">
        <v>26914189</v>
      </c>
      <c r="C196">
        <v>26914437</v>
      </c>
      <c r="D196">
        <v>25230445</v>
      </c>
      <c r="E196">
        <v>1</v>
      </c>
      <c r="F196">
        <v>1</v>
      </c>
      <c r="G196">
        <v>1</v>
      </c>
      <c r="H196">
        <v>2</v>
      </c>
      <c r="I196" t="s">
        <v>449</v>
      </c>
      <c r="J196" t="s">
        <v>450</v>
      </c>
      <c r="K196" t="s">
        <v>451</v>
      </c>
      <c r="L196">
        <v>1368</v>
      </c>
      <c r="N196">
        <v>1011</v>
      </c>
      <c r="O196" t="s">
        <v>338</v>
      </c>
      <c r="P196" t="s">
        <v>338</v>
      </c>
      <c r="Q196">
        <v>1</v>
      </c>
      <c r="W196">
        <v>0</v>
      </c>
      <c r="X196">
        <v>1225731627</v>
      </c>
      <c r="Y196">
        <v>1.2500000000000001E-2</v>
      </c>
      <c r="AA196">
        <v>0</v>
      </c>
      <c r="AB196">
        <v>692.92</v>
      </c>
      <c r="AC196">
        <v>10.06</v>
      </c>
      <c r="AD196">
        <v>0</v>
      </c>
      <c r="AE196">
        <v>0</v>
      </c>
      <c r="AF196">
        <v>89.99</v>
      </c>
      <c r="AG196">
        <v>10.06</v>
      </c>
      <c r="AH196">
        <v>0</v>
      </c>
      <c r="AI196">
        <v>1</v>
      </c>
      <c r="AJ196">
        <v>7.7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0.01</v>
      </c>
      <c r="AU196" t="s">
        <v>40</v>
      </c>
      <c r="AV196">
        <v>0</v>
      </c>
      <c r="AW196">
        <v>2</v>
      </c>
      <c r="AX196">
        <v>26914449</v>
      </c>
      <c r="AY196">
        <v>1</v>
      </c>
      <c r="AZ196">
        <v>0</v>
      </c>
      <c r="BA196">
        <v>192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Y196*Source!I89</f>
        <v>1.0500000000000002E-3</v>
      </c>
      <c r="CY196">
        <f>AB196</f>
        <v>692.92</v>
      </c>
      <c r="CZ196">
        <f>AF196</f>
        <v>89.99</v>
      </c>
      <c r="DA196">
        <f>AJ196</f>
        <v>7.7</v>
      </c>
      <c r="DB196">
        <v>0</v>
      </c>
    </row>
    <row r="197" spans="1:106" x14ac:dyDescent="0.2">
      <c r="A197">
        <f>ROW(Source!A89)</f>
        <v>89</v>
      </c>
      <c r="B197">
        <v>26914189</v>
      </c>
      <c r="C197">
        <v>26914437</v>
      </c>
      <c r="D197">
        <v>25231607</v>
      </c>
      <c r="E197">
        <v>1</v>
      </c>
      <c r="F197">
        <v>1</v>
      </c>
      <c r="G197">
        <v>1</v>
      </c>
      <c r="H197">
        <v>2</v>
      </c>
      <c r="I197" t="s">
        <v>352</v>
      </c>
      <c r="J197" t="s">
        <v>353</v>
      </c>
      <c r="K197" t="s">
        <v>354</v>
      </c>
      <c r="L197">
        <v>1368</v>
      </c>
      <c r="N197">
        <v>1011</v>
      </c>
      <c r="O197" t="s">
        <v>338</v>
      </c>
      <c r="P197" t="s">
        <v>338</v>
      </c>
      <c r="Q197">
        <v>1</v>
      </c>
      <c r="W197">
        <v>0</v>
      </c>
      <c r="X197">
        <v>1372534845</v>
      </c>
      <c r="Y197">
        <v>1.2500000000000001E-2</v>
      </c>
      <c r="AA197">
        <v>0</v>
      </c>
      <c r="AB197">
        <v>505.97</v>
      </c>
      <c r="AC197">
        <v>11.6</v>
      </c>
      <c r="AD197">
        <v>0</v>
      </c>
      <c r="AE197">
        <v>0</v>
      </c>
      <c r="AF197">
        <v>65.709999999999994</v>
      </c>
      <c r="AG197">
        <v>11.6</v>
      </c>
      <c r="AH197">
        <v>0</v>
      </c>
      <c r="AI197">
        <v>1</v>
      </c>
      <c r="AJ197">
        <v>7.7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0.01</v>
      </c>
      <c r="AU197" t="s">
        <v>40</v>
      </c>
      <c r="AV197">
        <v>0</v>
      </c>
      <c r="AW197">
        <v>2</v>
      </c>
      <c r="AX197">
        <v>26914450</v>
      </c>
      <c r="AY197">
        <v>1</v>
      </c>
      <c r="AZ197">
        <v>0</v>
      </c>
      <c r="BA197">
        <v>193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Y197*Source!I89</f>
        <v>1.0500000000000002E-3</v>
      </c>
      <c r="CY197">
        <f>AB197</f>
        <v>505.97</v>
      </c>
      <c r="CZ197">
        <f>AF197</f>
        <v>65.709999999999994</v>
      </c>
      <c r="DA197">
        <f>AJ197</f>
        <v>7.7</v>
      </c>
      <c r="DB197">
        <v>0</v>
      </c>
    </row>
    <row r="198" spans="1:106" x14ac:dyDescent="0.2">
      <c r="A198">
        <f>ROW(Source!A89)</f>
        <v>89</v>
      </c>
      <c r="B198">
        <v>26914189</v>
      </c>
      <c r="C198">
        <v>26914437</v>
      </c>
      <c r="D198">
        <v>25232466</v>
      </c>
      <c r="E198">
        <v>1</v>
      </c>
      <c r="F198">
        <v>1</v>
      </c>
      <c r="G198">
        <v>1</v>
      </c>
      <c r="H198">
        <v>2</v>
      </c>
      <c r="I198" t="s">
        <v>452</v>
      </c>
      <c r="J198" t="s">
        <v>453</v>
      </c>
      <c r="K198" t="s">
        <v>454</v>
      </c>
      <c r="L198">
        <v>1368</v>
      </c>
      <c r="N198">
        <v>1011</v>
      </c>
      <c r="O198" t="s">
        <v>338</v>
      </c>
      <c r="P198" t="s">
        <v>338</v>
      </c>
      <c r="Q198">
        <v>1</v>
      </c>
      <c r="W198">
        <v>0</v>
      </c>
      <c r="X198">
        <v>271748449</v>
      </c>
      <c r="Y198">
        <v>1.4000000000000001</v>
      </c>
      <c r="AA198">
        <v>0</v>
      </c>
      <c r="AB198">
        <v>52.51</v>
      </c>
      <c r="AC198">
        <v>0</v>
      </c>
      <c r="AD198">
        <v>0</v>
      </c>
      <c r="AE198">
        <v>0</v>
      </c>
      <c r="AF198">
        <v>6.82</v>
      </c>
      <c r="AG198">
        <v>0</v>
      </c>
      <c r="AH198">
        <v>0</v>
      </c>
      <c r="AI198">
        <v>1</v>
      </c>
      <c r="AJ198">
        <v>7.7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1.1200000000000001</v>
      </c>
      <c r="AU198" t="s">
        <v>40</v>
      </c>
      <c r="AV198">
        <v>0</v>
      </c>
      <c r="AW198">
        <v>2</v>
      </c>
      <c r="AX198">
        <v>26914451</v>
      </c>
      <c r="AY198">
        <v>1</v>
      </c>
      <c r="AZ198">
        <v>0</v>
      </c>
      <c r="BA198">
        <v>194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Y198*Source!I89</f>
        <v>0.11760000000000002</v>
      </c>
      <c r="CY198">
        <f>AB198</f>
        <v>52.51</v>
      </c>
      <c r="CZ198">
        <f>AF198</f>
        <v>6.82</v>
      </c>
      <c r="DA198">
        <f>AJ198</f>
        <v>7.7</v>
      </c>
      <c r="DB198">
        <v>0</v>
      </c>
    </row>
    <row r="199" spans="1:106" x14ac:dyDescent="0.2">
      <c r="A199">
        <f>ROW(Source!A89)</f>
        <v>89</v>
      </c>
      <c r="B199">
        <v>26914189</v>
      </c>
      <c r="C199">
        <v>26914437</v>
      </c>
      <c r="D199">
        <v>25186091</v>
      </c>
      <c r="E199">
        <v>1</v>
      </c>
      <c r="F199">
        <v>1</v>
      </c>
      <c r="G199">
        <v>1</v>
      </c>
      <c r="H199">
        <v>3</v>
      </c>
      <c r="I199" t="s">
        <v>455</v>
      </c>
      <c r="J199" t="s">
        <v>456</v>
      </c>
      <c r="K199" t="s">
        <v>457</v>
      </c>
      <c r="L199">
        <v>1348</v>
      </c>
      <c r="N199">
        <v>1009</v>
      </c>
      <c r="O199" t="s">
        <v>24</v>
      </c>
      <c r="P199" t="s">
        <v>24</v>
      </c>
      <c r="Q199">
        <v>1000</v>
      </c>
      <c r="W199">
        <v>0</v>
      </c>
      <c r="X199">
        <v>-1655298345</v>
      </c>
      <c r="Y199">
        <v>1.2E-2</v>
      </c>
      <c r="AA199">
        <v>120274</v>
      </c>
      <c r="AB199">
        <v>0</v>
      </c>
      <c r="AC199">
        <v>0</v>
      </c>
      <c r="AD199">
        <v>0</v>
      </c>
      <c r="AE199">
        <v>15620</v>
      </c>
      <c r="AF199">
        <v>0</v>
      </c>
      <c r="AG199">
        <v>0</v>
      </c>
      <c r="AH199">
        <v>0</v>
      </c>
      <c r="AI199">
        <v>7.7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1.2E-2</v>
      </c>
      <c r="AU199" t="s">
        <v>6</v>
      </c>
      <c r="AV199">
        <v>0</v>
      </c>
      <c r="AW199">
        <v>2</v>
      </c>
      <c r="AX199">
        <v>26914452</v>
      </c>
      <c r="AY199">
        <v>1</v>
      </c>
      <c r="AZ199">
        <v>0</v>
      </c>
      <c r="BA199">
        <v>195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Y199*Source!I89</f>
        <v>1.008E-3</v>
      </c>
      <c r="CY199">
        <f>AA199</f>
        <v>120274</v>
      </c>
      <c r="CZ199">
        <f>AE199</f>
        <v>15620</v>
      </c>
      <c r="DA199">
        <f>AI199</f>
        <v>7.7</v>
      </c>
      <c r="DB199">
        <v>0</v>
      </c>
    </row>
    <row r="200" spans="1:106" x14ac:dyDescent="0.2">
      <c r="A200">
        <f>ROW(Source!A89)</f>
        <v>89</v>
      </c>
      <c r="B200">
        <v>26914189</v>
      </c>
      <c r="C200">
        <v>26914437</v>
      </c>
      <c r="D200">
        <v>25187223</v>
      </c>
      <c r="E200">
        <v>1</v>
      </c>
      <c r="F200">
        <v>1</v>
      </c>
      <c r="G200">
        <v>1</v>
      </c>
      <c r="H200">
        <v>3</v>
      </c>
      <c r="I200" t="s">
        <v>458</v>
      </c>
      <c r="J200" t="s">
        <v>459</v>
      </c>
      <c r="K200" t="s">
        <v>460</v>
      </c>
      <c r="L200">
        <v>1348</v>
      </c>
      <c r="N200">
        <v>1009</v>
      </c>
      <c r="O200" t="s">
        <v>24</v>
      </c>
      <c r="P200" t="s">
        <v>24</v>
      </c>
      <c r="Q200">
        <v>1000</v>
      </c>
      <c r="W200">
        <v>0</v>
      </c>
      <c r="X200">
        <v>1262170789</v>
      </c>
      <c r="Y200">
        <v>2E-3</v>
      </c>
      <c r="AA200">
        <v>58828</v>
      </c>
      <c r="AB200">
        <v>0</v>
      </c>
      <c r="AC200">
        <v>0</v>
      </c>
      <c r="AD200">
        <v>0</v>
      </c>
      <c r="AE200">
        <v>7640</v>
      </c>
      <c r="AF200">
        <v>0</v>
      </c>
      <c r="AG200">
        <v>0</v>
      </c>
      <c r="AH200">
        <v>0</v>
      </c>
      <c r="AI200">
        <v>7.7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2E-3</v>
      </c>
      <c r="AU200" t="s">
        <v>6</v>
      </c>
      <c r="AV200">
        <v>0</v>
      </c>
      <c r="AW200">
        <v>2</v>
      </c>
      <c r="AX200">
        <v>26914453</v>
      </c>
      <c r="AY200">
        <v>1</v>
      </c>
      <c r="AZ200">
        <v>0</v>
      </c>
      <c r="BA200">
        <v>196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Y200*Source!I89</f>
        <v>1.6800000000000002E-4</v>
      </c>
      <c r="CY200">
        <f>AA200</f>
        <v>58828</v>
      </c>
      <c r="CZ200">
        <f>AE200</f>
        <v>7640</v>
      </c>
      <c r="DA200">
        <f>AI200</f>
        <v>7.7</v>
      </c>
      <c r="DB200">
        <v>0</v>
      </c>
    </row>
    <row r="201" spans="1:106" x14ac:dyDescent="0.2">
      <c r="A201">
        <f>ROW(Source!A90)</f>
        <v>90</v>
      </c>
      <c r="B201">
        <v>26914188</v>
      </c>
      <c r="C201">
        <v>26914454</v>
      </c>
      <c r="D201">
        <v>25413030</v>
      </c>
      <c r="E201">
        <v>1</v>
      </c>
      <c r="F201">
        <v>1</v>
      </c>
      <c r="G201">
        <v>1</v>
      </c>
      <c r="H201">
        <v>1</v>
      </c>
      <c r="I201" t="s">
        <v>461</v>
      </c>
      <c r="J201" t="s">
        <v>6</v>
      </c>
      <c r="K201" t="s">
        <v>462</v>
      </c>
      <c r="L201">
        <v>1191</v>
      </c>
      <c r="N201">
        <v>1013</v>
      </c>
      <c r="O201" t="s">
        <v>332</v>
      </c>
      <c r="P201" t="s">
        <v>332</v>
      </c>
      <c r="Q201">
        <v>1</v>
      </c>
      <c r="W201">
        <v>0</v>
      </c>
      <c r="X201">
        <v>-719309759</v>
      </c>
      <c r="Y201">
        <v>37.639499999999991</v>
      </c>
      <c r="AA201">
        <v>0</v>
      </c>
      <c r="AB201">
        <v>0</v>
      </c>
      <c r="AC201">
        <v>0</v>
      </c>
      <c r="AD201">
        <v>8.86</v>
      </c>
      <c r="AE201">
        <v>0</v>
      </c>
      <c r="AF201">
        <v>0</v>
      </c>
      <c r="AG201">
        <v>0</v>
      </c>
      <c r="AH201">
        <v>8.86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32.729999999999997</v>
      </c>
      <c r="AU201" t="s">
        <v>41</v>
      </c>
      <c r="AV201">
        <v>1</v>
      </c>
      <c r="AW201">
        <v>2</v>
      </c>
      <c r="AX201">
        <v>26914464</v>
      </c>
      <c r="AY201">
        <v>1</v>
      </c>
      <c r="AZ201">
        <v>0</v>
      </c>
      <c r="BA201">
        <v>197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11.291849999999997</v>
      </c>
      <c r="CY201">
        <f>AD201</f>
        <v>8.86</v>
      </c>
      <c r="CZ201">
        <f>AH201</f>
        <v>8.86</v>
      </c>
      <c r="DA201">
        <f>AL201</f>
        <v>1</v>
      </c>
      <c r="DB201">
        <v>0</v>
      </c>
    </row>
    <row r="202" spans="1:106" x14ac:dyDescent="0.2">
      <c r="A202">
        <f>ROW(Source!A90)</f>
        <v>90</v>
      </c>
      <c r="B202">
        <v>26914188</v>
      </c>
      <c r="C202">
        <v>26914454</v>
      </c>
      <c r="D202">
        <v>25412928</v>
      </c>
      <c r="E202">
        <v>1</v>
      </c>
      <c r="F202">
        <v>1</v>
      </c>
      <c r="G202">
        <v>1</v>
      </c>
      <c r="H202">
        <v>1</v>
      </c>
      <c r="I202" t="s">
        <v>333</v>
      </c>
      <c r="J202" t="s">
        <v>6</v>
      </c>
      <c r="K202" t="s">
        <v>334</v>
      </c>
      <c r="L202">
        <v>1191</v>
      </c>
      <c r="N202">
        <v>1013</v>
      </c>
      <c r="O202" t="s">
        <v>332</v>
      </c>
      <c r="P202" t="s">
        <v>332</v>
      </c>
      <c r="Q202">
        <v>1</v>
      </c>
      <c r="W202">
        <v>0</v>
      </c>
      <c r="X202">
        <v>-1417349443</v>
      </c>
      <c r="Y202">
        <v>0.11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0.11</v>
      </c>
      <c r="AU202" t="s">
        <v>6</v>
      </c>
      <c r="AV202">
        <v>2</v>
      </c>
      <c r="AW202">
        <v>2</v>
      </c>
      <c r="AX202">
        <v>26914465</v>
      </c>
      <c r="AY202">
        <v>1</v>
      </c>
      <c r="AZ202">
        <v>2048</v>
      </c>
      <c r="BA202">
        <v>198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3.3000000000000002E-2</v>
      </c>
      <c r="CY202">
        <f>AD202</f>
        <v>0</v>
      </c>
      <c r="CZ202">
        <f>AH202</f>
        <v>0</v>
      </c>
      <c r="DA202">
        <f>AL202</f>
        <v>1</v>
      </c>
      <c r="DB202">
        <v>0</v>
      </c>
    </row>
    <row r="203" spans="1:106" x14ac:dyDescent="0.2">
      <c r="A203">
        <f>ROW(Source!A90)</f>
        <v>90</v>
      </c>
      <c r="B203">
        <v>26914188</v>
      </c>
      <c r="C203">
        <v>26914454</v>
      </c>
      <c r="D203">
        <v>25230510</v>
      </c>
      <c r="E203">
        <v>1</v>
      </c>
      <c r="F203">
        <v>1</v>
      </c>
      <c r="G203">
        <v>1</v>
      </c>
      <c r="H203">
        <v>2</v>
      </c>
      <c r="I203" t="s">
        <v>361</v>
      </c>
      <c r="J203" t="s">
        <v>362</v>
      </c>
      <c r="K203" t="s">
        <v>363</v>
      </c>
      <c r="L203">
        <v>1368</v>
      </c>
      <c r="N203">
        <v>1011</v>
      </c>
      <c r="O203" t="s">
        <v>338</v>
      </c>
      <c r="P203" t="s">
        <v>338</v>
      </c>
      <c r="Q203">
        <v>1</v>
      </c>
      <c r="W203">
        <v>0</v>
      </c>
      <c r="X203">
        <v>368031958</v>
      </c>
      <c r="Y203">
        <v>1.2500000000000001E-2</v>
      </c>
      <c r="AA203">
        <v>0</v>
      </c>
      <c r="AB203">
        <v>27.66</v>
      </c>
      <c r="AC203">
        <v>11.6</v>
      </c>
      <c r="AD203">
        <v>0</v>
      </c>
      <c r="AE203">
        <v>0</v>
      </c>
      <c r="AF203">
        <v>27.66</v>
      </c>
      <c r="AG203">
        <v>11.6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0.01</v>
      </c>
      <c r="AU203" t="s">
        <v>40</v>
      </c>
      <c r="AV203">
        <v>0</v>
      </c>
      <c r="AW203">
        <v>2</v>
      </c>
      <c r="AX203">
        <v>26914466</v>
      </c>
      <c r="AY203">
        <v>1</v>
      </c>
      <c r="AZ203">
        <v>0</v>
      </c>
      <c r="BA203">
        <v>199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Y203*Source!I90</f>
        <v>3.7499999999999999E-3</v>
      </c>
      <c r="CY203">
        <f>AB203</f>
        <v>27.66</v>
      </c>
      <c r="CZ203">
        <f>AF203</f>
        <v>27.66</v>
      </c>
      <c r="DA203">
        <f>AJ203</f>
        <v>1</v>
      </c>
      <c r="DB203">
        <v>0</v>
      </c>
    </row>
    <row r="204" spans="1:106" x14ac:dyDescent="0.2">
      <c r="A204">
        <f>ROW(Source!A90)</f>
        <v>90</v>
      </c>
      <c r="B204">
        <v>26914188</v>
      </c>
      <c r="C204">
        <v>26914454</v>
      </c>
      <c r="D204">
        <v>25231607</v>
      </c>
      <c r="E204">
        <v>1</v>
      </c>
      <c r="F204">
        <v>1</v>
      </c>
      <c r="G204">
        <v>1</v>
      </c>
      <c r="H204">
        <v>2</v>
      </c>
      <c r="I204" t="s">
        <v>352</v>
      </c>
      <c r="J204" t="s">
        <v>353</v>
      </c>
      <c r="K204" t="s">
        <v>354</v>
      </c>
      <c r="L204">
        <v>1368</v>
      </c>
      <c r="N204">
        <v>1011</v>
      </c>
      <c r="O204" t="s">
        <v>338</v>
      </c>
      <c r="P204" t="s">
        <v>338</v>
      </c>
      <c r="Q204">
        <v>1</v>
      </c>
      <c r="W204">
        <v>0</v>
      </c>
      <c r="X204">
        <v>1372534845</v>
      </c>
      <c r="Y204">
        <v>0.125</v>
      </c>
      <c r="AA204">
        <v>0</v>
      </c>
      <c r="AB204">
        <v>65.709999999999994</v>
      </c>
      <c r="AC204">
        <v>11.6</v>
      </c>
      <c r="AD204">
        <v>0</v>
      </c>
      <c r="AE204">
        <v>0</v>
      </c>
      <c r="AF204">
        <v>65.709999999999994</v>
      </c>
      <c r="AG204">
        <v>11.6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0.1</v>
      </c>
      <c r="AU204" t="s">
        <v>40</v>
      </c>
      <c r="AV204">
        <v>0</v>
      </c>
      <c r="AW204">
        <v>2</v>
      </c>
      <c r="AX204">
        <v>26914467</v>
      </c>
      <c r="AY204">
        <v>1</v>
      </c>
      <c r="AZ204">
        <v>0</v>
      </c>
      <c r="BA204">
        <v>200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Y204*Source!I90</f>
        <v>3.7499999999999999E-2</v>
      </c>
      <c r="CY204">
        <f>AB204</f>
        <v>65.709999999999994</v>
      </c>
      <c r="CZ204">
        <f>AF204</f>
        <v>65.709999999999994</v>
      </c>
      <c r="DA204">
        <f>AJ204</f>
        <v>1</v>
      </c>
      <c r="DB204">
        <v>0</v>
      </c>
    </row>
    <row r="205" spans="1:106" x14ac:dyDescent="0.2">
      <c r="A205">
        <f>ROW(Source!A90)</f>
        <v>90</v>
      </c>
      <c r="B205">
        <v>26914188</v>
      </c>
      <c r="C205">
        <v>26914454</v>
      </c>
      <c r="D205">
        <v>25153356</v>
      </c>
      <c r="E205">
        <v>1</v>
      </c>
      <c r="F205">
        <v>1</v>
      </c>
      <c r="G205">
        <v>1</v>
      </c>
      <c r="H205">
        <v>3</v>
      </c>
      <c r="I205" t="s">
        <v>463</v>
      </c>
      <c r="J205" t="s">
        <v>464</v>
      </c>
      <c r="K205" t="s">
        <v>465</v>
      </c>
      <c r="L205">
        <v>1327</v>
      </c>
      <c r="N205">
        <v>1005</v>
      </c>
      <c r="O205" t="s">
        <v>92</v>
      </c>
      <c r="P205" t="s">
        <v>92</v>
      </c>
      <c r="Q205">
        <v>1</v>
      </c>
      <c r="W205">
        <v>0</v>
      </c>
      <c r="X205">
        <v>-1987926685</v>
      </c>
      <c r="Y205">
        <v>0.84</v>
      </c>
      <c r="AA205">
        <v>72.319999999999993</v>
      </c>
      <c r="AB205">
        <v>0</v>
      </c>
      <c r="AC205">
        <v>0</v>
      </c>
      <c r="AD205">
        <v>0</v>
      </c>
      <c r="AE205">
        <v>72.319999999999993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0.84</v>
      </c>
      <c r="AU205" t="s">
        <v>6</v>
      </c>
      <c r="AV205">
        <v>0</v>
      </c>
      <c r="AW205">
        <v>2</v>
      </c>
      <c r="AX205">
        <v>26914468</v>
      </c>
      <c r="AY205">
        <v>1</v>
      </c>
      <c r="AZ205">
        <v>0</v>
      </c>
      <c r="BA205">
        <v>201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Y205*Source!I90</f>
        <v>0.252</v>
      </c>
      <c r="CY205">
        <f>AA205</f>
        <v>72.319999999999993</v>
      </c>
      <c r="CZ205">
        <f>AE205</f>
        <v>72.319999999999993</v>
      </c>
      <c r="DA205">
        <f>AI205</f>
        <v>1</v>
      </c>
      <c r="DB205">
        <v>0</v>
      </c>
    </row>
    <row r="206" spans="1:106" x14ac:dyDescent="0.2">
      <c r="A206">
        <f>ROW(Source!A90)</f>
        <v>90</v>
      </c>
      <c r="B206">
        <v>26914188</v>
      </c>
      <c r="C206">
        <v>26914454</v>
      </c>
      <c r="D206">
        <v>25153690</v>
      </c>
      <c r="E206">
        <v>1</v>
      </c>
      <c r="F206">
        <v>1</v>
      </c>
      <c r="G206">
        <v>1</v>
      </c>
      <c r="H206">
        <v>3</v>
      </c>
      <c r="I206" t="s">
        <v>358</v>
      </c>
      <c r="J206" t="s">
        <v>359</v>
      </c>
      <c r="K206" t="s">
        <v>360</v>
      </c>
      <c r="L206">
        <v>1346</v>
      </c>
      <c r="N206">
        <v>1009</v>
      </c>
      <c r="O206" t="s">
        <v>50</v>
      </c>
      <c r="P206" t="s">
        <v>50</v>
      </c>
      <c r="Q206">
        <v>1</v>
      </c>
      <c r="W206">
        <v>0</v>
      </c>
      <c r="X206">
        <v>813963326</v>
      </c>
      <c r="Y206">
        <v>0.31</v>
      </c>
      <c r="AA206">
        <v>1.82</v>
      </c>
      <c r="AB206">
        <v>0</v>
      </c>
      <c r="AC206">
        <v>0</v>
      </c>
      <c r="AD206">
        <v>0</v>
      </c>
      <c r="AE206">
        <v>1.82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6</v>
      </c>
      <c r="AT206">
        <v>0.31</v>
      </c>
      <c r="AU206" t="s">
        <v>6</v>
      </c>
      <c r="AV206">
        <v>0</v>
      </c>
      <c r="AW206">
        <v>2</v>
      </c>
      <c r="AX206">
        <v>26914469</v>
      </c>
      <c r="AY206">
        <v>1</v>
      </c>
      <c r="AZ206">
        <v>0</v>
      </c>
      <c r="BA206">
        <v>202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Y206*Source!I90</f>
        <v>9.2999999999999999E-2</v>
      </c>
      <c r="CY206">
        <f>AA206</f>
        <v>1.82</v>
      </c>
      <c r="CZ206">
        <f>AE206</f>
        <v>1.82</v>
      </c>
      <c r="DA206">
        <f>AI206</f>
        <v>1</v>
      </c>
      <c r="DB206">
        <v>0</v>
      </c>
    </row>
    <row r="207" spans="1:106" x14ac:dyDescent="0.2">
      <c r="A207">
        <f>ROW(Source!A90)</f>
        <v>90</v>
      </c>
      <c r="B207">
        <v>26914188</v>
      </c>
      <c r="C207">
        <v>26914454</v>
      </c>
      <c r="D207">
        <v>25185374</v>
      </c>
      <c r="E207">
        <v>1</v>
      </c>
      <c r="F207">
        <v>1</v>
      </c>
      <c r="G207">
        <v>1</v>
      </c>
      <c r="H207">
        <v>3</v>
      </c>
      <c r="I207" t="s">
        <v>160</v>
      </c>
      <c r="J207" t="s">
        <v>162</v>
      </c>
      <c r="K207" t="s">
        <v>161</v>
      </c>
      <c r="L207">
        <v>1346</v>
      </c>
      <c r="N207">
        <v>1009</v>
      </c>
      <c r="O207" t="s">
        <v>50</v>
      </c>
      <c r="P207" t="s">
        <v>50</v>
      </c>
      <c r="Q207">
        <v>1</v>
      </c>
      <c r="W207">
        <v>0</v>
      </c>
      <c r="X207">
        <v>-1322503055</v>
      </c>
      <c r="Y207">
        <v>30</v>
      </c>
      <c r="AA207">
        <v>71.78</v>
      </c>
      <c r="AB207">
        <v>0</v>
      </c>
      <c r="AC207">
        <v>0</v>
      </c>
      <c r="AD207">
        <v>0</v>
      </c>
      <c r="AE207">
        <v>71.78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6</v>
      </c>
      <c r="AT207">
        <v>30</v>
      </c>
      <c r="AU207" t="s">
        <v>6</v>
      </c>
      <c r="AV207">
        <v>0</v>
      </c>
      <c r="AW207">
        <v>1</v>
      </c>
      <c r="AX207">
        <v>-1</v>
      </c>
      <c r="AY207">
        <v>0</v>
      </c>
      <c r="AZ207">
        <v>0</v>
      </c>
      <c r="BA207" t="s">
        <v>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Y207*Source!I90</f>
        <v>9</v>
      </c>
      <c r="CY207">
        <f>AA207</f>
        <v>71.78</v>
      </c>
      <c r="CZ207">
        <f>AE207</f>
        <v>71.78</v>
      </c>
      <c r="DA207">
        <f>AI207</f>
        <v>1</v>
      </c>
      <c r="DB207">
        <v>0</v>
      </c>
    </row>
    <row r="208" spans="1:106" x14ac:dyDescent="0.2">
      <c r="A208">
        <f>ROW(Source!A90)</f>
        <v>90</v>
      </c>
      <c r="B208">
        <v>26914188</v>
      </c>
      <c r="C208">
        <v>26914454</v>
      </c>
      <c r="D208">
        <v>25186112</v>
      </c>
      <c r="E208">
        <v>1</v>
      </c>
      <c r="F208">
        <v>1</v>
      </c>
      <c r="G208">
        <v>1</v>
      </c>
      <c r="H208">
        <v>3</v>
      </c>
      <c r="I208" t="s">
        <v>164</v>
      </c>
      <c r="J208" t="s">
        <v>166</v>
      </c>
      <c r="K208" t="s">
        <v>165</v>
      </c>
      <c r="L208">
        <v>1348</v>
      </c>
      <c r="N208">
        <v>1009</v>
      </c>
      <c r="O208" t="s">
        <v>24</v>
      </c>
      <c r="P208" t="s">
        <v>24</v>
      </c>
      <c r="Q208">
        <v>1000</v>
      </c>
      <c r="W208">
        <v>0</v>
      </c>
      <c r="X208">
        <v>-1039321151</v>
      </c>
      <c r="Y208">
        <v>0.02</v>
      </c>
      <c r="AA208">
        <v>11225.81</v>
      </c>
      <c r="AB208">
        <v>0</v>
      </c>
      <c r="AC208">
        <v>0</v>
      </c>
      <c r="AD208">
        <v>0</v>
      </c>
      <c r="AE208">
        <v>11225.81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6</v>
      </c>
      <c r="AT208">
        <v>0.02</v>
      </c>
      <c r="AU208" t="s">
        <v>6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Y208*Source!I90</f>
        <v>6.0000000000000001E-3</v>
      </c>
      <c r="CY208">
        <f>AA208</f>
        <v>11225.81</v>
      </c>
      <c r="CZ208">
        <f>AE208</f>
        <v>11225.81</v>
      </c>
      <c r="DA208">
        <f>AI208</f>
        <v>1</v>
      </c>
      <c r="DB208">
        <v>0</v>
      </c>
    </row>
    <row r="209" spans="1:106" x14ac:dyDescent="0.2">
      <c r="A209">
        <f>ROW(Source!A90)</f>
        <v>90</v>
      </c>
      <c r="B209">
        <v>26914188</v>
      </c>
      <c r="C209">
        <v>26914454</v>
      </c>
      <c r="D209">
        <v>25187360</v>
      </c>
      <c r="E209">
        <v>1</v>
      </c>
      <c r="F209">
        <v>1</v>
      </c>
      <c r="G209">
        <v>1</v>
      </c>
      <c r="H209">
        <v>3</v>
      </c>
      <c r="I209" t="s">
        <v>466</v>
      </c>
      <c r="J209" t="s">
        <v>467</v>
      </c>
      <c r="K209" t="s">
        <v>468</v>
      </c>
      <c r="L209">
        <v>1348</v>
      </c>
      <c r="N209">
        <v>1009</v>
      </c>
      <c r="O209" t="s">
        <v>24</v>
      </c>
      <c r="P209" t="s">
        <v>24</v>
      </c>
      <c r="Q209">
        <v>1000</v>
      </c>
      <c r="W209">
        <v>0</v>
      </c>
      <c r="X209">
        <v>181729109</v>
      </c>
      <c r="Y209">
        <v>5.0000000000000001E-3</v>
      </c>
      <c r="AA209">
        <v>11397.1</v>
      </c>
      <c r="AB209">
        <v>0</v>
      </c>
      <c r="AC209">
        <v>0</v>
      </c>
      <c r="AD209">
        <v>0</v>
      </c>
      <c r="AE209">
        <v>11397.1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5.0000000000000001E-3</v>
      </c>
      <c r="AU209" t="s">
        <v>6</v>
      </c>
      <c r="AV209">
        <v>0</v>
      </c>
      <c r="AW209">
        <v>2</v>
      </c>
      <c r="AX209">
        <v>26914472</v>
      </c>
      <c r="AY209">
        <v>1</v>
      </c>
      <c r="AZ209">
        <v>0</v>
      </c>
      <c r="BA209">
        <v>205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Y209*Source!I90</f>
        <v>1.5E-3</v>
      </c>
      <c r="CY209">
        <f>AA209</f>
        <v>11397.1</v>
      </c>
      <c r="CZ209">
        <f>AE209</f>
        <v>11397.1</v>
      </c>
      <c r="DA209">
        <f>AI209</f>
        <v>1</v>
      </c>
      <c r="DB209">
        <v>0</v>
      </c>
    </row>
    <row r="210" spans="1:106" x14ac:dyDescent="0.2">
      <c r="A210">
        <f>ROW(Source!A91)</f>
        <v>91</v>
      </c>
      <c r="B210">
        <v>26914189</v>
      </c>
      <c r="C210">
        <v>26914454</v>
      </c>
      <c r="D210">
        <v>25413030</v>
      </c>
      <c r="E210">
        <v>1</v>
      </c>
      <c r="F210">
        <v>1</v>
      </c>
      <c r="G210">
        <v>1</v>
      </c>
      <c r="H210">
        <v>1</v>
      </c>
      <c r="I210" t="s">
        <v>461</v>
      </c>
      <c r="J210" t="s">
        <v>6</v>
      </c>
      <c r="K210" t="s">
        <v>462</v>
      </c>
      <c r="L210">
        <v>1191</v>
      </c>
      <c r="N210">
        <v>1013</v>
      </c>
      <c r="O210" t="s">
        <v>332</v>
      </c>
      <c r="P210" t="s">
        <v>332</v>
      </c>
      <c r="Q210">
        <v>1</v>
      </c>
      <c r="W210">
        <v>0</v>
      </c>
      <c r="X210">
        <v>-719309759</v>
      </c>
      <c r="Y210">
        <v>37.639499999999991</v>
      </c>
      <c r="AA210">
        <v>0</v>
      </c>
      <c r="AB210">
        <v>0</v>
      </c>
      <c r="AC210">
        <v>0</v>
      </c>
      <c r="AD210">
        <v>68.22</v>
      </c>
      <c r="AE210">
        <v>0</v>
      </c>
      <c r="AF210">
        <v>0</v>
      </c>
      <c r="AG210">
        <v>0</v>
      </c>
      <c r="AH210">
        <v>8.86</v>
      </c>
      <c r="AI210">
        <v>1</v>
      </c>
      <c r="AJ210">
        <v>1</v>
      </c>
      <c r="AK210">
        <v>1</v>
      </c>
      <c r="AL210">
        <v>7.7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32.729999999999997</v>
      </c>
      <c r="AU210" t="s">
        <v>41</v>
      </c>
      <c r="AV210">
        <v>1</v>
      </c>
      <c r="AW210">
        <v>2</v>
      </c>
      <c r="AX210">
        <v>26914464</v>
      </c>
      <c r="AY210">
        <v>1</v>
      </c>
      <c r="AZ210">
        <v>0</v>
      </c>
      <c r="BA210">
        <v>206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Y210*Source!I91</f>
        <v>11.291849999999997</v>
      </c>
      <c r="CY210">
        <f>AD210</f>
        <v>68.22</v>
      </c>
      <c r="CZ210">
        <f>AH210</f>
        <v>8.86</v>
      </c>
      <c r="DA210">
        <f>AL210</f>
        <v>7.7</v>
      </c>
      <c r="DB210">
        <v>0</v>
      </c>
    </row>
    <row r="211" spans="1:106" x14ac:dyDescent="0.2">
      <c r="A211">
        <f>ROW(Source!A91)</f>
        <v>91</v>
      </c>
      <c r="B211">
        <v>26914189</v>
      </c>
      <c r="C211">
        <v>26914454</v>
      </c>
      <c r="D211">
        <v>25412928</v>
      </c>
      <c r="E211">
        <v>1</v>
      </c>
      <c r="F211">
        <v>1</v>
      </c>
      <c r="G211">
        <v>1</v>
      </c>
      <c r="H211">
        <v>1</v>
      </c>
      <c r="I211" t="s">
        <v>333</v>
      </c>
      <c r="J211" t="s">
        <v>6</v>
      </c>
      <c r="K211" t="s">
        <v>334</v>
      </c>
      <c r="L211">
        <v>1191</v>
      </c>
      <c r="N211">
        <v>1013</v>
      </c>
      <c r="O211" t="s">
        <v>332</v>
      </c>
      <c r="P211" t="s">
        <v>332</v>
      </c>
      <c r="Q211">
        <v>1</v>
      </c>
      <c r="W211">
        <v>0</v>
      </c>
      <c r="X211">
        <v>-1417349443</v>
      </c>
      <c r="Y211">
        <v>0.11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7.7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0.11</v>
      </c>
      <c r="AU211" t="s">
        <v>6</v>
      </c>
      <c r="AV211">
        <v>2</v>
      </c>
      <c r="AW211">
        <v>2</v>
      </c>
      <c r="AX211">
        <v>26914465</v>
      </c>
      <c r="AY211">
        <v>1</v>
      </c>
      <c r="AZ211">
        <v>2048</v>
      </c>
      <c r="BA211">
        <v>207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Y211*Source!I91</f>
        <v>3.3000000000000002E-2</v>
      </c>
      <c r="CY211">
        <f>AD211</f>
        <v>0</v>
      </c>
      <c r="CZ211">
        <f>AH211</f>
        <v>0</v>
      </c>
      <c r="DA211">
        <f>AL211</f>
        <v>1</v>
      </c>
      <c r="DB211">
        <v>0</v>
      </c>
    </row>
    <row r="212" spans="1:106" x14ac:dyDescent="0.2">
      <c r="A212">
        <f>ROW(Source!A91)</f>
        <v>91</v>
      </c>
      <c r="B212">
        <v>26914189</v>
      </c>
      <c r="C212">
        <v>26914454</v>
      </c>
      <c r="D212">
        <v>25230510</v>
      </c>
      <c r="E212">
        <v>1</v>
      </c>
      <c r="F212">
        <v>1</v>
      </c>
      <c r="G212">
        <v>1</v>
      </c>
      <c r="H212">
        <v>2</v>
      </c>
      <c r="I212" t="s">
        <v>361</v>
      </c>
      <c r="J212" t="s">
        <v>362</v>
      </c>
      <c r="K212" t="s">
        <v>363</v>
      </c>
      <c r="L212">
        <v>1368</v>
      </c>
      <c r="N212">
        <v>1011</v>
      </c>
      <c r="O212" t="s">
        <v>338</v>
      </c>
      <c r="P212" t="s">
        <v>338</v>
      </c>
      <c r="Q212">
        <v>1</v>
      </c>
      <c r="W212">
        <v>0</v>
      </c>
      <c r="X212">
        <v>368031958</v>
      </c>
      <c r="Y212">
        <v>1.2500000000000001E-2</v>
      </c>
      <c r="AA212">
        <v>0</v>
      </c>
      <c r="AB212">
        <v>212.98</v>
      </c>
      <c r="AC212">
        <v>11.6</v>
      </c>
      <c r="AD212">
        <v>0</v>
      </c>
      <c r="AE212">
        <v>0</v>
      </c>
      <c r="AF212">
        <v>27.66</v>
      </c>
      <c r="AG212">
        <v>11.6</v>
      </c>
      <c r="AH212">
        <v>0</v>
      </c>
      <c r="AI212">
        <v>1</v>
      </c>
      <c r="AJ212">
        <v>7.7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0.01</v>
      </c>
      <c r="AU212" t="s">
        <v>40</v>
      </c>
      <c r="AV212">
        <v>0</v>
      </c>
      <c r="AW212">
        <v>2</v>
      </c>
      <c r="AX212">
        <v>26914466</v>
      </c>
      <c r="AY212">
        <v>1</v>
      </c>
      <c r="AZ212">
        <v>0</v>
      </c>
      <c r="BA212">
        <v>208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Y212*Source!I91</f>
        <v>3.7499999999999999E-3</v>
      </c>
      <c r="CY212">
        <f>AB212</f>
        <v>212.98</v>
      </c>
      <c r="CZ212">
        <f>AF212</f>
        <v>27.66</v>
      </c>
      <c r="DA212">
        <f>AJ212</f>
        <v>7.7</v>
      </c>
      <c r="DB212">
        <v>0</v>
      </c>
    </row>
    <row r="213" spans="1:106" x14ac:dyDescent="0.2">
      <c r="A213">
        <f>ROW(Source!A91)</f>
        <v>91</v>
      </c>
      <c r="B213">
        <v>26914189</v>
      </c>
      <c r="C213">
        <v>26914454</v>
      </c>
      <c r="D213">
        <v>25231607</v>
      </c>
      <c r="E213">
        <v>1</v>
      </c>
      <c r="F213">
        <v>1</v>
      </c>
      <c r="G213">
        <v>1</v>
      </c>
      <c r="H213">
        <v>2</v>
      </c>
      <c r="I213" t="s">
        <v>352</v>
      </c>
      <c r="J213" t="s">
        <v>353</v>
      </c>
      <c r="K213" t="s">
        <v>354</v>
      </c>
      <c r="L213">
        <v>1368</v>
      </c>
      <c r="N213">
        <v>1011</v>
      </c>
      <c r="O213" t="s">
        <v>338</v>
      </c>
      <c r="P213" t="s">
        <v>338</v>
      </c>
      <c r="Q213">
        <v>1</v>
      </c>
      <c r="W213">
        <v>0</v>
      </c>
      <c r="X213">
        <v>1372534845</v>
      </c>
      <c r="Y213">
        <v>0.125</v>
      </c>
      <c r="AA213">
        <v>0</v>
      </c>
      <c r="AB213">
        <v>505.97</v>
      </c>
      <c r="AC213">
        <v>11.6</v>
      </c>
      <c r="AD213">
        <v>0</v>
      </c>
      <c r="AE213">
        <v>0</v>
      </c>
      <c r="AF213">
        <v>65.709999999999994</v>
      </c>
      <c r="AG213">
        <v>11.6</v>
      </c>
      <c r="AH213">
        <v>0</v>
      </c>
      <c r="AI213">
        <v>1</v>
      </c>
      <c r="AJ213">
        <v>7.7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</v>
      </c>
      <c r="AT213">
        <v>0.1</v>
      </c>
      <c r="AU213" t="s">
        <v>40</v>
      </c>
      <c r="AV213">
        <v>0</v>
      </c>
      <c r="AW213">
        <v>2</v>
      </c>
      <c r="AX213">
        <v>26914467</v>
      </c>
      <c r="AY213">
        <v>1</v>
      </c>
      <c r="AZ213">
        <v>0</v>
      </c>
      <c r="BA213">
        <v>209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Y213*Source!I91</f>
        <v>3.7499999999999999E-2</v>
      </c>
      <c r="CY213">
        <f>AB213</f>
        <v>505.97</v>
      </c>
      <c r="CZ213">
        <f>AF213</f>
        <v>65.709999999999994</v>
      </c>
      <c r="DA213">
        <f>AJ213</f>
        <v>7.7</v>
      </c>
      <c r="DB213">
        <v>0</v>
      </c>
    </row>
    <row r="214" spans="1:106" x14ac:dyDescent="0.2">
      <c r="A214">
        <f>ROW(Source!A91)</f>
        <v>91</v>
      </c>
      <c r="B214">
        <v>26914189</v>
      </c>
      <c r="C214">
        <v>26914454</v>
      </c>
      <c r="D214">
        <v>25153356</v>
      </c>
      <c r="E214">
        <v>1</v>
      </c>
      <c r="F214">
        <v>1</v>
      </c>
      <c r="G214">
        <v>1</v>
      </c>
      <c r="H214">
        <v>3</v>
      </c>
      <c r="I214" t="s">
        <v>463</v>
      </c>
      <c r="J214" t="s">
        <v>464</v>
      </c>
      <c r="K214" t="s">
        <v>465</v>
      </c>
      <c r="L214">
        <v>1327</v>
      </c>
      <c r="N214">
        <v>1005</v>
      </c>
      <c r="O214" t="s">
        <v>92</v>
      </c>
      <c r="P214" t="s">
        <v>92</v>
      </c>
      <c r="Q214">
        <v>1</v>
      </c>
      <c r="W214">
        <v>0</v>
      </c>
      <c r="X214">
        <v>-1987926685</v>
      </c>
      <c r="Y214">
        <v>0.84</v>
      </c>
      <c r="AA214">
        <v>556.86</v>
      </c>
      <c r="AB214">
        <v>0</v>
      </c>
      <c r="AC214">
        <v>0</v>
      </c>
      <c r="AD214">
        <v>0</v>
      </c>
      <c r="AE214">
        <v>72.319999999999993</v>
      </c>
      <c r="AF214">
        <v>0</v>
      </c>
      <c r="AG214">
        <v>0</v>
      </c>
      <c r="AH214">
        <v>0</v>
      </c>
      <c r="AI214">
        <v>7.7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6</v>
      </c>
      <c r="AT214">
        <v>0.84</v>
      </c>
      <c r="AU214" t="s">
        <v>6</v>
      </c>
      <c r="AV214">
        <v>0</v>
      </c>
      <c r="AW214">
        <v>2</v>
      </c>
      <c r="AX214">
        <v>26914468</v>
      </c>
      <c r="AY214">
        <v>1</v>
      </c>
      <c r="AZ214">
        <v>0</v>
      </c>
      <c r="BA214">
        <v>210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Y214*Source!I91</f>
        <v>0.252</v>
      </c>
      <c r="CY214">
        <f>AA214</f>
        <v>556.86</v>
      </c>
      <c r="CZ214">
        <f>AE214</f>
        <v>72.319999999999993</v>
      </c>
      <c r="DA214">
        <f>AI214</f>
        <v>7.7</v>
      </c>
      <c r="DB214">
        <v>0</v>
      </c>
    </row>
    <row r="215" spans="1:106" x14ac:dyDescent="0.2">
      <c r="A215">
        <f>ROW(Source!A91)</f>
        <v>91</v>
      </c>
      <c r="B215">
        <v>26914189</v>
      </c>
      <c r="C215">
        <v>26914454</v>
      </c>
      <c r="D215">
        <v>25153690</v>
      </c>
      <c r="E215">
        <v>1</v>
      </c>
      <c r="F215">
        <v>1</v>
      </c>
      <c r="G215">
        <v>1</v>
      </c>
      <c r="H215">
        <v>3</v>
      </c>
      <c r="I215" t="s">
        <v>358</v>
      </c>
      <c r="J215" t="s">
        <v>359</v>
      </c>
      <c r="K215" t="s">
        <v>360</v>
      </c>
      <c r="L215">
        <v>1346</v>
      </c>
      <c r="N215">
        <v>1009</v>
      </c>
      <c r="O215" t="s">
        <v>50</v>
      </c>
      <c r="P215" t="s">
        <v>50</v>
      </c>
      <c r="Q215">
        <v>1</v>
      </c>
      <c r="W215">
        <v>0</v>
      </c>
      <c r="X215">
        <v>813963326</v>
      </c>
      <c r="Y215">
        <v>0.31</v>
      </c>
      <c r="AA215">
        <v>14.01</v>
      </c>
      <c r="AB215">
        <v>0</v>
      </c>
      <c r="AC215">
        <v>0</v>
      </c>
      <c r="AD215">
        <v>0</v>
      </c>
      <c r="AE215">
        <v>1.82</v>
      </c>
      <c r="AF215">
        <v>0</v>
      </c>
      <c r="AG215">
        <v>0</v>
      </c>
      <c r="AH215">
        <v>0</v>
      </c>
      <c r="AI215">
        <v>7.7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0.31</v>
      </c>
      <c r="AU215" t="s">
        <v>6</v>
      </c>
      <c r="AV215">
        <v>0</v>
      </c>
      <c r="AW215">
        <v>2</v>
      </c>
      <c r="AX215">
        <v>26914469</v>
      </c>
      <c r="AY215">
        <v>1</v>
      </c>
      <c r="AZ215">
        <v>0</v>
      </c>
      <c r="BA215">
        <v>211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Y215*Source!I91</f>
        <v>9.2999999999999999E-2</v>
      </c>
      <c r="CY215">
        <f>AA215</f>
        <v>14.01</v>
      </c>
      <c r="CZ215">
        <f>AE215</f>
        <v>1.82</v>
      </c>
      <c r="DA215">
        <f>AI215</f>
        <v>7.7</v>
      </c>
      <c r="DB215">
        <v>0</v>
      </c>
    </row>
    <row r="216" spans="1:106" x14ac:dyDescent="0.2">
      <c r="A216">
        <f>ROW(Source!A91)</f>
        <v>91</v>
      </c>
      <c r="B216">
        <v>26914189</v>
      </c>
      <c r="C216">
        <v>26914454</v>
      </c>
      <c r="D216">
        <v>25185374</v>
      </c>
      <c r="E216">
        <v>1</v>
      </c>
      <c r="F216">
        <v>1</v>
      </c>
      <c r="G216">
        <v>1</v>
      </c>
      <c r="H216">
        <v>3</v>
      </c>
      <c r="I216" t="s">
        <v>160</v>
      </c>
      <c r="J216" t="s">
        <v>162</v>
      </c>
      <c r="K216" t="s">
        <v>161</v>
      </c>
      <c r="L216">
        <v>1346</v>
      </c>
      <c r="N216">
        <v>1009</v>
      </c>
      <c r="O216" t="s">
        <v>50</v>
      </c>
      <c r="P216" t="s">
        <v>50</v>
      </c>
      <c r="Q216">
        <v>1</v>
      </c>
      <c r="W216">
        <v>0</v>
      </c>
      <c r="X216">
        <v>-1322503055</v>
      </c>
      <c r="Y216">
        <v>30</v>
      </c>
      <c r="AA216">
        <v>552.71</v>
      </c>
      <c r="AB216">
        <v>0</v>
      </c>
      <c r="AC216">
        <v>0</v>
      </c>
      <c r="AD216">
        <v>0</v>
      </c>
      <c r="AE216">
        <v>71.78</v>
      </c>
      <c r="AF216">
        <v>0</v>
      </c>
      <c r="AG216">
        <v>0</v>
      </c>
      <c r="AH216">
        <v>0</v>
      </c>
      <c r="AI216">
        <v>7.7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30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Y216*Source!I91</f>
        <v>9</v>
      </c>
      <c r="CY216">
        <f>AA216</f>
        <v>552.71</v>
      </c>
      <c r="CZ216">
        <f>AE216</f>
        <v>71.78</v>
      </c>
      <c r="DA216">
        <f>AI216</f>
        <v>7.7</v>
      </c>
      <c r="DB216">
        <v>0</v>
      </c>
    </row>
    <row r="217" spans="1:106" x14ac:dyDescent="0.2">
      <c r="A217">
        <f>ROW(Source!A91)</f>
        <v>91</v>
      </c>
      <c r="B217">
        <v>26914189</v>
      </c>
      <c r="C217">
        <v>26914454</v>
      </c>
      <c r="D217">
        <v>25186112</v>
      </c>
      <c r="E217">
        <v>1</v>
      </c>
      <c r="F217">
        <v>1</v>
      </c>
      <c r="G217">
        <v>1</v>
      </c>
      <c r="H217">
        <v>3</v>
      </c>
      <c r="I217" t="s">
        <v>164</v>
      </c>
      <c r="J217" t="s">
        <v>166</v>
      </c>
      <c r="K217" t="s">
        <v>165</v>
      </c>
      <c r="L217">
        <v>1348</v>
      </c>
      <c r="N217">
        <v>1009</v>
      </c>
      <c r="O217" t="s">
        <v>24</v>
      </c>
      <c r="P217" t="s">
        <v>24</v>
      </c>
      <c r="Q217">
        <v>1000</v>
      </c>
      <c r="W217">
        <v>0</v>
      </c>
      <c r="X217">
        <v>-1039321151</v>
      </c>
      <c r="Y217">
        <v>0.02</v>
      </c>
      <c r="AA217">
        <v>86438.74</v>
      </c>
      <c r="AB217">
        <v>0</v>
      </c>
      <c r="AC217">
        <v>0</v>
      </c>
      <c r="AD217">
        <v>0</v>
      </c>
      <c r="AE217">
        <v>11225.81</v>
      </c>
      <c r="AF217">
        <v>0</v>
      </c>
      <c r="AG217">
        <v>0</v>
      </c>
      <c r="AH217">
        <v>0</v>
      </c>
      <c r="AI217">
        <v>7.7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6</v>
      </c>
      <c r="AT217">
        <v>0.02</v>
      </c>
      <c r="AU217" t="s">
        <v>6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Y217*Source!I91</f>
        <v>6.0000000000000001E-3</v>
      </c>
      <c r="CY217">
        <f>AA217</f>
        <v>86438.74</v>
      </c>
      <c r="CZ217">
        <f>AE217</f>
        <v>11225.81</v>
      </c>
      <c r="DA217">
        <f>AI217</f>
        <v>7.7</v>
      </c>
      <c r="DB217">
        <v>0</v>
      </c>
    </row>
    <row r="218" spans="1:106" x14ac:dyDescent="0.2">
      <c r="A218">
        <f>ROW(Source!A91)</f>
        <v>91</v>
      </c>
      <c r="B218">
        <v>26914189</v>
      </c>
      <c r="C218">
        <v>26914454</v>
      </c>
      <c r="D218">
        <v>25187360</v>
      </c>
      <c r="E218">
        <v>1</v>
      </c>
      <c r="F218">
        <v>1</v>
      </c>
      <c r="G218">
        <v>1</v>
      </c>
      <c r="H218">
        <v>3</v>
      </c>
      <c r="I218" t="s">
        <v>466</v>
      </c>
      <c r="J218" t="s">
        <v>467</v>
      </c>
      <c r="K218" t="s">
        <v>468</v>
      </c>
      <c r="L218">
        <v>1348</v>
      </c>
      <c r="N218">
        <v>1009</v>
      </c>
      <c r="O218" t="s">
        <v>24</v>
      </c>
      <c r="P218" t="s">
        <v>24</v>
      </c>
      <c r="Q218">
        <v>1000</v>
      </c>
      <c r="W218">
        <v>0</v>
      </c>
      <c r="X218">
        <v>181729109</v>
      </c>
      <c r="Y218">
        <v>5.0000000000000001E-3</v>
      </c>
      <c r="AA218">
        <v>87757.67</v>
      </c>
      <c r="AB218">
        <v>0</v>
      </c>
      <c r="AC218">
        <v>0</v>
      </c>
      <c r="AD218">
        <v>0</v>
      </c>
      <c r="AE218">
        <v>11397.1</v>
      </c>
      <c r="AF218">
        <v>0</v>
      </c>
      <c r="AG218">
        <v>0</v>
      </c>
      <c r="AH218">
        <v>0</v>
      </c>
      <c r="AI218">
        <v>7.7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5.0000000000000001E-3</v>
      </c>
      <c r="AU218" t="s">
        <v>6</v>
      </c>
      <c r="AV218">
        <v>0</v>
      </c>
      <c r="AW218">
        <v>2</v>
      </c>
      <c r="AX218">
        <v>26914472</v>
      </c>
      <c r="AY218">
        <v>1</v>
      </c>
      <c r="AZ218">
        <v>0</v>
      </c>
      <c r="BA218">
        <v>214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Y218*Source!I91</f>
        <v>1.5E-3</v>
      </c>
      <c r="CY218">
        <f>AA218</f>
        <v>87757.67</v>
      </c>
      <c r="CZ218">
        <f>AE218</f>
        <v>11397.1</v>
      </c>
      <c r="DA218">
        <f>AI218</f>
        <v>7.7</v>
      </c>
      <c r="DB218">
        <v>0</v>
      </c>
    </row>
    <row r="219" spans="1:106" x14ac:dyDescent="0.2">
      <c r="A219">
        <f>ROW(Source!A96)</f>
        <v>96</v>
      </c>
      <c r="B219">
        <v>26914188</v>
      </c>
      <c r="C219">
        <v>26914475</v>
      </c>
      <c r="D219">
        <v>25423580</v>
      </c>
      <c r="E219">
        <v>1</v>
      </c>
      <c r="F219">
        <v>1</v>
      </c>
      <c r="G219">
        <v>1</v>
      </c>
      <c r="H219">
        <v>1</v>
      </c>
      <c r="I219" t="s">
        <v>469</v>
      </c>
      <c r="J219" t="s">
        <v>6</v>
      </c>
      <c r="K219" t="s">
        <v>470</v>
      </c>
      <c r="L219">
        <v>1191</v>
      </c>
      <c r="N219">
        <v>1013</v>
      </c>
      <c r="O219" t="s">
        <v>332</v>
      </c>
      <c r="P219" t="s">
        <v>332</v>
      </c>
      <c r="Q219">
        <v>1</v>
      </c>
      <c r="W219">
        <v>0</v>
      </c>
      <c r="X219">
        <v>687044855</v>
      </c>
      <c r="Y219">
        <v>2.7139999999999995</v>
      </c>
      <c r="AA219">
        <v>0</v>
      </c>
      <c r="AB219">
        <v>0</v>
      </c>
      <c r="AC219">
        <v>0</v>
      </c>
      <c r="AD219">
        <v>10.06</v>
      </c>
      <c r="AE219">
        <v>0</v>
      </c>
      <c r="AF219">
        <v>0</v>
      </c>
      <c r="AG219">
        <v>0</v>
      </c>
      <c r="AH219">
        <v>10.06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2.36</v>
      </c>
      <c r="AU219" t="s">
        <v>41</v>
      </c>
      <c r="AV219">
        <v>1</v>
      </c>
      <c r="AW219">
        <v>2</v>
      </c>
      <c r="AX219">
        <v>26914486</v>
      </c>
      <c r="AY219">
        <v>1</v>
      </c>
      <c r="AZ219">
        <v>0</v>
      </c>
      <c r="BA219">
        <v>215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Y219*Source!I96</f>
        <v>43.423999999999992</v>
      </c>
      <c r="CY219">
        <f>AD219</f>
        <v>10.06</v>
      </c>
      <c r="CZ219">
        <f>AH219</f>
        <v>10.06</v>
      </c>
      <c r="DA219">
        <f>AL219</f>
        <v>1</v>
      </c>
      <c r="DB219">
        <v>0</v>
      </c>
    </row>
    <row r="220" spans="1:106" x14ac:dyDescent="0.2">
      <c r="A220">
        <f>ROW(Source!A96)</f>
        <v>96</v>
      </c>
      <c r="B220">
        <v>26914188</v>
      </c>
      <c r="C220">
        <v>26914475</v>
      </c>
      <c r="D220">
        <v>25412928</v>
      </c>
      <c r="E220">
        <v>1</v>
      </c>
      <c r="F220">
        <v>1</v>
      </c>
      <c r="G220">
        <v>1</v>
      </c>
      <c r="H220">
        <v>1</v>
      </c>
      <c r="I220" t="s">
        <v>333</v>
      </c>
      <c r="J220" t="s">
        <v>6</v>
      </c>
      <c r="K220" t="s">
        <v>334</v>
      </c>
      <c r="L220">
        <v>1191</v>
      </c>
      <c r="N220">
        <v>1013</v>
      </c>
      <c r="O220" t="s">
        <v>332</v>
      </c>
      <c r="P220" t="s">
        <v>332</v>
      </c>
      <c r="Q220">
        <v>1</v>
      </c>
      <c r="W220">
        <v>0</v>
      </c>
      <c r="X220">
        <v>-1417349443</v>
      </c>
      <c r="Y220">
        <v>0.02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0.02</v>
      </c>
      <c r="AU220" t="s">
        <v>6</v>
      </c>
      <c r="AV220">
        <v>2</v>
      </c>
      <c r="AW220">
        <v>2</v>
      </c>
      <c r="AX220">
        <v>26914487</v>
      </c>
      <c r="AY220">
        <v>1</v>
      </c>
      <c r="AZ220">
        <v>2048</v>
      </c>
      <c r="BA220">
        <v>216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Y220*Source!I96</f>
        <v>0.32</v>
      </c>
      <c r="CY220">
        <f>AD220</f>
        <v>0</v>
      </c>
      <c r="CZ220">
        <f>AH220</f>
        <v>0</v>
      </c>
      <c r="DA220">
        <f>AL220</f>
        <v>1</v>
      </c>
      <c r="DB220">
        <v>0</v>
      </c>
    </row>
    <row r="221" spans="1:106" x14ac:dyDescent="0.2">
      <c r="A221">
        <f>ROW(Source!A96)</f>
        <v>96</v>
      </c>
      <c r="B221">
        <v>26914188</v>
      </c>
      <c r="C221">
        <v>26914475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352</v>
      </c>
      <c r="J221" t="s">
        <v>353</v>
      </c>
      <c r="K221" t="s">
        <v>354</v>
      </c>
      <c r="L221">
        <v>1368</v>
      </c>
      <c r="N221">
        <v>1011</v>
      </c>
      <c r="O221" t="s">
        <v>338</v>
      </c>
      <c r="P221" t="s">
        <v>338</v>
      </c>
      <c r="Q221">
        <v>1</v>
      </c>
      <c r="W221">
        <v>0</v>
      </c>
      <c r="X221">
        <v>1372534845</v>
      </c>
      <c r="Y221">
        <v>2.5000000000000001E-2</v>
      </c>
      <c r="AA221">
        <v>0</v>
      </c>
      <c r="AB221">
        <v>65.709999999999994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0.02</v>
      </c>
      <c r="AU221" t="s">
        <v>40</v>
      </c>
      <c r="AV221">
        <v>0</v>
      </c>
      <c r="AW221">
        <v>2</v>
      </c>
      <c r="AX221">
        <v>26914488</v>
      </c>
      <c r="AY221">
        <v>1</v>
      </c>
      <c r="AZ221">
        <v>0</v>
      </c>
      <c r="BA221">
        <v>217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Y221*Source!I96</f>
        <v>0.4</v>
      </c>
      <c r="CY221">
        <f>AB221</f>
        <v>65.709999999999994</v>
      </c>
      <c r="CZ221">
        <f>AF221</f>
        <v>65.709999999999994</v>
      </c>
      <c r="DA221">
        <f>AJ221</f>
        <v>1</v>
      </c>
      <c r="DB221">
        <v>0</v>
      </c>
    </row>
    <row r="222" spans="1:106" x14ac:dyDescent="0.2">
      <c r="A222">
        <f>ROW(Source!A96)</f>
        <v>96</v>
      </c>
      <c r="B222">
        <v>26914188</v>
      </c>
      <c r="C222">
        <v>26914475</v>
      </c>
      <c r="D222">
        <v>25231911</v>
      </c>
      <c r="E222">
        <v>1</v>
      </c>
      <c r="F222">
        <v>1</v>
      </c>
      <c r="G222">
        <v>1</v>
      </c>
      <c r="H222">
        <v>2</v>
      </c>
      <c r="I222" t="s">
        <v>435</v>
      </c>
      <c r="J222" t="s">
        <v>436</v>
      </c>
      <c r="K222" t="s">
        <v>437</v>
      </c>
      <c r="L222">
        <v>1368</v>
      </c>
      <c r="N222">
        <v>1011</v>
      </c>
      <c r="O222" t="s">
        <v>338</v>
      </c>
      <c r="P222" t="s">
        <v>338</v>
      </c>
      <c r="Q222">
        <v>1</v>
      </c>
      <c r="W222">
        <v>0</v>
      </c>
      <c r="X222">
        <v>-353815937</v>
      </c>
      <c r="Y222">
        <v>0.66250000000000009</v>
      </c>
      <c r="AA222">
        <v>0</v>
      </c>
      <c r="AB222">
        <v>8.1</v>
      </c>
      <c r="AC222">
        <v>0</v>
      </c>
      <c r="AD222">
        <v>0</v>
      </c>
      <c r="AE222">
        <v>0</v>
      </c>
      <c r="AF222">
        <v>8.1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0.53</v>
      </c>
      <c r="AU222" t="s">
        <v>40</v>
      </c>
      <c r="AV222">
        <v>0</v>
      </c>
      <c r="AW222">
        <v>2</v>
      </c>
      <c r="AX222">
        <v>26914489</v>
      </c>
      <c r="AY222">
        <v>1</v>
      </c>
      <c r="AZ222">
        <v>0</v>
      </c>
      <c r="BA222">
        <v>218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Y222*Source!I96</f>
        <v>10.600000000000001</v>
      </c>
      <c r="CY222">
        <f>AB222</f>
        <v>8.1</v>
      </c>
      <c r="CZ222">
        <f>AF222</f>
        <v>8.1</v>
      </c>
      <c r="DA222">
        <f>AJ222</f>
        <v>1</v>
      </c>
      <c r="DB222">
        <v>0</v>
      </c>
    </row>
    <row r="223" spans="1:106" x14ac:dyDescent="0.2">
      <c r="A223">
        <f>ROW(Source!A96)</f>
        <v>96</v>
      </c>
      <c r="B223">
        <v>26914188</v>
      </c>
      <c r="C223">
        <v>26914475</v>
      </c>
      <c r="D223">
        <v>25149983</v>
      </c>
      <c r="E223">
        <v>1</v>
      </c>
      <c r="F223">
        <v>1</v>
      </c>
      <c r="G223">
        <v>1</v>
      </c>
      <c r="H223">
        <v>3</v>
      </c>
      <c r="I223" t="s">
        <v>179</v>
      </c>
      <c r="J223" t="s">
        <v>181</v>
      </c>
      <c r="K223" t="s">
        <v>180</v>
      </c>
      <c r="L223">
        <v>1354</v>
      </c>
      <c r="N223">
        <v>1010</v>
      </c>
      <c r="O223" t="s">
        <v>176</v>
      </c>
      <c r="P223" t="s">
        <v>176</v>
      </c>
      <c r="Q223">
        <v>1</v>
      </c>
      <c r="W223">
        <v>0</v>
      </c>
      <c r="X223">
        <v>735354979</v>
      </c>
      <c r="Y223">
        <v>0.625</v>
      </c>
      <c r="AA223">
        <v>272.22000000000003</v>
      </c>
      <c r="AB223">
        <v>0</v>
      </c>
      <c r="AC223">
        <v>0</v>
      </c>
      <c r="AD223">
        <v>0</v>
      </c>
      <c r="AE223">
        <v>272.22000000000003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0.625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Y223*Source!I96</f>
        <v>10</v>
      </c>
      <c r="CY223">
        <f t="shared" ref="CY223:CY228" si="12">AA223</f>
        <v>272.22000000000003</v>
      </c>
      <c r="CZ223">
        <f t="shared" ref="CZ223:CZ228" si="13">AE223</f>
        <v>272.22000000000003</v>
      </c>
      <c r="DA223">
        <f t="shared" ref="DA223:DA228" si="14">AI223</f>
        <v>1</v>
      </c>
      <c r="DB223">
        <v>0</v>
      </c>
    </row>
    <row r="224" spans="1:106" x14ac:dyDescent="0.2">
      <c r="A224">
        <f>ROW(Source!A96)</f>
        <v>96</v>
      </c>
      <c r="B224">
        <v>26914188</v>
      </c>
      <c r="C224">
        <v>26914475</v>
      </c>
      <c r="D224">
        <v>25149997</v>
      </c>
      <c r="E224">
        <v>1</v>
      </c>
      <c r="F224">
        <v>1</v>
      </c>
      <c r="G224">
        <v>1</v>
      </c>
      <c r="H224">
        <v>3</v>
      </c>
      <c r="I224" t="s">
        <v>183</v>
      </c>
      <c r="J224" t="s">
        <v>186</v>
      </c>
      <c r="K224" t="s">
        <v>184</v>
      </c>
      <c r="L224">
        <v>1035</v>
      </c>
      <c r="N224">
        <v>1013</v>
      </c>
      <c r="O224" t="s">
        <v>185</v>
      </c>
      <c r="P224" t="s">
        <v>185</v>
      </c>
      <c r="Q224">
        <v>1</v>
      </c>
      <c r="W224">
        <v>0</v>
      </c>
      <c r="X224">
        <v>29789030</v>
      </c>
      <c r="Y224">
        <v>0.3125</v>
      </c>
      <c r="AA224">
        <v>92.52</v>
      </c>
      <c r="AB224">
        <v>0</v>
      </c>
      <c r="AC224">
        <v>0</v>
      </c>
      <c r="AD224">
        <v>0</v>
      </c>
      <c r="AE224">
        <v>92.52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0.3125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Y224*Source!I96</f>
        <v>5</v>
      </c>
      <c r="CY224">
        <f t="shared" si="12"/>
        <v>92.52</v>
      </c>
      <c r="CZ224">
        <f t="shared" si="13"/>
        <v>92.52</v>
      </c>
      <c r="DA224">
        <f t="shared" si="14"/>
        <v>1</v>
      </c>
      <c r="DB224">
        <v>0</v>
      </c>
    </row>
    <row r="225" spans="1:106" x14ac:dyDescent="0.2">
      <c r="A225">
        <f>ROW(Source!A96)</f>
        <v>96</v>
      </c>
      <c r="B225">
        <v>26914188</v>
      </c>
      <c r="C225">
        <v>26914475</v>
      </c>
      <c r="D225">
        <v>25151425</v>
      </c>
      <c r="E225">
        <v>1</v>
      </c>
      <c r="F225">
        <v>1</v>
      </c>
      <c r="G225">
        <v>1</v>
      </c>
      <c r="H225">
        <v>3</v>
      </c>
      <c r="I225" t="s">
        <v>471</v>
      </c>
      <c r="J225" t="s">
        <v>472</v>
      </c>
      <c r="K225" t="s">
        <v>473</v>
      </c>
      <c r="L225">
        <v>1348</v>
      </c>
      <c r="N225">
        <v>1009</v>
      </c>
      <c r="O225" t="s">
        <v>24</v>
      </c>
      <c r="P225" t="s">
        <v>24</v>
      </c>
      <c r="Q225">
        <v>1000</v>
      </c>
      <c r="W225">
        <v>0</v>
      </c>
      <c r="X225">
        <v>-714836380</v>
      </c>
      <c r="Y225">
        <v>8.0000000000000007E-5</v>
      </c>
      <c r="AA225">
        <v>10315.01</v>
      </c>
      <c r="AB225">
        <v>0</v>
      </c>
      <c r="AC225">
        <v>0</v>
      </c>
      <c r="AD225">
        <v>0</v>
      </c>
      <c r="AE225">
        <v>10315.01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8.0000000000000007E-5</v>
      </c>
      <c r="AU225" t="s">
        <v>6</v>
      </c>
      <c r="AV225">
        <v>0</v>
      </c>
      <c r="AW225">
        <v>2</v>
      </c>
      <c r="AX225">
        <v>26914490</v>
      </c>
      <c r="AY225">
        <v>1</v>
      </c>
      <c r="AZ225">
        <v>0</v>
      </c>
      <c r="BA225">
        <v>219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Y225*Source!I96</f>
        <v>1.2800000000000001E-3</v>
      </c>
      <c r="CY225">
        <f t="shared" si="12"/>
        <v>10315.01</v>
      </c>
      <c r="CZ225">
        <f t="shared" si="13"/>
        <v>10315.01</v>
      </c>
      <c r="DA225">
        <f t="shared" si="14"/>
        <v>1</v>
      </c>
      <c r="DB225">
        <v>0</v>
      </c>
    </row>
    <row r="226" spans="1:106" x14ac:dyDescent="0.2">
      <c r="A226">
        <f>ROW(Source!A96)</f>
        <v>96</v>
      </c>
      <c r="B226">
        <v>26914188</v>
      </c>
      <c r="C226">
        <v>26914475</v>
      </c>
      <c r="D226">
        <v>25152569</v>
      </c>
      <c r="E226">
        <v>1</v>
      </c>
      <c r="F226">
        <v>1</v>
      </c>
      <c r="G226">
        <v>1</v>
      </c>
      <c r="H226">
        <v>3</v>
      </c>
      <c r="I226" t="s">
        <v>474</v>
      </c>
      <c r="J226" t="s">
        <v>475</v>
      </c>
      <c r="K226" t="s">
        <v>476</v>
      </c>
      <c r="L226">
        <v>1348</v>
      </c>
      <c r="N226">
        <v>1009</v>
      </c>
      <c r="O226" t="s">
        <v>24</v>
      </c>
      <c r="P226" t="s">
        <v>24</v>
      </c>
      <c r="Q226">
        <v>1000</v>
      </c>
      <c r="W226">
        <v>0</v>
      </c>
      <c r="X226">
        <v>960438781</v>
      </c>
      <c r="Y226">
        <v>3.0000000000000001E-3</v>
      </c>
      <c r="AA226">
        <v>10068</v>
      </c>
      <c r="AB226">
        <v>0</v>
      </c>
      <c r="AC226">
        <v>0</v>
      </c>
      <c r="AD226">
        <v>0</v>
      </c>
      <c r="AE226">
        <v>10068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3.0000000000000001E-3</v>
      </c>
      <c r="AU226" t="s">
        <v>6</v>
      </c>
      <c r="AV226">
        <v>0</v>
      </c>
      <c r="AW226">
        <v>2</v>
      </c>
      <c r="AX226">
        <v>26914491</v>
      </c>
      <c r="AY226">
        <v>1</v>
      </c>
      <c r="AZ226">
        <v>0</v>
      </c>
      <c r="BA226">
        <v>220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Y226*Source!I96</f>
        <v>4.8000000000000001E-2</v>
      </c>
      <c r="CY226">
        <f t="shared" si="12"/>
        <v>10068</v>
      </c>
      <c r="CZ226">
        <f t="shared" si="13"/>
        <v>10068</v>
      </c>
      <c r="DA226">
        <f t="shared" si="14"/>
        <v>1</v>
      </c>
      <c r="DB226">
        <v>0</v>
      </c>
    </row>
    <row r="227" spans="1:106" x14ac:dyDescent="0.2">
      <c r="A227">
        <f>ROW(Source!A96)</f>
        <v>96</v>
      </c>
      <c r="B227">
        <v>26914188</v>
      </c>
      <c r="C227">
        <v>26914475</v>
      </c>
      <c r="D227">
        <v>25169983</v>
      </c>
      <c r="E227">
        <v>1</v>
      </c>
      <c r="F227">
        <v>1</v>
      </c>
      <c r="G227">
        <v>1</v>
      </c>
      <c r="H227">
        <v>3</v>
      </c>
      <c r="I227" t="s">
        <v>174</v>
      </c>
      <c r="J227" t="s">
        <v>177</v>
      </c>
      <c r="K227" t="s">
        <v>175</v>
      </c>
      <c r="L227">
        <v>1354</v>
      </c>
      <c r="N227">
        <v>1010</v>
      </c>
      <c r="O227" t="s">
        <v>176</v>
      </c>
      <c r="P227" t="s">
        <v>176</v>
      </c>
      <c r="Q227">
        <v>1</v>
      </c>
      <c r="W227">
        <v>0</v>
      </c>
      <c r="X227">
        <v>-181413427</v>
      </c>
      <c r="Y227">
        <v>0.3125</v>
      </c>
      <c r="AA227">
        <v>6025.88</v>
      </c>
      <c r="AB227">
        <v>0</v>
      </c>
      <c r="AC227">
        <v>0</v>
      </c>
      <c r="AD227">
        <v>0</v>
      </c>
      <c r="AE227">
        <v>6025.88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6</v>
      </c>
      <c r="AT227">
        <v>0.3125</v>
      </c>
      <c r="AU227" t="s">
        <v>6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Y227*Source!I96</f>
        <v>5</v>
      </c>
      <c r="CY227">
        <f t="shared" si="12"/>
        <v>6025.88</v>
      </c>
      <c r="CZ227">
        <f t="shared" si="13"/>
        <v>6025.88</v>
      </c>
      <c r="DA227">
        <f t="shared" si="14"/>
        <v>1</v>
      </c>
      <c r="DB227">
        <v>0</v>
      </c>
    </row>
    <row r="228" spans="1:106" x14ac:dyDescent="0.2">
      <c r="A228">
        <f>ROW(Source!A96)</f>
        <v>96</v>
      </c>
      <c r="B228">
        <v>26914188</v>
      </c>
      <c r="C228">
        <v>26914475</v>
      </c>
      <c r="D228">
        <v>25186957</v>
      </c>
      <c r="E228">
        <v>1</v>
      </c>
      <c r="F228">
        <v>1</v>
      </c>
      <c r="G228">
        <v>1</v>
      </c>
      <c r="H228">
        <v>3</v>
      </c>
      <c r="I228" t="s">
        <v>477</v>
      </c>
      <c r="J228" t="s">
        <v>478</v>
      </c>
      <c r="K228" t="s">
        <v>479</v>
      </c>
      <c r="L228">
        <v>1354</v>
      </c>
      <c r="N228">
        <v>1010</v>
      </c>
      <c r="O228" t="s">
        <v>176</v>
      </c>
      <c r="P228" t="s">
        <v>176</v>
      </c>
      <c r="Q228">
        <v>1</v>
      </c>
      <c r="W228">
        <v>0</v>
      </c>
      <c r="X228">
        <v>-1153960265</v>
      </c>
      <c r="Y228">
        <v>0.19</v>
      </c>
      <c r="AA228">
        <v>110.11</v>
      </c>
      <c r="AB228">
        <v>0</v>
      </c>
      <c r="AC228">
        <v>0</v>
      </c>
      <c r="AD228">
        <v>0</v>
      </c>
      <c r="AE228">
        <v>110.11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0.19</v>
      </c>
      <c r="AU228" t="s">
        <v>6</v>
      </c>
      <c r="AV228">
        <v>0</v>
      </c>
      <c r="AW228">
        <v>2</v>
      </c>
      <c r="AX228">
        <v>26914493</v>
      </c>
      <c r="AY228">
        <v>1</v>
      </c>
      <c r="AZ228">
        <v>0</v>
      </c>
      <c r="BA228">
        <v>222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Y228*Source!I96</f>
        <v>3.04</v>
      </c>
      <c r="CY228">
        <f t="shared" si="12"/>
        <v>110.11</v>
      </c>
      <c r="CZ228">
        <f t="shared" si="13"/>
        <v>110.11</v>
      </c>
      <c r="DA228">
        <f t="shared" si="14"/>
        <v>1</v>
      </c>
      <c r="DB228">
        <v>0</v>
      </c>
    </row>
    <row r="229" spans="1:106" x14ac:dyDescent="0.2">
      <c r="A229">
        <f>ROW(Source!A97)</f>
        <v>97</v>
      </c>
      <c r="B229">
        <v>26914189</v>
      </c>
      <c r="C229">
        <v>26914475</v>
      </c>
      <c r="D229">
        <v>25423580</v>
      </c>
      <c r="E229">
        <v>1</v>
      </c>
      <c r="F229">
        <v>1</v>
      </c>
      <c r="G229">
        <v>1</v>
      </c>
      <c r="H229">
        <v>1</v>
      </c>
      <c r="I229" t="s">
        <v>469</v>
      </c>
      <c r="J229" t="s">
        <v>6</v>
      </c>
      <c r="K229" t="s">
        <v>470</v>
      </c>
      <c r="L229">
        <v>1191</v>
      </c>
      <c r="N229">
        <v>1013</v>
      </c>
      <c r="O229" t="s">
        <v>332</v>
      </c>
      <c r="P229" t="s">
        <v>332</v>
      </c>
      <c r="Q229">
        <v>1</v>
      </c>
      <c r="W229">
        <v>0</v>
      </c>
      <c r="X229">
        <v>687044855</v>
      </c>
      <c r="Y229">
        <v>2.7139999999999995</v>
      </c>
      <c r="AA229">
        <v>0</v>
      </c>
      <c r="AB229">
        <v>0</v>
      </c>
      <c r="AC229">
        <v>0</v>
      </c>
      <c r="AD229">
        <v>77.459999999999994</v>
      </c>
      <c r="AE229">
        <v>0</v>
      </c>
      <c r="AF229">
        <v>0</v>
      </c>
      <c r="AG229">
        <v>0</v>
      </c>
      <c r="AH229">
        <v>10.06</v>
      </c>
      <c r="AI229">
        <v>1</v>
      </c>
      <c r="AJ229">
        <v>1</v>
      </c>
      <c r="AK229">
        <v>1</v>
      </c>
      <c r="AL229">
        <v>7.7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2.36</v>
      </c>
      <c r="AU229" t="s">
        <v>41</v>
      </c>
      <c r="AV229">
        <v>1</v>
      </c>
      <c r="AW229">
        <v>2</v>
      </c>
      <c r="AX229">
        <v>26914486</v>
      </c>
      <c r="AY229">
        <v>1</v>
      </c>
      <c r="AZ229">
        <v>0</v>
      </c>
      <c r="BA229">
        <v>223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Y229*Source!I97</f>
        <v>43.423999999999992</v>
      </c>
      <c r="CY229">
        <f>AD229</f>
        <v>77.459999999999994</v>
      </c>
      <c r="CZ229">
        <f>AH229</f>
        <v>10.06</v>
      </c>
      <c r="DA229">
        <f>AL229</f>
        <v>7.7</v>
      </c>
      <c r="DB229">
        <v>0</v>
      </c>
    </row>
    <row r="230" spans="1:106" x14ac:dyDescent="0.2">
      <c r="A230">
        <f>ROW(Source!A97)</f>
        <v>97</v>
      </c>
      <c r="B230">
        <v>26914189</v>
      </c>
      <c r="C230">
        <v>26914475</v>
      </c>
      <c r="D230">
        <v>25412928</v>
      </c>
      <c r="E230">
        <v>1</v>
      </c>
      <c r="F230">
        <v>1</v>
      </c>
      <c r="G230">
        <v>1</v>
      </c>
      <c r="H230">
        <v>1</v>
      </c>
      <c r="I230" t="s">
        <v>333</v>
      </c>
      <c r="J230" t="s">
        <v>6</v>
      </c>
      <c r="K230" t="s">
        <v>334</v>
      </c>
      <c r="L230">
        <v>1191</v>
      </c>
      <c r="N230">
        <v>1013</v>
      </c>
      <c r="O230" t="s">
        <v>332</v>
      </c>
      <c r="P230" t="s">
        <v>332</v>
      </c>
      <c r="Q230">
        <v>1</v>
      </c>
      <c r="W230">
        <v>0</v>
      </c>
      <c r="X230">
        <v>-1417349443</v>
      </c>
      <c r="Y230">
        <v>0.02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7.7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0.02</v>
      </c>
      <c r="AU230" t="s">
        <v>6</v>
      </c>
      <c r="AV230">
        <v>2</v>
      </c>
      <c r="AW230">
        <v>2</v>
      </c>
      <c r="AX230">
        <v>26914487</v>
      </c>
      <c r="AY230">
        <v>1</v>
      </c>
      <c r="AZ230">
        <v>2048</v>
      </c>
      <c r="BA230">
        <v>224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Y230*Source!I97</f>
        <v>0.32</v>
      </c>
      <c r="CY230">
        <f>AD230</f>
        <v>0</v>
      </c>
      <c r="CZ230">
        <f>AH230</f>
        <v>0</v>
      </c>
      <c r="DA230">
        <f>AL230</f>
        <v>1</v>
      </c>
      <c r="DB230">
        <v>0</v>
      </c>
    </row>
    <row r="231" spans="1:106" x14ac:dyDescent="0.2">
      <c r="A231">
        <f>ROW(Source!A97)</f>
        <v>97</v>
      </c>
      <c r="B231">
        <v>26914189</v>
      </c>
      <c r="C231">
        <v>26914475</v>
      </c>
      <c r="D231">
        <v>25231607</v>
      </c>
      <c r="E231">
        <v>1</v>
      </c>
      <c r="F231">
        <v>1</v>
      </c>
      <c r="G231">
        <v>1</v>
      </c>
      <c r="H231">
        <v>2</v>
      </c>
      <c r="I231" t="s">
        <v>352</v>
      </c>
      <c r="J231" t="s">
        <v>353</v>
      </c>
      <c r="K231" t="s">
        <v>354</v>
      </c>
      <c r="L231">
        <v>1368</v>
      </c>
      <c r="N231">
        <v>1011</v>
      </c>
      <c r="O231" t="s">
        <v>338</v>
      </c>
      <c r="P231" t="s">
        <v>338</v>
      </c>
      <c r="Q231">
        <v>1</v>
      </c>
      <c r="W231">
        <v>0</v>
      </c>
      <c r="X231">
        <v>1372534845</v>
      </c>
      <c r="Y231">
        <v>2.5000000000000001E-2</v>
      </c>
      <c r="AA231">
        <v>0</v>
      </c>
      <c r="AB231">
        <v>505.97</v>
      </c>
      <c r="AC231">
        <v>11.6</v>
      </c>
      <c r="AD231">
        <v>0</v>
      </c>
      <c r="AE231">
        <v>0</v>
      </c>
      <c r="AF231">
        <v>65.709999999999994</v>
      </c>
      <c r="AG231">
        <v>11.6</v>
      </c>
      <c r="AH231">
        <v>0</v>
      </c>
      <c r="AI231">
        <v>1</v>
      </c>
      <c r="AJ231">
        <v>7.7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0.02</v>
      </c>
      <c r="AU231" t="s">
        <v>40</v>
      </c>
      <c r="AV231">
        <v>0</v>
      </c>
      <c r="AW231">
        <v>2</v>
      </c>
      <c r="AX231">
        <v>26914488</v>
      </c>
      <c r="AY231">
        <v>1</v>
      </c>
      <c r="AZ231">
        <v>0</v>
      </c>
      <c r="BA231">
        <v>225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Y231*Source!I97</f>
        <v>0.4</v>
      </c>
      <c r="CY231">
        <f>AB231</f>
        <v>505.97</v>
      </c>
      <c r="CZ231">
        <f>AF231</f>
        <v>65.709999999999994</v>
      </c>
      <c r="DA231">
        <f>AJ231</f>
        <v>7.7</v>
      </c>
      <c r="DB231">
        <v>0</v>
      </c>
    </row>
    <row r="232" spans="1:106" x14ac:dyDescent="0.2">
      <c r="A232">
        <f>ROW(Source!A97)</f>
        <v>97</v>
      </c>
      <c r="B232">
        <v>26914189</v>
      </c>
      <c r="C232">
        <v>26914475</v>
      </c>
      <c r="D232">
        <v>25231911</v>
      </c>
      <c r="E232">
        <v>1</v>
      </c>
      <c r="F232">
        <v>1</v>
      </c>
      <c r="G232">
        <v>1</v>
      </c>
      <c r="H232">
        <v>2</v>
      </c>
      <c r="I232" t="s">
        <v>435</v>
      </c>
      <c r="J232" t="s">
        <v>436</v>
      </c>
      <c r="K232" t="s">
        <v>437</v>
      </c>
      <c r="L232">
        <v>1368</v>
      </c>
      <c r="N232">
        <v>1011</v>
      </c>
      <c r="O232" t="s">
        <v>338</v>
      </c>
      <c r="P232" t="s">
        <v>338</v>
      </c>
      <c r="Q232">
        <v>1</v>
      </c>
      <c r="W232">
        <v>0</v>
      </c>
      <c r="X232">
        <v>-353815937</v>
      </c>
      <c r="Y232">
        <v>0.66250000000000009</v>
      </c>
      <c r="AA232">
        <v>0</v>
      </c>
      <c r="AB232">
        <v>62.37</v>
      </c>
      <c r="AC232">
        <v>0</v>
      </c>
      <c r="AD232">
        <v>0</v>
      </c>
      <c r="AE232">
        <v>0</v>
      </c>
      <c r="AF232">
        <v>8.1</v>
      </c>
      <c r="AG232">
        <v>0</v>
      </c>
      <c r="AH232">
        <v>0</v>
      </c>
      <c r="AI232">
        <v>1</v>
      </c>
      <c r="AJ232">
        <v>7.7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0.53</v>
      </c>
      <c r="AU232" t="s">
        <v>40</v>
      </c>
      <c r="AV232">
        <v>0</v>
      </c>
      <c r="AW232">
        <v>2</v>
      </c>
      <c r="AX232">
        <v>26914489</v>
      </c>
      <c r="AY232">
        <v>1</v>
      </c>
      <c r="AZ232">
        <v>0</v>
      </c>
      <c r="BA232">
        <v>226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Y232*Source!I97</f>
        <v>10.600000000000001</v>
      </c>
      <c r="CY232">
        <f>AB232</f>
        <v>62.37</v>
      </c>
      <c r="CZ232">
        <f>AF232</f>
        <v>8.1</v>
      </c>
      <c r="DA232">
        <f>AJ232</f>
        <v>7.7</v>
      </c>
      <c r="DB232">
        <v>0</v>
      </c>
    </row>
    <row r="233" spans="1:106" x14ac:dyDescent="0.2">
      <c r="A233">
        <f>ROW(Source!A97)</f>
        <v>97</v>
      </c>
      <c r="B233">
        <v>26914189</v>
      </c>
      <c r="C233">
        <v>26914475</v>
      </c>
      <c r="D233">
        <v>25149983</v>
      </c>
      <c r="E233">
        <v>1</v>
      </c>
      <c r="F233">
        <v>1</v>
      </c>
      <c r="G233">
        <v>1</v>
      </c>
      <c r="H233">
        <v>3</v>
      </c>
      <c r="I233" t="s">
        <v>179</v>
      </c>
      <c r="J233" t="s">
        <v>181</v>
      </c>
      <c r="K233" t="s">
        <v>180</v>
      </c>
      <c r="L233">
        <v>1354</v>
      </c>
      <c r="N233">
        <v>1010</v>
      </c>
      <c r="O233" t="s">
        <v>176</v>
      </c>
      <c r="P233" t="s">
        <v>176</v>
      </c>
      <c r="Q233">
        <v>1</v>
      </c>
      <c r="W233">
        <v>0</v>
      </c>
      <c r="X233">
        <v>735354979</v>
      </c>
      <c r="Y233">
        <v>0.625</v>
      </c>
      <c r="AA233">
        <v>2096.09</v>
      </c>
      <c r="AB233">
        <v>0</v>
      </c>
      <c r="AC233">
        <v>0</v>
      </c>
      <c r="AD233">
        <v>0</v>
      </c>
      <c r="AE233">
        <v>272.22000000000003</v>
      </c>
      <c r="AF233">
        <v>0</v>
      </c>
      <c r="AG233">
        <v>0</v>
      </c>
      <c r="AH233">
        <v>0</v>
      </c>
      <c r="AI233">
        <v>7.7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6</v>
      </c>
      <c r="AT233">
        <v>0.625</v>
      </c>
      <c r="AU233" t="s">
        <v>6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Y233*Source!I97</f>
        <v>10</v>
      </c>
      <c r="CY233">
        <f t="shared" ref="CY233:CY238" si="15">AA233</f>
        <v>2096.09</v>
      </c>
      <c r="CZ233">
        <f t="shared" ref="CZ233:CZ238" si="16">AE233</f>
        <v>272.22000000000003</v>
      </c>
      <c r="DA233">
        <f t="shared" ref="DA233:DA238" si="17">AI233</f>
        <v>7.7</v>
      </c>
      <c r="DB233">
        <v>0</v>
      </c>
    </row>
    <row r="234" spans="1:106" x14ac:dyDescent="0.2">
      <c r="A234">
        <f>ROW(Source!A97)</f>
        <v>97</v>
      </c>
      <c r="B234">
        <v>26914189</v>
      </c>
      <c r="C234">
        <v>26914475</v>
      </c>
      <c r="D234">
        <v>25149997</v>
      </c>
      <c r="E234">
        <v>1</v>
      </c>
      <c r="F234">
        <v>1</v>
      </c>
      <c r="G234">
        <v>1</v>
      </c>
      <c r="H234">
        <v>3</v>
      </c>
      <c r="I234" t="s">
        <v>183</v>
      </c>
      <c r="J234" t="s">
        <v>186</v>
      </c>
      <c r="K234" t="s">
        <v>184</v>
      </c>
      <c r="L234">
        <v>1035</v>
      </c>
      <c r="N234">
        <v>1013</v>
      </c>
      <c r="O234" t="s">
        <v>185</v>
      </c>
      <c r="P234" t="s">
        <v>185</v>
      </c>
      <c r="Q234">
        <v>1</v>
      </c>
      <c r="W234">
        <v>0</v>
      </c>
      <c r="X234">
        <v>29789030</v>
      </c>
      <c r="Y234">
        <v>0.3125</v>
      </c>
      <c r="AA234">
        <v>712.4</v>
      </c>
      <c r="AB234">
        <v>0</v>
      </c>
      <c r="AC234">
        <v>0</v>
      </c>
      <c r="AD234">
        <v>0</v>
      </c>
      <c r="AE234">
        <v>92.52</v>
      </c>
      <c r="AF234">
        <v>0</v>
      </c>
      <c r="AG234">
        <v>0</v>
      </c>
      <c r="AH234">
        <v>0</v>
      </c>
      <c r="AI234">
        <v>7.7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6</v>
      </c>
      <c r="AT234">
        <v>0.3125</v>
      </c>
      <c r="AU234" t="s">
        <v>6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Y234*Source!I97</f>
        <v>5</v>
      </c>
      <c r="CY234">
        <f t="shared" si="15"/>
        <v>712.4</v>
      </c>
      <c r="CZ234">
        <f t="shared" si="16"/>
        <v>92.52</v>
      </c>
      <c r="DA234">
        <f t="shared" si="17"/>
        <v>7.7</v>
      </c>
      <c r="DB234">
        <v>0</v>
      </c>
    </row>
    <row r="235" spans="1:106" x14ac:dyDescent="0.2">
      <c r="A235">
        <f>ROW(Source!A97)</f>
        <v>97</v>
      </c>
      <c r="B235">
        <v>26914189</v>
      </c>
      <c r="C235">
        <v>26914475</v>
      </c>
      <c r="D235">
        <v>25151425</v>
      </c>
      <c r="E235">
        <v>1</v>
      </c>
      <c r="F235">
        <v>1</v>
      </c>
      <c r="G235">
        <v>1</v>
      </c>
      <c r="H235">
        <v>3</v>
      </c>
      <c r="I235" t="s">
        <v>471</v>
      </c>
      <c r="J235" t="s">
        <v>472</v>
      </c>
      <c r="K235" t="s">
        <v>473</v>
      </c>
      <c r="L235">
        <v>1348</v>
      </c>
      <c r="N235">
        <v>1009</v>
      </c>
      <c r="O235" t="s">
        <v>24</v>
      </c>
      <c r="P235" t="s">
        <v>24</v>
      </c>
      <c r="Q235">
        <v>1000</v>
      </c>
      <c r="W235">
        <v>0</v>
      </c>
      <c r="X235">
        <v>-714836380</v>
      </c>
      <c r="Y235">
        <v>8.0000000000000007E-5</v>
      </c>
      <c r="AA235">
        <v>79425.58</v>
      </c>
      <c r="AB235">
        <v>0</v>
      </c>
      <c r="AC235">
        <v>0</v>
      </c>
      <c r="AD235">
        <v>0</v>
      </c>
      <c r="AE235">
        <v>10315.01</v>
      </c>
      <c r="AF235">
        <v>0</v>
      </c>
      <c r="AG235">
        <v>0</v>
      </c>
      <c r="AH235">
        <v>0</v>
      </c>
      <c r="AI235">
        <v>7.7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8.0000000000000007E-5</v>
      </c>
      <c r="AU235" t="s">
        <v>6</v>
      </c>
      <c r="AV235">
        <v>0</v>
      </c>
      <c r="AW235">
        <v>2</v>
      </c>
      <c r="AX235">
        <v>26914490</v>
      </c>
      <c r="AY235">
        <v>1</v>
      </c>
      <c r="AZ235">
        <v>0</v>
      </c>
      <c r="BA235">
        <v>227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Y235*Source!I97</f>
        <v>1.2800000000000001E-3</v>
      </c>
      <c r="CY235">
        <f t="shared" si="15"/>
        <v>79425.58</v>
      </c>
      <c r="CZ235">
        <f t="shared" si="16"/>
        <v>10315.01</v>
      </c>
      <c r="DA235">
        <f t="shared" si="17"/>
        <v>7.7</v>
      </c>
      <c r="DB235">
        <v>0</v>
      </c>
    </row>
    <row r="236" spans="1:106" x14ac:dyDescent="0.2">
      <c r="A236">
        <f>ROW(Source!A97)</f>
        <v>97</v>
      </c>
      <c r="B236">
        <v>26914189</v>
      </c>
      <c r="C236">
        <v>26914475</v>
      </c>
      <c r="D236">
        <v>25152569</v>
      </c>
      <c r="E236">
        <v>1</v>
      </c>
      <c r="F236">
        <v>1</v>
      </c>
      <c r="G236">
        <v>1</v>
      </c>
      <c r="H236">
        <v>3</v>
      </c>
      <c r="I236" t="s">
        <v>474</v>
      </c>
      <c r="J236" t="s">
        <v>475</v>
      </c>
      <c r="K236" t="s">
        <v>476</v>
      </c>
      <c r="L236">
        <v>1348</v>
      </c>
      <c r="N236">
        <v>1009</v>
      </c>
      <c r="O236" t="s">
        <v>24</v>
      </c>
      <c r="P236" t="s">
        <v>24</v>
      </c>
      <c r="Q236">
        <v>1000</v>
      </c>
      <c r="W236">
        <v>0</v>
      </c>
      <c r="X236">
        <v>960438781</v>
      </c>
      <c r="Y236">
        <v>3.0000000000000001E-3</v>
      </c>
      <c r="AA236">
        <v>77523.600000000006</v>
      </c>
      <c r="AB236">
        <v>0</v>
      </c>
      <c r="AC236">
        <v>0</v>
      </c>
      <c r="AD236">
        <v>0</v>
      </c>
      <c r="AE236">
        <v>10068</v>
      </c>
      <c r="AF236">
        <v>0</v>
      </c>
      <c r="AG236">
        <v>0</v>
      </c>
      <c r="AH236">
        <v>0</v>
      </c>
      <c r="AI236">
        <v>7.7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3.0000000000000001E-3</v>
      </c>
      <c r="AU236" t="s">
        <v>6</v>
      </c>
      <c r="AV236">
        <v>0</v>
      </c>
      <c r="AW236">
        <v>2</v>
      </c>
      <c r="AX236">
        <v>26914491</v>
      </c>
      <c r="AY236">
        <v>1</v>
      </c>
      <c r="AZ236">
        <v>0</v>
      </c>
      <c r="BA236">
        <v>228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Y236*Source!I97</f>
        <v>4.8000000000000001E-2</v>
      </c>
      <c r="CY236">
        <f t="shared" si="15"/>
        <v>77523.600000000006</v>
      </c>
      <c r="CZ236">
        <f t="shared" si="16"/>
        <v>10068</v>
      </c>
      <c r="DA236">
        <f t="shared" si="17"/>
        <v>7.7</v>
      </c>
      <c r="DB236">
        <v>0</v>
      </c>
    </row>
    <row r="237" spans="1:106" x14ac:dyDescent="0.2">
      <c r="A237">
        <f>ROW(Source!A97)</f>
        <v>97</v>
      </c>
      <c r="B237">
        <v>26914189</v>
      </c>
      <c r="C237">
        <v>26914475</v>
      </c>
      <c r="D237">
        <v>25169983</v>
      </c>
      <c r="E237">
        <v>1</v>
      </c>
      <c r="F237">
        <v>1</v>
      </c>
      <c r="G237">
        <v>1</v>
      </c>
      <c r="H237">
        <v>3</v>
      </c>
      <c r="I237" t="s">
        <v>174</v>
      </c>
      <c r="J237" t="s">
        <v>177</v>
      </c>
      <c r="K237" t="s">
        <v>175</v>
      </c>
      <c r="L237">
        <v>1354</v>
      </c>
      <c r="N237">
        <v>1010</v>
      </c>
      <c r="O237" t="s">
        <v>176</v>
      </c>
      <c r="P237" t="s">
        <v>176</v>
      </c>
      <c r="Q237">
        <v>1</v>
      </c>
      <c r="W237">
        <v>0</v>
      </c>
      <c r="X237">
        <v>-181413427</v>
      </c>
      <c r="Y237">
        <v>0.3125</v>
      </c>
      <c r="AA237">
        <v>46399.28</v>
      </c>
      <c r="AB237">
        <v>0</v>
      </c>
      <c r="AC237">
        <v>0</v>
      </c>
      <c r="AD237">
        <v>0</v>
      </c>
      <c r="AE237">
        <v>6025.88</v>
      </c>
      <c r="AF237">
        <v>0</v>
      </c>
      <c r="AG237">
        <v>0</v>
      </c>
      <c r="AH237">
        <v>0</v>
      </c>
      <c r="AI237">
        <v>7.7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6</v>
      </c>
      <c r="AT237">
        <v>0.3125</v>
      </c>
      <c r="AU237" t="s">
        <v>6</v>
      </c>
      <c r="AV237">
        <v>0</v>
      </c>
      <c r="AW237">
        <v>1</v>
      </c>
      <c r="AX237">
        <v>-1</v>
      </c>
      <c r="AY237">
        <v>0</v>
      </c>
      <c r="AZ237">
        <v>0</v>
      </c>
      <c r="BA237" t="s">
        <v>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Y237*Source!I97</f>
        <v>5</v>
      </c>
      <c r="CY237">
        <f t="shared" si="15"/>
        <v>46399.28</v>
      </c>
      <c r="CZ237">
        <f t="shared" si="16"/>
        <v>6025.88</v>
      </c>
      <c r="DA237">
        <f t="shared" si="17"/>
        <v>7.7</v>
      </c>
      <c r="DB237">
        <v>0</v>
      </c>
    </row>
    <row r="238" spans="1:106" x14ac:dyDescent="0.2">
      <c r="A238">
        <f>ROW(Source!A97)</f>
        <v>97</v>
      </c>
      <c r="B238">
        <v>26914189</v>
      </c>
      <c r="C238">
        <v>26914475</v>
      </c>
      <c r="D238">
        <v>25186957</v>
      </c>
      <c r="E238">
        <v>1</v>
      </c>
      <c r="F238">
        <v>1</v>
      </c>
      <c r="G238">
        <v>1</v>
      </c>
      <c r="H238">
        <v>3</v>
      </c>
      <c r="I238" t="s">
        <v>477</v>
      </c>
      <c r="J238" t="s">
        <v>478</v>
      </c>
      <c r="K238" t="s">
        <v>479</v>
      </c>
      <c r="L238">
        <v>1354</v>
      </c>
      <c r="N238">
        <v>1010</v>
      </c>
      <c r="O238" t="s">
        <v>176</v>
      </c>
      <c r="P238" t="s">
        <v>176</v>
      </c>
      <c r="Q238">
        <v>1</v>
      </c>
      <c r="W238">
        <v>0</v>
      </c>
      <c r="X238">
        <v>-1153960265</v>
      </c>
      <c r="Y238">
        <v>0.19</v>
      </c>
      <c r="AA238">
        <v>847.85</v>
      </c>
      <c r="AB238">
        <v>0</v>
      </c>
      <c r="AC238">
        <v>0</v>
      </c>
      <c r="AD238">
        <v>0</v>
      </c>
      <c r="AE238">
        <v>110.11</v>
      </c>
      <c r="AF238">
        <v>0</v>
      </c>
      <c r="AG238">
        <v>0</v>
      </c>
      <c r="AH238">
        <v>0</v>
      </c>
      <c r="AI238">
        <v>7.7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0.19</v>
      </c>
      <c r="AU238" t="s">
        <v>6</v>
      </c>
      <c r="AV238">
        <v>0</v>
      </c>
      <c r="AW238">
        <v>2</v>
      </c>
      <c r="AX238">
        <v>26914493</v>
      </c>
      <c r="AY238">
        <v>1</v>
      </c>
      <c r="AZ238">
        <v>0</v>
      </c>
      <c r="BA238">
        <v>230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Y238*Source!I97</f>
        <v>3.04</v>
      </c>
      <c r="CY238">
        <f t="shared" si="15"/>
        <v>847.85</v>
      </c>
      <c r="CZ238">
        <f t="shared" si="16"/>
        <v>110.11</v>
      </c>
      <c r="DA238">
        <f t="shared" si="17"/>
        <v>7.7</v>
      </c>
      <c r="DB238">
        <v>0</v>
      </c>
    </row>
    <row r="239" spans="1:106" x14ac:dyDescent="0.2">
      <c r="A239">
        <f>ROW(Source!A104)</f>
        <v>104</v>
      </c>
      <c r="B239">
        <v>26914188</v>
      </c>
      <c r="C239">
        <v>26914497</v>
      </c>
      <c r="D239">
        <v>25416162</v>
      </c>
      <c r="E239">
        <v>1</v>
      </c>
      <c r="F239">
        <v>1</v>
      </c>
      <c r="G239">
        <v>1</v>
      </c>
      <c r="H239">
        <v>1</v>
      </c>
      <c r="I239" t="s">
        <v>480</v>
      </c>
      <c r="J239" t="s">
        <v>6</v>
      </c>
      <c r="K239" t="s">
        <v>481</v>
      </c>
      <c r="L239">
        <v>1191</v>
      </c>
      <c r="N239">
        <v>1013</v>
      </c>
      <c r="O239" t="s">
        <v>332</v>
      </c>
      <c r="P239" t="s">
        <v>332</v>
      </c>
      <c r="Q239">
        <v>1</v>
      </c>
      <c r="W239">
        <v>0</v>
      </c>
      <c r="X239">
        <v>-576067263</v>
      </c>
      <c r="Y239">
        <v>1.03</v>
      </c>
      <c r="AA239">
        <v>0</v>
      </c>
      <c r="AB239">
        <v>0</v>
      </c>
      <c r="AC239">
        <v>0</v>
      </c>
      <c r="AD239">
        <v>7.19</v>
      </c>
      <c r="AE239">
        <v>0</v>
      </c>
      <c r="AF239">
        <v>0</v>
      </c>
      <c r="AG239">
        <v>0</v>
      </c>
      <c r="AH239">
        <v>7.19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1.03</v>
      </c>
      <c r="AU239" t="s">
        <v>6</v>
      </c>
      <c r="AV239">
        <v>1</v>
      </c>
      <c r="AW239">
        <v>2</v>
      </c>
      <c r="AX239">
        <v>26914500</v>
      </c>
      <c r="AY239">
        <v>1</v>
      </c>
      <c r="AZ239">
        <v>0</v>
      </c>
      <c r="BA239">
        <v>231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Y239*Source!I104</f>
        <v>55.158971999999999</v>
      </c>
      <c r="CY239">
        <f>AD239</f>
        <v>7.19</v>
      </c>
      <c r="CZ239">
        <f>AH239</f>
        <v>7.19</v>
      </c>
      <c r="DA239">
        <f>AL239</f>
        <v>1</v>
      </c>
      <c r="DB239">
        <v>0</v>
      </c>
    </row>
    <row r="240" spans="1:106" x14ac:dyDescent="0.2">
      <c r="A240">
        <f>ROW(Source!A104)</f>
        <v>104</v>
      </c>
      <c r="B240">
        <v>26914188</v>
      </c>
      <c r="C240">
        <v>26914497</v>
      </c>
      <c r="D240">
        <v>25153656</v>
      </c>
      <c r="E240">
        <v>1</v>
      </c>
      <c r="F240">
        <v>1</v>
      </c>
      <c r="G240">
        <v>1</v>
      </c>
      <c r="H240">
        <v>3</v>
      </c>
      <c r="I240" t="s">
        <v>482</v>
      </c>
      <c r="J240" t="s">
        <v>483</v>
      </c>
      <c r="K240" t="s">
        <v>484</v>
      </c>
      <c r="L240">
        <v>1355</v>
      </c>
      <c r="N240">
        <v>1010</v>
      </c>
      <c r="O240" t="s">
        <v>411</v>
      </c>
      <c r="P240" t="s">
        <v>411</v>
      </c>
      <c r="Q240">
        <v>100</v>
      </c>
      <c r="W240">
        <v>0</v>
      </c>
      <c r="X240">
        <v>1092967459</v>
      </c>
      <c r="Y240">
        <v>0.2</v>
      </c>
      <c r="AA240">
        <v>82</v>
      </c>
      <c r="AB240">
        <v>0</v>
      </c>
      <c r="AC240">
        <v>0</v>
      </c>
      <c r="AD240">
        <v>0</v>
      </c>
      <c r="AE240">
        <v>82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0.2</v>
      </c>
      <c r="AU240" t="s">
        <v>6</v>
      </c>
      <c r="AV240">
        <v>0</v>
      </c>
      <c r="AW240">
        <v>2</v>
      </c>
      <c r="AX240">
        <v>26914501</v>
      </c>
      <c r="AY240">
        <v>1</v>
      </c>
      <c r="AZ240">
        <v>0</v>
      </c>
      <c r="BA240">
        <v>232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Y240*Source!I104</f>
        <v>10.71048</v>
      </c>
      <c r="CY240">
        <f>AA240</f>
        <v>82</v>
      </c>
      <c r="CZ240">
        <f>AE240</f>
        <v>82</v>
      </c>
      <c r="DA240">
        <f>AI240</f>
        <v>1</v>
      </c>
      <c r="DB240">
        <v>0</v>
      </c>
    </row>
    <row r="241" spans="1:106" x14ac:dyDescent="0.2">
      <c r="A241">
        <f>ROW(Source!A105)</f>
        <v>105</v>
      </c>
      <c r="B241">
        <v>26914189</v>
      </c>
      <c r="C241">
        <v>26914497</v>
      </c>
      <c r="D241">
        <v>25416162</v>
      </c>
      <c r="E241">
        <v>1</v>
      </c>
      <c r="F241">
        <v>1</v>
      </c>
      <c r="G241">
        <v>1</v>
      </c>
      <c r="H241">
        <v>1</v>
      </c>
      <c r="I241" t="s">
        <v>480</v>
      </c>
      <c r="J241" t="s">
        <v>6</v>
      </c>
      <c r="K241" t="s">
        <v>481</v>
      </c>
      <c r="L241">
        <v>1191</v>
      </c>
      <c r="N241">
        <v>1013</v>
      </c>
      <c r="O241" t="s">
        <v>332</v>
      </c>
      <c r="P241" t="s">
        <v>332</v>
      </c>
      <c r="Q241">
        <v>1</v>
      </c>
      <c r="W241">
        <v>0</v>
      </c>
      <c r="X241">
        <v>-576067263</v>
      </c>
      <c r="Y241">
        <v>1.03</v>
      </c>
      <c r="AA241">
        <v>0</v>
      </c>
      <c r="AB241">
        <v>0</v>
      </c>
      <c r="AC241">
        <v>0</v>
      </c>
      <c r="AD241">
        <v>55.36</v>
      </c>
      <c r="AE241">
        <v>0</v>
      </c>
      <c r="AF241">
        <v>0</v>
      </c>
      <c r="AG241">
        <v>0</v>
      </c>
      <c r="AH241">
        <v>7.19</v>
      </c>
      <c r="AI241">
        <v>1</v>
      </c>
      <c r="AJ241">
        <v>1</v>
      </c>
      <c r="AK241">
        <v>1</v>
      </c>
      <c r="AL241">
        <v>7.7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1.03</v>
      </c>
      <c r="AU241" t="s">
        <v>6</v>
      </c>
      <c r="AV241">
        <v>1</v>
      </c>
      <c r="AW241">
        <v>2</v>
      </c>
      <c r="AX241">
        <v>26914500</v>
      </c>
      <c r="AY241">
        <v>1</v>
      </c>
      <c r="AZ241">
        <v>0</v>
      </c>
      <c r="BA241">
        <v>233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Y241*Source!I105</f>
        <v>55.158971999999999</v>
      </c>
      <c r="CY241">
        <f>AD241</f>
        <v>55.36</v>
      </c>
      <c r="CZ241">
        <f>AH241</f>
        <v>7.19</v>
      </c>
      <c r="DA241">
        <f>AL241</f>
        <v>7.7</v>
      </c>
      <c r="DB241">
        <v>0</v>
      </c>
    </row>
    <row r="242" spans="1:106" x14ac:dyDescent="0.2">
      <c r="A242">
        <f>ROW(Source!A105)</f>
        <v>105</v>
      </c>
      <c r="B242">
        <v>26914189</v>
      </c>
      <c r="C242">
        <v>26914497</v>
      </c>
      <c r="D242">
        <v>25153656</v>
      </c>
      <c r="E242">
        <v>1</v>
      </c>
      <c r="F242">
        <v>1</v>
      </c>
      <c r="G242">
        <v>1</v>
      </c>
      <c r="H242">
        <v>3</v>
      </c>
      <c r="I242" t="s">
        <v>482</v>
      </c>
      <c r="J242" t="s">
        <v>483</v>
      </c>
      <c r="K242" t="s">
        <v>484</v>
      </c>
      <c r="L242">
        <v>1355</v>
      </c>
      <c r="N242">
        <v>1010</v>
      </c>
      <c r="O242" t="s">
        <v>411</v>
      </c>
      <c r="P242" t="s">
        <v>411</v>
      </c>
      <c r="Q242">
        <v>100</v>
      </c>
      <c r="W242">
        <v>0</v>
      </c>
      <c r="X242">
        <v>1092967459</v>
      </c>
      <c r="Y242">
        <v>0.2</v>
      </c>
      <c r="AA242">
        <v>631.4</v>
      </c>
      <c r="AB242">
        <v>0</v>
      </c>
      <c r="AC242">
        <v>0</v>
      </c>
      <c r="AD242">
        <v>0</v>
      </c>
      <c r="AE242">
        <v>82</v>
      </c>
      <c r="AF242">
        <v>0</v>
      </c>
      <c r="AG242">
        <v>0</v>
      </c>
      <c r="AH242">
        <v>0</v>
      </c>
      <c r="AI242">
        <v>7.7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0.2</v>
      </c>
      <c r="AU242" t="s">
        <v>6</v>
      </c>
      <c r="AV242">
        <v>0</v>
      </c>
      <c r="AW242">
        <v>2</v>
      </c>
      <c r="AX242">
        <v>26914501</v>
      </c>
      <c r="AY242">
        <v>1</v>
      </c>
      <c r="AZ242">
        <v>0</v>
      </c>
      <c r="BA242">
        <v>234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Y242*Source!I105</f>
        <v>10.71048</v>
      </c>
      <c r="CY242">
        <f>AA242</f>
        <v>631.4</v>
      </c>
      <c r="CZ242">
        <f>AE242</f>
        <v>82</v>
      </c>
      <c r="DA242">
        <f>AI242</f>
        <v>7.7</v>
      </c>
      <c r="DB242">
        <v>0</v>
      </c>
    </row>
    <row r="243" spans="1:106" x14ac:dyDescent="0.2">
      <c r="A243">
        <f>ROW(Source!A106)</f>
        <v>106</v>
      </c>
      <c r="B243">
        <v>26914188</v>
      </c>
      <c r="C243">
        <v>26914502</v>
      </c>
      <c r="D243">
        <v>9670109</v>
      </c>
      <c r="E243">
        <v>1</v>
      </c>
      <c r="F243">
        <v>1</v>
      </c>
      <c r="G243">
        <v>1</v>
      </c>
      <c r="H243">
        <v>1</v>
      </c>
      <c r="I243" t="s">
        <v>485</v>
      </c>
      <c r="J243" t="s">
        <v>6</v>
      </c>
      <c r="K243" t="s">
        <v>486</v>
      </c>
      <c r="L243">
        <v>1369</v>
      </c>
      <c r="N243">
        <v>1013</v>
      </c>
      <c r="O243" t="s">
        <v>487</v>
      </c>
      <c r="P243" t="s">
        <v>487</v>
      </c>
      <c r="Q243">
        <v>1</v>
      </c>
      <c r="W243">
        <v>0</v>
      </c>
      <c r="X243">
        <v>317644410</v>
      </c>
      <c r="Y243">
        <v>0.57769999999999999</v>
      </c>
      <c r="AA243">
        <v>0</v>
      </c>
      <c r="AB243">
        <v>0</v>
      </c>
      <c r="AC243">
        <v>0</v>
      </c>
      <c r="AD243">
        <v>7.19</v>
      </c>
      <c r="AE243">
        <v>0</v>
      </c>
      <c r="AF243">
        <v>0</v>
      </c>
      <c r="AG243">
        <v>0</v>
      </c>
      <c r="AH243">
        <v>7.19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0.57769999999999999</v>
      </c>
      <c r="AU243" t="s">
        <v>6</v>
      </c>
      <c r="AV243">
        <v>1</v>
      </c>
      <c r="AW243">
        <v>2</v>
      </c>
      <c r="AX243">
        <v>26914505</v>
      </c>
      <c r="AY243">
        <v>1</v>
      </c>
      <c r="AZ243">
        <v>0</v>
      </c>
      <c r="BA243">
        <v>235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Y243*Source!I106</f>
        <v>33.512457877999999</v>
      </c>
      <c r="CY243">
        <f>AD243</f>
        <v>7.19</v>
      </c>
      <c r="CZ243">
        <f>AH243</f>
        <v>7.19</v>
      </c>
      <c r="DA243">
        <f>AL243</f>
        <v>1</v>
      </c>
      <c r="DB243">
        <v>0</v>
      </c>
    </row>
    <row r="244" spans="1:106" x14ac:dyDescent="0.2">
      <c r="A244">
        <f>ROW(Source!A106)</f>
        <v>106</v>
      </c>
      <c r="B244">
        <v>26914188</v>
      </c>
      <c r="C244">
        <v>26914502</v>
      </c>
      <c r="D244">
        <v>21132480</v>
      </c>
      <c r="E244">
        <v>1</v>
      </c>
      <c r="F244">
        <v>1</v>
      </c>
      <c r="G244">
        <v>1</v>
      </c>
      <c r="H244">
        <v>2</v>
      </c>
      <c r="I244" t="s">
        <v>488</v>
      </c>
      <c r="J244" t="s">
        <v>489</v>
      </c>
      <c r="K244" t="s">
        <v>490</v>
      </c>
      <c r="L244">
        <v>1368</v>
      </c>
      <c r="N244">
        <v>1011</v>
      </c>
      <c r="O244" t="s">
        <v>338</v>
      </c>
      <c r="P244" t="s">
        <v>338</v>
      </c>
      <c r="Q244">
        <v>1</v>
      </c>
      <c r="W244">
        <v>0</v>
      </c>
      <c r="X244">
        <v>1020660697</v>
      </c>
      <c r="Y244">
        <v>0.28999999999999998</v>
      </c>
      <c r="AA244">
        <v>0</v>
      </c>
      <c r="AB244">
        <v>111</v>
      </c>
      <c r="AC244">
        <v>11.6</v>
      </c>
      <c r="AD244">
        <v>0</v>
      </c>
      <c r="AE244">
        <v>0</v>
      </c>
      <c r="AF244">
        <v>111</v>
      </c>
      <c r="AG244">
        <v>11.6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0.28999999999999998</v>
      </c>
      <c r="AU244" t="s">
        <v>6</v>
      </c>
      <c r="AV244">
        <v>0</v>
      </c>
      <c r="AW244">
        <v>2</v>
      </c>
      <c r="AX244">
        <v>26914506</v>
      </c>
      <c r="AY244">
        <v>1</v>
      </c>
      <c r="AZ244">
        <v>0</v>
      </c>
      <c r="BA244">
        <v>236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Y244*Source!I106</f>
        <v>16.822940599999999</v>
      </c>
      <c r="CY244">
        <f>AB244</f>
        <v>111</v>
      </c>
      <c r="CZ244">
        <f>AF244</f>
        <v>111</v>
      </c>
      <c r="DA244">
        <f>AJ244</f>
        <v>1</v>
      </c>
      <c r="DB244">
        <v>0</v>
      </c>
    </row>
    <row r="245" spans="1:106" x14ac:dyDescent="0.2">
      <c r="A245">
        <f>ROW(Source!A107)</f>
        <v>107</v>
      </c>
      <c r="B245">
        <v>26914189</v>
      </c>
      <c r="C245">
        <v>26914502</v>
      </c>
      <c r="D245">
        <v>9670109</v>
      </c>
      <c r="E245">
        <v>1</v>
      </c>
      <c r="F245">
        <v>1</v>
      </c>
      <c r="G245">
        <v>1</v>
      </c>
      <c r="H245">
        <v>1</v>
      </c>
      <c r="I245" t="s">
        <v>485</v>
      </c>
      <c r="J245" t="s">
        <v>6</v>
      </c>
      <c r="K245" t="s">
        <v>486</v>
      </c>
      <c r="L245">
        <v>1369</v>
      </c>
      <c r="N245">
        <v>1013</v>
      </c>
      <c r="O245" t="s">
        <v>487</v>
      </c>
      <c r="P245" t="s">
        <v>487</v>
      </c>
      <c r="Q245">
        <v>1</v>
      </c>
      <c r="W245">
        <v>0</v>
      </c>
      <c r="X245">
        <v>317644410</v>
      </c>
      <c r="Y245">
        <v>0.57769999999999999</v>
      </c>
      <c r="AA245">
        <v>0</v>
      </c>
      <c r="AB245">
        <v>0</v>
      </c>
      <c r="AC245">
        <v>0</v>
      </c>
      <c r="AD245">
        <v>55.36</v>
      </c>
      <c r="AE245">
        <v>0</v>
      </c>
      <c r="AF245">
        <v>0</v>
      </c>
      <c r="AG245">
        <v>0</v>
      </c>
      <c r="AH245">
        <v>7.19</v>
      </c>
      <c r="AI245">
        <v>1</v>
      </c>
      <c r="AJ245">
        <v>1</v>
      </c>
      <c r="AK245">
        <v>1</v>
      </c>
      <c r="AL245">
        <v>7.7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0.57769999999999999</v>
      </c>
      <c r="AU245" t="s">
        <v>6</v>
      </c>
      <c r="AV245">
        <v>1</v>
      </c>
      <c r="AW245">
        <v>2</v>
      </c>
      <c r="AX245">
        <v>26914505</v>
      </c>
      <c r="AY245">
        <v>1</v>
      </c>
      <c r="AZ245">
        <v>0</v>
      </c>
      <c r="BA245">
        <v>237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Y245*Source!I107</f>
        <v>33.512457877999999</v>
      </c>
      <c r="CY245">
        <f>AD245</f>
        <v>55.36</v>
      </c>
      <c r="CZ245">
        <f>AH245</f>
        <v>7.19</v>
      </c>
      <c r="DA245">
        <f>AL245</f>
        <v>7.7</v>
      </c>
      <c r="DB245">
        <v>0</v>
      </c>
    </row>
    <row r="246" spans="1:106" x14ac:dyDescent="0.2">
      <c r="A246">
        <f>ROW(Source!A107)</f>
        <v>107</v>
      </c>
      <c r="B246">
        <v>26914189</v>
      </c>
      <c r="C246">
        <v>26914502</v>
      </c>
      <c r="D246">
        <v>21132480</v>
      </c>
      <c r="E246">
        <v>1</v>
      </c>
      <c r="F246">
        <v>1</v>
      </c>
      <c r="G246">
        <v>1</v>
      </c>
      <c r="H246">
        <v>2</v>
      </c>
      <c r="I246" t="s">
        <v>488</v>
      </c>
      <c r="J246" t="s">
        <v>489</v>
      </c>
      <c r="K246" t="s">
        <v>490</v>
      </c>
      <c r="L246">
        <v>1368</v>
      </c>
      <c r="N246">
        <v>1011</v>
      </c>
      <c r="O246" t="s">
        <v>338</v>
      </c>
      <c r="P246" t="s">
        <v>338</v>
      </c>
      <c r="Q246">
        <v>1</v>
      </c>
      <c r="W246">
        <v>0</v>
      </c>
      <c r="X246">
        <v>1020660697</v>
      </c>
      <c r="Y246">
        <v>0.28999999999999998</v>
      </c>
      <c r="AA246">
        <v>0</v>
      </c>
      <c r="AB246">
        <v>854.7</v>
      </c>
      <c r="AC246">
        <v>11.6</v>
      </c>
      <c r="AD246">
        <v>0</v>
      </c>
      <c r="AE246">
        <v>0</v>
      </c>
      <c r="AF246">
        <v>111</v>
      </c>
      <c r="AG246">
        <v>11.6</v>
      </c>
      <c r="AH246">
        <v>0</v>
      </c>
      <c r="AI246">
        <v>1</v>
      </c>
      <c r="AJ246">
        <v>7.7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0.28999999999999998</v>
      </c>
      <c r="AU246" t="s">
        <v>6</v>
      </c>
      <c r="AV246">
        <v>0</v>
      </c>
      <c r="AW246">
        <v>2</v>
      </c>
      <c r="AX246">
        <v>26914506</v>
      </c>
      <c r="AY246">
        <v>1</v>
      </c>
      <c r="AZ246">
        <v>0</v>
      </c>
      <c r="BA246">
        <v>238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Y246*Source!I107</f>
        <v>16.822940599999999</v>
      </c>
      <c r="CY246">
        <f>AB246</f>
        <v>854.7</v>
      </c>
      <c r="CZ246">
        <f>AF246</f>
        <v>111</v>
      </c>
      <c r="DA246">
        <f>AJ246</f>
        <v>7.7</v>
      </c>
      <c r="DB24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26914256</v>
      </c>
      <c r="C1">
        <v>26914251</v>
      </c>
      <c r="D1">
        <v>25413050</v>
      </c>
      <c r="E1">
        <v>1</v>
      </c>
      <c r="F1">
        <v>1</v>
      </c>
      <c r="G1">
        <v>1</v>
      </c>
      <c r="H1">
        <v>1</v>
      </c>
      <c r="I1" t="s">
        <v>330</v>
      </c>
      <c r="J1" t="s">
        <v>6</v>
      </c>
      <c r="K1" t="s">
        <v>331</v>
      </c>
      <c r="L1">
        <v>1191</v>
      </c>
      <c r="N1">
        <v>1013</v>
      </c>
      <c r="O1" t="s">
        <v>332</v>
      </c>
      <c r="P1" t="s">
        <v>332</v>
      </c>
      <c r="Q1">
        <v>1</v>
      </c>
      <c r="X1">
        <v>11.39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6</v>
      </c>
      <c r="AG1">
        <v>11.39</v>
      </c>
      <c r="AH1">
        <v>2</v>
      </c>
      <c r="AI1">
        <v>26914252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26914257</v>
      </c>
      <c r="C2">
        <v>26914251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333</v>
      </c>
      <c r="J2" t="s">
        <v>6</v>
      </c>
      <c r="K2" t="s">
        <v>334</v>
      </c>
      <c r="L2">
        <v>1191</v>
      </c>
      <c r="N2">
        <v>1013</v>
      </c>
      <c r="O2" t="s">
        <v>332</v>
      </c>
      <c r="P2" t="s">
        <v>332</v>
      </c>
      <c r="Q2">
        <v>1</v>
      </c>
      <c r="X2">
        <v>0.13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0.13</v>
      </c>
      <c r="AH2">
        <v>2</v>
      </c>
      <c r="AI2">
        <v>26914253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26914258</v>
      </c>
      <c r="C3">
        <v>26914251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335</v>
      </c>
      <c r="J3" t="s">
        <v>336</v>
      </c>
      <c r="K3" t="s">
        <v>337</v>
      </c>
      <c r="L3">
        <v>1368</v>
      </c>
      <c r="N3">
        <v>1011</v>
      </c>
      <c r="O3" t="s">
        <v>338</v>
      </c>
      <c r="P3" t="s">
        <v>338</v>
      </c>
      <c r="Q3">
        <v>1</v>
      </c>
      <c r="X3">
        <v>0.13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0.13</v>
      </c>
      <c r="AH3">
        <v>2</v>
      </c>
      <c r="AI3">
        <v>26914254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26914259</v>
      </c>
      <c r="C4">
        <v>26914251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22</v>
      </c>
      <c r="J4" t="s">
        <v>6</v>
      </c>
      <c r="K4" t="s">
        <v>23</v>
      </c>
      <c r="L4">
        <v>1348</v>
      </c>
      <c r="N4">
        <v>1009</v>
      </c>
      <c r="O4" t="s">
        <v>24</v>
      </c>
      <c r="P4" t="s">
        <v>24</v>
      </c>
      <c r="Q4">
        <v>1000</v>
      </c>
      <c r="X4">
        <v>0.47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0.47</v>
      </c>
      <c r="AH4">
        <v>2</v>
      </c>
      <c r="AI4">
        <v>26914255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26914256</v>
      </c>
      <c r="C5">
        <v>26914251</v>
      </c>
      <c r="D5">
        <v>25413050</v>
      </c>
      <c r="E5">
        <v>1</v>
      </c>
      <c r="F5">
        <v>1</v>
      </c>
      <c r="G5">
        <v>1</v>
      </c>
      <c r="H5">
        <v>1</v>
      </c>
      <c r="I5" t="s">
        <v>330</v>
      </c>
      <c r="J5" t="s">
        <v>6</v>
      </c>
      <c r="K5" t="s">
        <v>331</v>
      </c>
      <c r="L5">
        <v>1191</v>
      </c>
      <c r="N5">
        <v>1013</v>
      </c>
      <c r="O5" t="s">
        <v>332</v>
      </c>
      <c r="P5" t="s">
        <v>332</v>
      </c>
      <c r="Q5">
        <v>1</v>
      </c>
      <c r="X5">
        <v>11.39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6</v>
      </c>
      <c r="AG5">
        <v>11.39</v>
      </c>
      <c r="AH5">
        <v>2</v>
      </c>
      <c r="AI5">
        <v>26914252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26914257</v>
      </c>
      <c r="C6">
        <v>26914251</v>
      </c>
      <c r="D6">
        <v>25412928</v>
      </c>
      <c r="E6">
        <v>1</v>
      </c>
      <c r="F6">
        <v>1</v>
      </c>
      <c r="G6">
        <v>1</v>
      </c>
      <c r="H6">
        <v>1</v>
      </c>
      <c r="I6" t="s">
        <v>333</v>
      </c>
      <c r="J6" t="s">
        <v>6</v>
      </c>
      <c r="K6" t="s">
        <v>334</v>
      </c>
      <c r="L6">
        <v>1191</v>
      </c>
      <c r="N6">
        <v>1013</v>
      </c>
      <c r="O6" t="s">
        <v>332</v>
      </c>
      <c r="P6" t="s">
        <v>332</v>
      </c>
      <c r="Q6">
        <v>1</v>
      </c>
      <c r="X6">
        <v>0.13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6</v>
      </c>
      <c r="AG6">
        <v>0.13</v>
      </c>
      <c r="AH6">
        <v>2</v>
      </c>
      <c r="AI6">
        <v>26914253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26914258</v>
      </c>
      <c r="C7">
        <v>26914251</v>
      </c>
      <c r="D7">
        <v>25230514</v>
      </c>
      <c r="E7">
        <v>1</v>
      </c>
      <c r="F7">
        <v>1</v>
      </c>
      <c r="G7">
        <v>1</v>
      </c>
      <c r="H7">
        <v>2</v>
      </c>
      <c r="I7" t="s">
        <v>335</v>
      </c>
      <c r="J7" t="s">
        <v>336</v>
      </c>
      <c r="K7" t="s">
        <v>337</v>
      </c>
      <c r="L7">
        <v>1368</v>
      </c>
      <c r="N7">
        <v>1011</v>
      </c>
      <c r="O7" t="s">
        <v>338</v>
      </c>
      <c r="P7" t="s">
        <v>338</v>
      </c>
      <c r="Q7">
        <v>1</v>
      </c>
      <c r="X7">
        <v>0.13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0.13</v>
      </c>
      <c r="AH7">
        <v>2</v>
      </c>
      <c r="AI7">
        <v>26914254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26914259</v>
      </c>
      <c r="C8">
        <v>26914251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22</v>
      </c>
      <c r="J8" t="s">
        <v>6</v>
      </c>
      <c r="K8" t="s">
        <v>23</v>
      </c>
      <c r="L8">
        <v>1348</v>
      </c>
      <c r="N8">
        <v>1009</v>
      </c>
      <c r="O8" t="s">
        <v>24</v>
      </c>
      <c r="P8" t="s">
        <v>24</v>
      </c>
      <c r="Q8">
        <v>1000</v>
      </c>
      <c r="X8">
        <v>0.47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0.47</v>
      </c>
      <c r="AH8">
        <v>2</v>
      </c>
      <c r="AI8">
        <v>26914255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26914264</v>
      </c>
      <c r="C9">
        <v>26914261</v>
      </c>
      <c r="D9">
        <v>25413050</v>
      </c>
      <c r="E9">
        <v>1</v>
      </c>
      <c r="F9">
        <v>1</v>
      </c>
      <c r="G9">
        <v>1</v>
      </c>
      <c r="H9">
        <v>1</v>
      </c>
      <c r="I9" t="s">
        <v>330</v>
      </c>
      <c r="J9" t="s">
        <v>6</v>
      </c>
      <c r="K9" t="s">
        <v>331</v>
      </c>
      <c r="L9">
        <v>1191</v>
      </c>
      <c r="N9">
        <v>1013</v>
      </c>
      <c r="O9" t="s">
        <v>332</v>
      </c>
      <c r="P9" t="s">
        <v>332</v>
      </c>
      <c r="Q9">
        <v>1</v>
      </c>
      <c r="X9">
        <v>3.77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6</v>
      </c>
      <c r="AG9">
        <v>3.77</v>
      </c>
      <c r="AH9">
        <v>2</v>
      </c>
      <c r="AI9">
        <v>26914262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ROW(Source!A28)</f>
        <v>28</v>
      </c>
      <c r="B10">
        <v>26914265</v>
      </c>
      <c r="C10">
        <v>26914261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22</v>
      </c>
      <c r="J10" t="s">
        <v>6</v>
      </c>
      <c r="K10" t="s">
        <v>23</v>
      </c>
      <c r="L10">
        <v>1348</v>
      </c>
      <c r="N10">
        <v>1009</v>
      </c>
      <c r="O10" t="s">
        <v>24</v>
      </c>
      <c r="P10" t="s">
        <v>24</v>
      </c>
      <c r="Q10">
        <v>1000</v>
      </c>
      <c r="X10">
        <v>0.11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6</v>
      </c>
      <c r="AG10">
        <v>0.11</v>
      </c>
      <c r="AH10">
        <v>2</v>
      </c>
      <c r="AI10">
        <v>26914263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26914264</v>
      </c>
      <c r="C11">
        <v>26914261</v>
      </c>
      <c r="D11">
        <v>25413050</v>
      </c>
      <c r="E11">
        <v>1</v>
      </c>
      <c r="F11">
        <v>1</v>
      </c>
      <c r="G11">
        <v>1</v>
      </c>
      <c r="H11">
        <v>1</v>
      </c>
      <c r="I11" t="s">
        <v>330</v>
      </c>
      <c r="J11" t="s">
        <v>6</v>
      </c>
      <c r="K11" t="s">
        <v>331</v>
      </c>
      <c r="L11">
        <v>1191</v>
      </c>
      <c r="N11">
        <v>1013</v>
      </c>
      <c r="O11" t="s">
        <v>332</v>
      </c>
      <c r="P11" t="s">
        <v>332</v>
      </c>
      <c r="Q11">
        <v>1</v>
      </c>
      <c r="X11">
        <v>3.77</v>
      </c>
      <c r="Y11">
        <v>0</v>
      </c>
      <c r="Z11">
        <v>0</v>
      </c>
      <c r="AA11">
        <v>0</v>
      </c>
      <c r="AB11">
        <v>7.8</v>
      </c>
      <c r="AC11">
        <v>0</v>
      </c>
      <c r="AD11">
        <v>1</v>
      </c>
      <c r="AE11">
        <v>1</v>
      </c>
      <c r="AF11" t="s">
        <v>6</v>
      </c>
      <c r="AG11">
        <v>3.77</v>
      </c>
      <c r="AH11">
        <v>2</v>
      </c>
      <c r="AI11">
        <v>26914262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26914265</v>
      </c>
      <c r="C12">
        <v>26914261</v>
      </c>
      <c r="D12">
        <v>25147242</v>
      </c>
      <c r="E12">
        <v>17</v>
      </c>
      <c r="F12">
        <v>1</v>
      </c>
      <c r="G12">
        <v>1</v>
      </c>
      <c r="H12">
        <v>3</v>
      </c>
      <c r="I12" t="s">
        <v>22</v>
      </c>
      <c r="J12" t="s">
        <v>6</v>
      </c>
      <c r="K12" t="s">
        <v>23</v>
      </c>
      <c r="L12">
        <v>1348</v>
      </c>
      <c r="N12">
        <v>1009</v>
      </c>
      <c r="O12" t="s">
        <v>24</v>
      </c>
      <c r="P12" t="s">
        <v>24</v>
      </c>
      <c r="Q12">
        <v>1000</v>
      </c>
      <c r="X12">
        <v>0.11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0.11</v>
      </c>
      <c r="AH12">
        <v>2</v>
      </c>
      <c r="AI12">
        <v>26914263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26914274</v>
      </c>
      <c r="C13">
        <v>26914267</v>
      </c>
      <c r="D13">
        <v>25413300</v>
      </c>
      <c r="E13">
        <v>1</v>
      </c>
      <c r="F13">
        <v>1</v>
      </c>
      <c r="G13">
        <v>1</v>
      </c>
      <c r="H13">
        <v>1</v>
      </c>
      <c r="I13" t="s">
        <v>339</v>
      </c>
      <c r="J13" t="s">
        <v>6</v>
      </c>
      <c r="K13" t="s">
        <v>340</v>
      </c>
      <c r="L13">
        <v>1191</v>
      </c>
      <c r="N13">
        <v>1013</v>
      </c>
      <c r="O13" t="s">
        <v>332</v>
      </c>
      <c r="P13" t="s">
        <v>332</v>
      </c>
      <c r="Q13">
        <v>1</v>
      </c>
      <c r="X13">
        <v>111.2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6</v>
      </c>
      <c r="AG13">
        <v>111.2</v>
      </c>
      <c r="AH13">
        <v>2</v>
      </c>
      <c r="AI13">
        <v>26914268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26914275</v>
      </c>
      <c r="C14">
        <v>26914267</v>
      </c>
      <c r="D14">
        <v>25412928</v>
      </c>
      <c r="E14">
        <v>1</v>
      </c>
      <c r="F14">
        <v>1</v>
      </c>
      <c r="G14">
        <v>1</v>
      </c>
      <c r="H14">
        <v>1</v>
      </c>
      <c r="I14" t="s">
        <v>333</v>
      </c>
      <c r="J14" t="s">
        <v>6</v>
      </c>
      <c r="K14" t="s">
        <v>334</v>
      </c>
      <c r="L14">
        <v>1191</v>
      </c>
      <c r="N14">
        <v>1013</v>
      </c>
      <c r="O14" t="s">
        <v>332</v>
      </c>
      <c r="P14" t="s">
        <v>332</v>
      </c>
      <c r="Q14">
        <v>1</v>
      </c>
      <c r="X14">
        <v>1.8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6</v>
      </c>
      <c r="AG14">
        <v>1.8</v>
      </c>
      <c r="AH14">
        <v>2</v>
      </c>
      <c r="AI14">
        <v>26914269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26914276</v>
      </c>
      <c r="C15">
        <v>26914267</v>
      </c>
      <c r="D15">
        <v>25230514</v>
      </c>
      <c r="E15">
        <v>1</v>
      </c>
      <c r="F15">
        <v>1</v>
      </c>
      <c r="G15">
        <v>1</v>
      </c>
      <c r="H15">
        <v>2</v>
      </c>
      <c r="I15" t="s">
        <v>335</v>
      </c>
      <c r="J15" t="s">
        <v>336</v>
      </c>
      <c r="K15" t="s">
        <v>337</v>
      </c>
      <c r="L15">
        <v>1368</v>
      </c>
      <c r="N15">
        <v>1011</v>
      </c>
      <c r="O15" t="s">
        <v>338</v>
      </c>
      <c r="P15" t="s">
        <v>338</v>
      </c>
      <c r="Q15">
        <v>1</v>
      </c>
      <c r="X15">
        <v>1.8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6</v>
      </c>
      <c r="AG15">
        <v>1.8</v>
      </c>
      <c r="AH15">
        <v>2</v>
      </c>
      <c r="AI15">
        <v>26914270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26914277</v>
      </c>
      <c r="C16">
        <v>26914267</v>
      </c>
      <c r="D16">
        <v>25231936</v>
      </c>
      <c r="E16">
        <v>1</v>
      </c>
      <c r="F16">
        <v>1</v>
      </c>
      <c r="G16">
        <v>1</v>
      </c>
      <c r="H16">
        <v>2</v>
      </c>
      <c r="I16" t="s">
        <v>341</v>
      </c>
      <c r="J16" t="s">
        <v>342</v>
      </c>
      <c r="K16" t="s">
        <v>343</v>
      </c>
      <c r="L16">
        <v>1368</v>
      </c>
      <c r="N16">
        <v>1011</v>
      </c>
      <c r="O16" t="s">
        <v>338</v>
      </c>
      <c r="P16" t="s">
        <v>338</v>
      </c>
      <c r="Q16">
        <v>1</v>
      </c>
      <c r="X16">
        <v>19.2</v>
      </c>
      <c r="Y16">
        <v>0</v>
      </c>
      <c r="Z16">
        <v>32.5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19.2</v>
      </c>
      <c r="AH16">
        <v>2</v>
      </c>
      <c r="AI16">
        <v>26914271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26914278</v>
      </c>
      <c r="C17">
        <v>26914267</v>
      </c>
      <c r="D17">
        <v>25232531</v>
      </c>
      <c r="E17">
        <v>1</v>
      </c>
      <c r="F17">
        <v>1</v>
      </c>
      <c r="G17">
        <v>1</v>
      </c>
      <c r="H17">
        <v>2</v>
      </c>
      <c r="I17" t="s">
        <v>344</v>
      </c>
      <c r="J17" t="s">
        <v>345</v>
      </c>
      <c r="K17" t="s">
        <v>346</v>
      </c>
      <c r="L17">
        <v>1368</v>
      </c>
      <c r="N17">
        <v>1011</v>
      </c>
      <c r="O17" t="s">
        <v>338</v>
      </c>
      <c r="P17" t="s">
        <v>338</v>
      </c>
      <c r="Q17">
        <v>1</v>
      </c>
      <c r="X17">
        <v>38.4</v>
      </c>
      <c r="Y17">
        <v>0</v>
      </c>
      <c r="Z17">
        <v>1.53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38.4</v>
      </c>
      <c r="AH17">
        <v>2</v>
      </c>
      <c r="AI17">
        <v>26914272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26914279</v>
      </c>
      <c r="C18">
        <v>26914267</v>
      </c>
      <c r="D18">
        <v>25147242</v>
      </c>
      <c r="E18">
        <v>17</v>
      </c>
      <c r="F18">
        <v>1</v>
      </c>
      <c r="G18">
        <v>1</v>
      </c>
      <c r="H18">
        <v>3</v>
      </c>
      <c r="I18" t="s">
        <v>22</v>
      </c>
      <c r="J18" t="s">
        <v>6</v>
      </c>
      <c r="K18" t="s">
        <v>23</v>
      </c>
      <c r="L18">
        <v>1348</v>
      </c>
      <c r="N18">
        <v>1009</v>
      </c>
      <c r="O18" t="s">
        <v>24</v>
      </c>
      <c r="P18" t="s">
        <v>24</v>
      </c>
      <c r="Q18">
        <v>1000</v>
      </c>
      <c r="X18">
        <v>6.6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6</v>
      </c>
      <c r="AG18">
        <v>6.6</v>
      </c>
      <c r="AH18">
        <v>2</v>
      </c>
      <c r="AI18">
        <v>26914273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ROW(Source!A33)</f>
        <v>33</v>
      </c>
      <c r="B19">
        <v>26914274</v>
      </c>
      <c r="C19">
        <v>26914267</v>
      </c>
      <c r="D19">
        <v>25413300</v>
      </c>
      <c r="E19">
        <v>1</v>
      </c>
      <c r="F19">
        <v>1</v>
      </c>
      <c r="G19">
        <v>1</v>
      </c>
      <c r="H19">
        <v>1</v>
      </c>
      <c r="I19" t="s">
        <v>339</v>
      </c>
      <c r="J19" t="s">
        <v>6</v>
      </c>
      <c r="K19" t="s">
        <v>340</v>
      </c>
      <c r="L19">
        <v>1191</v>
      </c>
      <c r="N19">
        <v>1013</v>
      </c>
      <c r="O19" t="s">
        <v>332</v>
      </c>
      <c r="P19" t="s">
        <v>332</v>
      </c>
      <c r="Q19">
        <v>1</v>
      </c>
      <c r="X19">
        <v>111.2</v>
      </c>
      <c r="Y19">
        <v>0</v>
      </c>
      <c r="Z19">
        <v>0</v>
      </c>
      <c r="AA19">
        <v>0</v>
      </c>
      <c r="AB19">
        <v>8.5299999999999994</v>
      </c>
      <c r="AC19">
        <v>0</v>
      </c>
      <c r="AD19">
        <v>1</v>
      </c>
      <c r="AE19">
        <v>1</v>
      </c>
      <c r="AF19" t="s">
        <v>6</v>
      </c>
      <c r="AG19">
        <v>111.2</v>
      </c>
      <c r="AH19">
        <v>2</v>
      </c>
      <c r="AI19">
        <v>26914268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26914275</v>
      </c>
      <c r="C20">
        <v>26914267</v>
      </c>
      <c r="D20">
        <v>25412928</v>
      </c>
      <c r="E20">
        <v>1</v>
      </c>
      <c r="F20">
        <v>1</v>
      </c>
      <c r="G20">
        <v>1</v>
      </c>
      <c r="H20">
        <v>1</v>
      </c>
      <c r="I20" t="s">
        <v>333</v>
      </c>
      <c r="J20" t="s">
        <v>6</v>
      </c>
      <c r="K20" t="s">
        <v>334</v>
      </c>
      <c r="L20">
        <v>1191</v>
      </c>
      <c r="N20">
        <v>1013</v>
      </c>
      <c r="O20" t="s">
        <v>332</v>
      </c>
      <c r="P20" t="s">
        <v>332</v>
      </c>
      <c r="Q20">
        <v>1</v>
      </c>
      <c r="X20">
        <v>1.8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6</v>
      </c>
      <c r="AG20">
        <v>1.8</v>
      </c>
      <c r="AH20">
        <v>2</v>
      </c>
      <c r="AI20">
        <v>26914269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ROW(Source!A33)</f>
        <v>33</v>
      </c>
      <c r="B21">
        <v>26914276</v>
      </c>
      <c r="C21">
        <v>26914267</v>
      </c>
      <c r="D21">
        <v>25230514</v>
      </c>
      <c r="E21">
        <v>1</v>
      </c>
      <c r="F21">
        <v>1</v>
      </c>
      <c r="G21">
        <v>1</v>
      </c>
      <c r="H21">
        <v>2</v>
      </c>
      <c r="I21" t="s">
        <v>335</v>
      </c>
      <c r="J21" t="s">
        <v>336</v>
      </c>
      <c r="K21" t="s">
        <v>337</v>
      </c>
      <c r="L21">
        <v>1368</v>
      </c>
      <c r="N21">
        <v>1011</v>
      </c>
      <c r="O21" t="s">
        <v>338</v>
      </c>
      <c r="P21" t="s">
        <v>338</v>
      </c>
      <c r="Q21">
        <v>1</v>
      </c>
      <c r="X21">
        <v>1.8</v>
      </c>
      <c r="Y21">
        <v>0</v>
      </c>
      <c r="Z21">
        <v>31.26</v>
      </c>
      <c r="AA21">
        <v>13.5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1.8</v>
      </c>
      <c r="AH21">
        <v>2</v>
      </c>
      <c r="AI21">
        <v>26914270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26914277</v>
      </c>
      <c r="C22">
        <v>26914267</v>
      </c>
      <c r="D22">
        <v>25231936</v>
      </c>
      <c r="E22">
        <v>1</v>
      </c>
      <c r="F22">
        <v>1</v>
      </c>
      <c r="G22">
        <v>1</v>
      </c>
      <c r="H22">
        <v>2</v>
      </c>
      <c r="I22" t="s">
        <v>341</v>
      </c>
      <c r="J22" t="s">
        <v>342</v>
      </c>
      <c r="K22" t="s">
        <v>343</v>
      </c>
      <c r="L22">
        <v>1368</v>
      </c>
      <c r="N22">
        <v>1011</v>
      </c>
      <c r="O22" t="s">
        <v>338</v>
      </c>
      <c r="P22" t="s">
        <v>338</v>
      </c>
      <c r="Q22">
        <v>1</v>
      </c>
      <c r="X22">
        <v>19.2</v>
      </c>
      <c r="Y22">
        <v>0</v>
      </c>
      <c r="Z22">
        <v>32.5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19.2</v>
      </c>
      <c r="AH22">
        <v>2</v>
      </c>
      <c r="AI22">
        <v>26914271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26914278</v>
      </c>
      <c r="C23">
        <v>26914267</v>
      </c>
      <c r="D23">
        <v>25232531</v>
      </c>
      <c r="E23">
        <v>1</v>
      </c>
      <c r="F23">
        <v>1</v>
      </c>
      <c r="G23">
        <v>1</v>
      </c>
      <c r="H23">
        <v>2</v>
      </c>
      <c r="I23" t="s">
        <v>344</v>
      </c>
      <c r="J23" t="s">
        <v>345</v>
      </c>
      <c r="K23" t="s">
        <v>346</v>
      </c>
      <c r="L23">
        <v>1368</v>
      </c>
      <c r="N23">
        <v>1011</v>
      </c>
      <c r="O23" t="s">
        <v>338</v>
      </c>
      <c r="P23" t="s">
        <v>338</v>
      </c>
      <c r="Q23">
        <v>1</v>
      </c>
      <c r="X23">
        <v>38.4</v>
      </c>
      <c r="Y23">
        <v>0</v>
      </c>
      <c r="Z23">
        <v>1.53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38.4</v>
      </c>
      <c r="AH23">
        <v>2</v>
      </c>
      <c r="AI23">
        <v>26914272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26914279</v>
      </c>
      <c r="C24">
        <v>26914267</v>
      </c>
      <c r="D24">
        <v>25147242</v>
      </c>
      <c r="E24">
        <v>17</v>
      </c>
      <c r="F24">
        <v>1</v>
      </c>
      <c r="G24">
        <v>1</v>
      </c>
      <c r="H24">
        <v>3</v>
      </c>
      <c r="I24" t="s">
        <v>22</v>
      </c>
      <c r="J24" t="s">
        <v>6</v>
      </c>
      <c r="K24" t="s">
        <v>23</v>
      </c>
      <c r="L24">
        <v>1348</v>
      </c>
      <c r="N24">
        <v>1009</v>
      </c>
      <c r="O24" t="s">
        <v>24</v>
      </c>
      <c r="P24" t="s">
        <v>24</v>
      </c>
      <c r="Q24">
        <v>1000</v>
      </c>
      <c r="X24">
        <v>6.6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6</v>
      </c>
      <c r="AG24">
        <v>6.6</v>
      </c>
      <c r="AH24">
        <v>2</v>
      </c>
      <c r="AI24">
        <v>26914273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ROW(Source!A36)</f>
        <v>36</v>
      </c>
      <c r="B25">
        <v>26914292</v>
      </c>
      <c r="C25">
        <v>26914281</v>
      </c>
      <c r="D25">
        <v>25418228</v>
      </c>
      <c r="E25">
        <v>1</v>
      </c>
      <c r="F25">
        <v>1</v>
      </c>
      <c r="G25">
        <v>1</v>
      </c>
      <c r="H25">
        <v>1</v>
      </c>
      <c r="I25" t="s">
        <v>347</v>
      </c>
      <c r="J25" t="s">
        <v>6</v>
      </c>
      <c r="K25" t="s">
        <v>348</v>
      </c>
      <c r="L25">
        <v>1191</v>
      </c>
      <c r="N25">
        <v>1013</v>
      </c>
      <c r="O25" t="s">
        <v>332</v>
      </c>
      <c r="P25" t="s">
        <v>332</v>
      </c>
      <c r="Q25">
        <v>1</v>
      </c>
      <c r="X25">
        <v>26.97</v>
      </c>
      <c r="Y25">
        <v>0</v>
      </c>
      <c r="Z25">
        <v>0</v>
      </c>
      <c r="AA25">
        <v>0</v>
      </c>
      <c r="AB25">
        <v>10.94</v>
      </c>
      <c r="AC25">
        <v>0</v>
      </c>
      <c r="AD25">
        <v>1</v>
      </c>
      <c r="AE25">
        <v>1</v>
      </c>
      <c r="AF25" t="s">
        <v>41</v>
      </c>
      <c r="AG25">
        <v>31.015499999999996</v>
      </c>
      <c r="AH25">
        <v>2</v>
      </c>
      <c r="AI25">
        <v>26914282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ROW(Source!A36)</f>
        <v>36</v>
      </c>
      <c r="B26">
        <v>26914293</v>
      </c>
      <c r="C26">
        <v>26914281</v>
      </c>
      <c r="D26">
        <v>25412928</v>
      </c>
      <c r="E26">
        <v>1</v>
      </c>
      <c r="F26">
        <v>1</v>
      </c>
      <c r="G26">
        <v>1</v>
      </c>
      <c r="H26">
        <v>1</v>
      </c>
      <c r="I26" t="s">
        <v>333</v>
      </c>
      <c r="J26" t="s">
        <v>6</v>
      </c>
      <c r="K26" t="s">
        <v>334</v>
      </c>
      <c r="L26">
        <v>1191</v>
      </c>
      <c r="N26">
        <v>1013</v>
      </c>
      <c r="O26" t="s">
        <v>332</v>
      </c>
      <c r="P26" t="s">
        <v>332</v>
      </c>
      <c r="Q26">
        <v>1</v>
      </c>
      <c r="X26">
        <v>7.0000000000000007E-2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40</v>
      </c>
      <c r="AG26">
        <v>8.7500000000000008E-2</v>
      </c>
      <c r="AH26">
        <v>2</v>
      </c>
      <c r="AI26">
        <v>26914283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ROW(Source!A36)</f>
        <v>36</v>
      </c>
      <c r="B27">
        <v>26914294</v>
      </c>
      <c r="C27">
        <v>26914281</v>
      </c>
      <c r="D27">
        <v>25230514</v>
      </c>
      <c r="E27">
        <v>1</v>
      </c>
      <c r="F27">
        <v>1</v>
      </c>
      <c r="G27">
        <v>1</v>
      </c>
      <c r="H27">
        <v>2</v>
      </c>
      <c r="I27" t="s">
        <v>335</v>
      </c>
      <c r="J27" t="s">
        <v>336</v>
      </c>
      <c r="K27" t="s">
        <v>337</v>
      </c>
      <c r="L27">
        <v>1368</v>
      </c>
      <c r="N27">
        <v>1011</v>
      </c>
      <c r="O27" t="s">
        <v>338</v>
      </c>
      <c r="P27" t="s">
        <v>338</v>
      </c>
      <c r="Q27">
        <v>1</v>
      </c>
      <c r="X27">
        <v>0.03</v>
      </c>
      <c r="Y27">
        <v>0</v>
      </c>
      <c r="Z27">
        <v>31.26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40</v>
      </c>
      <c r="AG27">
        <v>3.7499999999999999E-2</v>
      </c>
      <c r="AH27">
        <v>2</v>
      </c>
      <c r="AI27">
        <v>26914284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ROW(Source!A36)</f>
        <v>36</v>
      </c>
      <c r="B28">
        <v>26914295</v>
      </c>
      <c r="C28">
        <v>26914281</v>
      </c>
      <c r="D28">
        <v>25230844</v>
      </c>
      <c r="E28">
        <v>1</v>
      </c>
      <c r="F28">
        <v>1</v>
      </c>
      <c r="G28">
        <v>1</v>
      </c>
      <c r="H28">
        <v>2</v>
      </c>
      <c r="I28" t="s">
        <v>349</v>
      </c>
      <c r="J28" t="s">
        <v>350</v>
      </c>
      <c r="K28" t="s">
        <v>351</v>
      </c>
      <c r="L28">
        <v>1368</v>
      </c>
      <c r="N28">
        <v>1011</v>
      </c>
      <c r="O28" t="s">
        <v>338</v>
      </c>
      <c r="P28" t="s">
        <v>338</v>
      </c>
      <c r="Q28">
        <v>1</v>
      </c>
      <c r="X28">
        <v>0.72</v>
      </c>
      <c r="Y28">
        <v>0</v>
      </c>
      <c r="Z28">
        <v>30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40</v>
      </c>
      <c r="AG28">
        <v>0.89999999999999991</v>
      </c>
      <c r="AH28">
        <v>2</v>
      </c>
      <c r="AI28">
        <v>26914285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ROW(Source!A36)</f>
        <v>36</v>
      </c>
      <c r="B29">
        <v>26914296</v>
      </c>
      <c r="C29">
        <v>26914281</v>
      </c>
      <c r="D29">
        <v>25231607</v>
      </c>
      <c r="E29">
        <v>1</v>
      </c>
      <c r="F29">
        <v>1</v>
      </c>
      <c r="G29">
        <v>1</v>
      </c>
      <c r="H29">
        <v>2</v>
      </c>
      <c r="I29" t="s">
        <v>352</v>
      </c>
      <c r="J29" t="s">
        <v>353</v>
      </c>
      <c r="K29" t="s">
        <v>354</v>
      </c>
      <c r="L29">
        <v>1368</v>
      </c>
      <c r="N29">
        <v>1011</v>
      </c>
      <c r="O29" t="s">
        <v>338</v>
      </c>
      <c r="P29" t="s">
        <v>338</v>
      </c>
      <c r="Q29">
        <v>1</v>
      </c>
      <c r="X29">
        <v>0.04</v>
      </c>
      <c r="Y29">
        <v>0</v>
      </c>
      <c r="Z29">
        <v>65.709999999999994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40</v>
      </c>
      <c r="AG29">
        <v>0.05</v>
      </c>
      <c r="AH29">
        <v>2</v>
      </c>
      <c r="AI29">
        <v>26914286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ROW(Source!A36)</f>
        <v>36</v>
      </c>
      <c r="B30">
        <v>26914297</v>
      </c>
      <c r="C30">
        <v>26914281</v>
      </c>
      <c r="D30">
        <v>25232759</v>
      </c>
      <c r="E30">
        <v>1</v>
      </c>
      <c r="F30">
        <v>1</v>
      </c>
      <c r="G30">
        <v>1</v>
      </c>
      <c r="H30">
        <v>2</v>
      </c>
      <c r="I30" t="s">
        <v>355</v>
      </c>
      <c r="J30" t="s">
        <v>356</v>
      </c>
      <c r="K30" t="s">
        <v>357</v>
      </c>
      <c r="L30">
        <v>1368</v>
      </c>
      <c r="N30">
        <v>1011</v>
      </c>
      <c r="O30" t="s">
        <v>338</v>
      </c>
      <c r="P30" t="s">
        <v>338</v>
      </c>
      <c r="Q30">
        <v>1</v>
      </c>
      <c r="X30">
        <v>0.25</v>
      </c>
      <c r="Y30">
        <v>0</v>
      </c>
      <c r="Z30">
        <v>2.7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40</v>
      </c>
      <c r="AG30">
        <v>0.3125</v>
      </c>
      <c r="AH30">
        <v>2</v>
      </c>
      <c r="AI30">
        <v>26914287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ROW(Source!A36)</f>
        <v>36</v>
      </c>
      <c r="B31">
        <v>26914298</v>
      </c>
      <c r="C31">
        <v>26914281</v>
      </c>
      <c r="D31">
        <v>25148024</v>
      </c>
      <c r="E31">
        <v>1</v>
      </c>
      <c r="F31">
        <v>1</v>
      </c>
      <c r="G31">
        <v>1</v>
      </c>
      <c r="H31">
        <v>3</v>
      </c>
      <c r="I31" t="s">
        <v>53</v>
      </c>
      <c r="J31" t="s">
        <v>55</v>
      </c>
      <c r="K31" t="s">
        <v>54</v>
      </c>
      <c r="L31">
        <v>1348</v>
      </c>
      <c r="N31">
        <v>1009</v>
      </c>
      <c r="O31" t="s">
        <v>24</v>
      </c>
      <c r="P31" t="s">
        <v>24</v>
      </c>
      <c r="Q31">
        <v>1000</v>
      </c>
      <c r="X31">
        <v>0.02</v>
      </c>
      <c r="Y31">
        <v>1383.1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0.02</v>
      </c>
      <c r="AH31">
        <v>2</v>
      </c>
      <c r="AI31">
        <v>26914288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ROW(Source!A36)</f>
        <v>36</v>
      </c>
      <c r="B32">
        <v>26914299</v>
      </c>
      <c r="C32">
        <v>26914281</v>
      </c>
      <c r="D32">
        <v>25148217</v>
      </c>
      <c r="E32">
        <v>1</v>
      </c>
      <c r="F32">
        <v>1</v>
      </c>
      <c r="G32">
        <v>1</v>
      </c>
      <c r="H32">
        <v>3</v>
      </c>
      <c r="I32" t="s">
        <v>57</v>
      </c>
      <c r="J32" t="s">
        <v>59</v>
      </c>
      <c r="K32" t="s">
        <v>58</v>
      </c>
      <c r="L32">
        <v>1348</v>
      </c>
      <c r="N32">
        <v>1009</v>
      </c>
      <c r="O32" t="s">
        <v>24</v>
      </c>
      <c r="P32" t="s">
        <v>24</v>
      </c>
      <c r="Q32">
        <v>1000</v>
      </c>
      <c r="X32">
        <v>0.04</v>
      </c>
      <c r="Y32">
        <v>2606.9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0.04</v>
      </c>
      <c r="AH32">
        <v>2</v>
      </c>
      <c r="AI32">
        <v>26914289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26914300</v>
      </c>
      <c r="C33">
        <v>26914281</v>
      </c>
      <c r="D33">
        <v>25153690</v>
      </c>
      <c r="E33">
        <v>1</v>
      </c>
      <c r="F33">
        <v>1</v>
      </c>
      <c r="G33">
        <v>1</v>
      </c>
      <c r="H33">
        <v>3</v>
      </c>
      <c r="I33" t="s">
        <v>358</v>
      </c>
      <c r="J33" t="s">
        <v>359</v>
      </c>
      <c r="K33" t="s">
        <v>360</v>
      </c>
      <c r="L33">
        <v>1346</v>
      </c>
      <c r="N33">
        <v>1009</v>
      </c>
      <c r="O33" t="s">
        <v>50</v>
      </c>
      <c r="P33" t="s">
        <v>50</v>
      </c>
      <c r="Q33">
        <v>1</v>
      </c>
      <c r="X33">
        <v>0.5</v>
      </c>
      <c r="Y33">
        <v>1.82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0.5</v>
      </c>
      <c r="AH33">
        <v>2</v>
      </c>
      <c r="AI33">
        <v>26914290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26914292</v>
      </c>
      <c r="C34">
        <v>26914281</v>
      </c>
      <c r="D34">
        <v>25418228</v>
      </c>
      <c r="E34">
        <v>1</v>
      </c>
      <c r="F34">
        <v>1</v>
      </c>
      <c r="G34">
        <v>1</v>
      </c>
      <c r="H34">
        <v>1</v>
      </c>
      <c r="I34" t="s">
        <v>347</v>
      </c>
      <c r="J34" t="s">
        <v>6</v>
      </c>
      <c r="K34" t="s">
        <v>348</v>
      </c>
      <c r="L34">
        <v>1191</v>
      </c>
      <c r="N34">
        <v>1013</v>
      </c>
      <c r="O34" t="s">
        <v>332</v>
      </c>
      <c r="P34" t="s">
        <v>332</v>
      </c>
      <c r="Q34">
        <v>1</v>
      </c>
      <c r="X34">
        <v>26.97</v>
      </c>
      <c r="Y34">
        <v>0</v>
      </c>
      <c r="Z34">
        <v>0</v>
      </c>
      <c r="AA34">
        <v>0</v>
      </c>
      <c r="AB34">
        <v>10.94</v>
      </c>
      <c r="AC34">
        <v>0</v>
      </c>
      <c r="AD34">
        <v>1</v>
      </c>
      <c r="AE34">
        <v>1</v>
      </c>
      <c r="AF34" t="s">
        <v>41</v>
      </c>
      <c r="AG34">
        <v>31.015499999999996</v>
      </c>
      <c r="AH34">
        <v>2</v>
      </c>
      <c r="AI34">
        <v>26914282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26914293</v>
      </c>
      <c r="C35">
        <v>26914281</v>
      </c>
      <c r="D35">
        <v>25412928</v>
      </c>
      <c r="E35">
        <v>1</v>
      </c>
      <c r="F35">
        <v>1</v>
      </c>
      <c r="G35">
        <v>1</v>
      </c>
      <c r="H35">
        <v>1</v>
      </c>
      <c r="I35" t="s">
        <v>333</v>
      </c>
      <c r="J35" t="s">
        <v>6</v>
      </c>
      <c r="K35" t="s">
        <v>334</v>
      </c>
      <c r="L35">
        <v>1191</v>
      </c>
      <c r="N35">
        <v>1013</v>
      </c>
      <c r="O35" t="s">
        <v>332</v>
      </c>
      <c r="P35" t="s">
        <v>332</v>
      </c>
      <c r="Q35">
        <v>1</v>
      </c>
      <c r="X35">
        <v>7.0000000000000007E-2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40</v>
      </c>
      <c r="AG35">
        <v>8.7500000000000008E-2</v>
      </c>
      <c r="AH35">
        <v>2</v>
      </c>
      <c r="AI35">
        <v>26914283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26914294</v>
      </c>
      <c r="C36">
        <v>26914281</v>
      </c>
      <c r="D36">
        <v>25230514</v>
      </c>
      <c r="E36">
        <v>1</v>
      </c>
      <c r="F36">
        <v>1</v>
      </c>
      <c r="G36">
        <v>1</v>
      </c>
      <c r="H36">
        <v>2</v>
      </c>
      <c r="I36" t="s">
        <v>335</v>
      </c>
      <c r="J36" t="s">
        <v>336</v>
      </c>
      <c r="K36" t="s">
        <v>337</v>
      </c>
      <c r="L36">
        <v>1368</v>
      </c>
      <c r="N36">
        <v>1011</v>
      </c>
      <c r="O36" t="s">
        <v>338</v>
      </c>
      <c r="P36" t="s">
        <v>338</v>
      </c>
      <c r="Q36">
        <v>1</v>
      </c>
      <c r="X36">
        <v>0.03</v>
      </c>
      <c r="Y36">
        <v>0</v>
      </c>
      <c r="Z36">
        <v>31.26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40</v>
      </c>
      <c r="AG36">
        <v>3.7499999999999999E-2</v>
      </c>
      <c r="AH36">
        <v>2</v>
      </c>
      <c r="AI36">
        <v>26914284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26914295</v>
      </c>
      <c r="C37">
        <v>26914281</v>
      </c>
      <c r="D37">
        <v>25230844</v>
      </c>
      <c r="E37">
        <v>1</v>
      </c>
      <c r="F37">
        <v>1</v>
      </c>
      <c r="G37">
        <v>1</v>
      </c>
      <c r="H37">
        <v>2</v>
      </c>
      <c r="I37" t="s">
        <v>349</v>
      </c>
      <c r="J37" t="s">
        <v>350</v>
      </c>
      <c r="K37" t="s">
        <v>351</v>
      </c>
      <c r="L37">
        <v>1368</v>
      </c>
      <c r="N37">
        <v>1011</v>
      </c>
      <c r="O37" t="s">
        <v>338</v>
      </c>
      <c r="P37" t="s">
        <v>338</v>
      </c>
      <c r="Q37">
        <v>1</v>
      </c>
      <c r="X37">
        <v>0.72</v>
      </c>
      <c r="Y37">
        <v>0</v>
      </c>
      <c r="Z37">
        <v>30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40</v>
      </c>
      <c r="AG37">
        <v>0.89999999999999991</v>
      </c>
      <c r="AH37">
        <v>2</v>
      </c>
      <c r="AI37">
        <v>26914285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26914296</v>
      </c>
      <c r="C38">
        <v>26914281</v>
      </c>
      <c r="D38">
        <v>25231607</v>
      </c>
      <c r="E38">
        <v>1</v>
      </c>
      <c r="F38">
        <v>1</v>
      </c>
      <c r="G38">
        <v>1</v>
      </c>
      <c r="H38">
        <v>2</v>
      </c>
      <c r="I38" t="s">
        <v>352</v>
      </c>
      <c r="J38" t="s">
        <v>353</v>
      </c>
      <c r="K38" t="s">
        <v>354</v>
      </c>
      <c r="L38">
        <v>1368</v>
      </c>
      <c r="N38">
        <v>1011</v>
      </c>
      <c r="O38" t="s">
        <v>338</v>
      </c>
      <c r="P38" t="s">
        <v>338</v>
      </c>
      <c r="Q38">
        <v>1</v>
      </c>
      <c r="X38">
        <v>0.04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40</v>
      </c>
      <c r="AG38">
        <v>0.05</v>
      </c>
      <c r="AH38">
        <v>2</v>
      </c>
      <c r="AI38">
        <v>26914286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26914297</v>
      </c>
      <c r="C39">
        <v>26914281</v>
      </c>
      <c r="D39">
        <v>25232759</v>
      </c>
      <c r="E39">
        <v>1</v>
      </c>
      <c r="F39">
        <v>1</v>
      </c>
      <c r="G39">
        <v>1</v>
      </c>
      <c r="H39">
        <v>2</v>
      </c>
      <c r="I39" t="s">
        <v>355</v>
      </c>
      <c r="J39" t="s">
        <v>356</v>
      </c>
      <c r="K39" t="s">
        <v>357</v>
      </c>
      <c r="L39">
        <v>1368</v>
      </c>
      <c r="N39">
        <v>1011</v>
      </c>
      <c r="O39" t="s">
        <v>338</v>
      </c>
      <c r="P39" t="s">
        <v>338</v>
      </c>
      <c r="Q39">
        <v>1</v>
      </c>
      <c r="X39">
        <v>0.25</v>
      </c>
      <c r="Y39">
        <v>0</v>
      </c>
      <c r="Z39">
        <v>2.7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40</v>
      </c>
      <c r="AG39">
        <v>0.3125</v>
      </c>
      <c r="AH39">
        <v>2</v>
      </c>
      <c r="AI39">
        <v>26914287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26914298</v>
      </c>
      <c r="C40">
        <v>26914281</v>
      </c>
      <c r="D40">
        <v>25148024</v>
      </c>
      <c r="E40">
        <v>1</v>
      </c>
      <c r="F40">
        <v>1</v>
      </c>
      <c r="G40">
        <v>1</v>
      </c>
      <c r="H40">
        <v>3</v>
      </c>
      <c r="I40" t="s">
        <v>53</v>
      </c>
      <c r="J40" t="s">
        <v>55</v>
      </c>
      <c r="K40" t="s">
        <v>54</v>
      </c>
      <c r="L40">
        <v>1348</v>
      </c>
      <c r="N40">
        <v>1009</v>
      </c>
      <c r="O40" t="s">
        <v>24</v>
      </c>
      <c r="P40" t="s">
        <v>24</v>
      </c>
      <c r="Q40">
        <v>1000</v>
      </c>
      <c r="X40">
        <v>0.02</v>
      </c>
      <c r="Y40">
        <v>1383.1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0.02</v>
      </c>
      <c r="AH40">
        <v>2</v>
      </c>
      <c r="AI40">
        <v>26914288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26914299</v>
      </c>
      <c r="C41">
        <v>26914281</v>
      </c>
      <c r="D41">
        <v>25148217</v>
      </c>
      <c r="E41">
        <v>1</v>
      </c>
      <c r="F41">
        <v>1</v>
      </c>
      <c r="G41">
        <v>1</v>
      </c>
      <c r="H41">
        <v>3</v>
      </c>
      <c r="I41" t="s">
        <v>57</v>
      </c>
      <c r="J41" t="s">
        <v>59</v>
      </c>
      <c r="K41" t="s">
        <v>58</v>
      </c>
      <c r="L41">
        <v>1348</v>
      </c>
      <c r="N41">
        <v>1009</v>
      </c>
      <c r="O41" t="s">
        <v>24</v>
      </c>
      <c r="P41" t="s">
        <v>24</v>
      </c>
      <c r="Q41">
        <v>1000</v>
      </c>
      <c r="X41">
        <v>0.04</v>
      </c>
      <c r="Y41">
        <v>2606.9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0.04</v>
      </c>
      <c r="AH41">
        <v>2</v>
      </c>
      <c r="AI41">
        <v>26914289</v>
      </c>
      <c r="AJ41">
        <v>42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26914300</v>
      </c>
      <c r="C42">
        <v>26914281</v>
      </c>
      <c r="D42">
        <v>25153690</v>
      </c>
      <c r="E42">
        <v>1</v>
      </c>
      <c r="F42">
        <v>1</v>
      </c>
      <c r="G42">
        <v>1</v>
      </c>
      <c r="H42">
        <v>3</v>
      </c>
      <c r="I42" t="s">
        <v>358</v>
      </c>
      <c r="J42" t="s">
        <v>359</v>
      </c>
      <c r="K42" t="s">
        <v>360</v>
      </c>
      <c r="L42">
        <v>1346</v>
      </c>
      <c r="N42">
        <v>1009</v>
      </c>
      <c r="O42" t="s">
        <v>50</v>
      </c>
      <c r="P42" t="s">
        <v>50</v>
      </c>
      <c r="Q42">
        <v>1</v>
      </c>
      <c r="X42">
        <v>0.5</v>
      </c>
      <c r="Y42">
        <v>1.82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0.5</v>
      </c>
      <c r="AH42">
        <v>2</v>
      </c>
      <c r="AI42">
        <v>26914290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ROW(Source!A44)</f>
        <v>44</v>
      </c>
      <c r="B43">
        <v>26920009</v>
      </c>
      <c r="C43">
        <v>26920008</v>
      </c>
      <c r="D43">
        <v>25413300</v>
      </c>
      <c r="E43">
        <v>1</v>
      </c>
      <c r="F43">
        <v>1</v>
      </c>
      <c r="G43">
        <v>1</v>
      </c>
      <c r="H43">
        <v>1</v>
      </c>
      <c r="I43" t="s">
        <v>339</v>
      </c>
      <c r="J43" t="s">
        <v>6</v>
      </c>
      <c r="K43" t="s">
        <v>340</v>
      </c>
      <c r="L43">
        <v>1191</v>
      </c>
      <c r="N43">
        <v>1013</v>
      </c>
      <c r="O43" t="s">
        <v>332</v>
      </c>
      <c r="P43" t="s">
        <v>332</v>
      </c>
      <c r="Q43">
        <v>1</v>
      </c>
      <c r="X43">
        <v>37.67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41</v>
      </c>
      <c r="AG43">
        <v>43.320499999999996</v>
      </c>
      <c r="AH43">
        <v>2</v>
      </c>
      <c r="AI43">
        <v>26920009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ROW(Source!A44)</f>
        <v>44</v>
      </c>
      <c r="B44">
        <v>26920010</v>
      </c>
      <c r="C44">
        <v>26920008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333</v>
      </c>
      <c r="J44" t="s">
        <v>6</v>
      </c>
      <c r="K44" t="s">
        <v>334</v>
      </c>
      <c r="L44">
        <v>1191</v>
      </c>
      <c r="N44">
        <v>1013</v>
      </c>
      <c r="O44" t="s">
        <v>332</v>
      </c>
      <c r="P44" t="s">
        <v>332</v>
      </c>
      <c r="Q44">
        <v>1</v>
      </c>
      <c r="X44">
        <v>0.17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40</v>
      </c>
      <c r="AG44">
        <v>0.21250000000000002</v>
      </c>
      <c r="AH44">
        <v>2</v>
      </c>
      <c r="AI44">
        <v>26920010</v>
      </c>
      <c r="AJ44">
        <v>46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ROW(Source!A44)</f>
        <v>44</v>
      </c>
      <c r="B45">
        <v>26920011</v>
      </c>
      <c r="C45">
        <v>26920008</v>
      </c>
      <c r="D45">
        <v>25230510</v>
      </c>
      <c r="E45">
        <v>1</v>
      </c>
      <c r="F45">
        <v>1</v>
      </c>
      <c r="G45">
        <v>1</v>
      </c>
      <c r="H45">
        <v>2</v>
      </c>
      <c r="I45" t="s">
        <v>361</v>
      </c>
      <c r="J45" t="s">
        <v>362</v>
      </c>
      <c r="K45" t="s">
        <v>363</v>
      </c>
      <c r="L45">
        <v>1368</v>
      </c>
      <c r="N45">
        <v>1011</v>
      </c>
      <c r="O45" t="s">
        <v>338</v>
      </c>
      <c r="P45" t="s">
        <v>338</v>
      </c>
      <c r="Q45">
        <v>1</v>
      </c>
      <c r="X45">
        <v>0.13</v>
      </c>
      <c r="Y45">
        <v>0</v>
      </c>
      <c r="Z45">
        <v>27.66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40</v>
      </c>
      <c r="AG45">
        <v>0.16250000000000001</v>
      </c>
      <c r="AH45">
        <v>2</v>
      </c>
      <c r="AI45">
        <v>26920011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26920012</v>
      </c>
      <c r="C46">
        <v>26920008</v>
      </c>
      <c r="D46">
        <v>25231607</v>
      </c>
      <c r="E46">
        <v>1</v>
      </c>
      <c r="F46">
        <v>1</v>
      </c>
      <c r="G46">
        <v>1</v>
      </c>
      <c r="H46">
        <v>2</v>
      </c>
      <c r="I46" t="s">
        <v>352</v>
      </c>
      <c r="J46" t="s">
        <v>353</v>
      </c>
      <c r="K46" t="s">
        <v>354</v>
      </c>
      <c r="L46">
        <v>1368</v>
      </c>
      <c r="N46">
        <v>1011</v>
      </c>
      <c r="O46" t="s">
        <v>338</v>
      </c>
      <c r="P46" t="s">
        <v>338</v>
      </c>
      <c r="Q46">
        <v>1</v>
      </c>
      <c r="X46">
        <v>0.04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40</v>
      </c>
      <c r="AG46">
        <v>0.05</v>
      </c>
      <c r="AH46">
        <v>2</v>
      </c>
      <c r="AI46">
        <v>26920012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ROW(Source!A44)</f>
        <v>44</v>
      </c>
      <c r="B47">
        <v>26920013</v>
      </c>
      <c r="C47">
        <v>26920008</v>
      </c>
      <c r="D47">
        <v>25149961</v>
      </c>
      <c r="E47">
        <v>1</v>
      </c>
      <c r="F47">
        <v>1</v>
      </c>
      <c r="G47">
        <v>1</v>
      </c>
      <c r="H47">
        <v>3</v>
      </c>
      <c r="I47" t="s">
        <v>364</v>
      </c>
      <c r="J47" t="s">
        <v>365</v>
      </c>
      <c r="K47" t="s">
        <v>366</v>
      </c>
      <c r="L47">
        <v>1339</v>
      </c>
      <c r="N47">
        <v>1007</v>
      </c>
      <c r="O47" t="s">
        <v>76</v>
      </c>
      <c r="P47" t="s">
        <v>76</v>
      </c>
      <c r="Q47">
        <v>1</v>
      </c>
      <c r="X47">
        <v>0.17399999999999999</v>
      </c>
      <c r="Y47">
        <v>2.44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0.17399999999999999</v>
      </c>
      <c r="AH47">
        <v>2</v>
      </c>
      <c r="AI47">
        <v>26920013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ROW(Source!A44)</f>
        <v>44</v>
      </c>
      <c r="B48">
        <v>26920014</v>
      </c>
      <c r="C48">
        <v>26920008</v>
      </c>
      <c r="D48">
        <v>25155574</v>
      </c>
      <c r="E48">
        <v>1</v>
      </c>
      <c r="F48">
        <v>1</v>
      </c>
      <c r="G48">
        <v>1</v>
      </c>
      <c r="H48">
        <v>3</v>
      </c>
      <c r="I48" t="s">
        <v>367</v>
      </c>
      <c r="J48" t="s">
        <v>368</v>
      </c>
      <c r="K48" t="s">
        <v>369</v>
      </c>
      <c r="L48">
        <v>1348</v>
      </c>
      <c r="N48">
        <v>1009</v>
      </c>
      <c r="O48" t="s">
        <v>24</v>
      </c>
      <c r="P48" t="s">
        <v>24</v>
      </c>
      <c r="Q48">
        <v>1000</v>
      </c>
      <c r="X48">
        <v>0.9</v>
      </c>
      <c r="Y48">
        <v>11381.57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0.9</v>
      </c>
      <c r="AH48">
        <v>2</v>
      </c>
      <c r="AI48">
        <v>26920014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ROW(Source!A44)</f>
        <v>44</v>
      </c>
      <c r="B49">
        <v>26920015</v>
      </c>
      <c r="C49">
        <v>26920008</v>
      </c>
      <c r="D49">
        <v>25186115</v>
      </c>
      <c r="E49">
        <v>1</v>
      </c>
      <c r="F49">
        <v>1</v>
      </c>
      <c r="G49">
        <v>1</v>
      </c>
      <c r="H49">
        <v>3</v>
      </c>
      <c r="I49" t="s">
        <v>370</v>
      </c>
      <c r="J49" t="s">
        <v>371</v>
      </c>
      <c r="K49" t="s">
        <v>372</v>
      </c>
      <c r="L49">
        <v>1346</v>
      </c>
      <c r="N49">
        <v>1009</v>
      </c>
      <c r="O49" t="s">
        <v>50</v>
      </c>
      <c r="P49" t="s">
        <v>50</v>
      </c>
      <c r="Q49">
        <v>1</v>
      </c>
      <c r="X49">
        <v>30</v>
      </c>
      <c r="Y49">
        <v>15.25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30</v>
      </c>
      <c r="AH49">
        <v>2</v>
      </c>
      <c r="AI49">
        <v>26920015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ROW(Source!A45)</f>
        <v>45</v>
      </c>
      <c r="B50">
        <v>26920009</v>
      </c>
      <c r="C50">
        <v>26920008</v>
      </c>
      <c r="D50">
        <v>25413300</v>
      </c>
      <c r="E50">
        <v>1</v>
      </c>
      <c r="F50">
        <v>1</v>
      </c>
      <c r="G50">
        <v>1</v>
      </c>
      <c r="H50">
        <v>1</v>
      </c>
      <c r="I50" t="s">
        <v>339</v>
      </c>
      <c r="J50" t="s">
        <v>6</v>
      </c>
      <c r="K50" t="s">
        <v>340</v>
      </c>
      <c r="L50">
        <v>1191</v>
      </c>
      <c r="N50">
        <v>1013</v>
      </c>
      <c r="O50" t="s">
        <v>332</v>
      </c>
      <c r="P50" t="s">
        <v>332</v>
      </c>
      <c r="Q50">
        <v>1</v>
      </c>
      <c r="X50">
        <v>37.67</v>
      </c>
      <c r="Y50">
        <v>0</v>
      </c>
      <c r="Z50">
        <v>0</v>
      </c>
      <c r="AA50">
        <v>0</v>
      </c>
      <c r="AB50">
        <v>8.5299999999999994</v>
      </c>
      <c r="AC50">
        <v>0</v>
      </c>
      <c r="AD50">
        <v>1</v>
      </c>
      <c r="AE50">
        <v>1</v>
      </c>
      <c r="AF50" t="s">
        <v>41</v>
      </c>
      <c r="AG50">
        <v>43.320499999999996</v>
      </c>
      <c r="AH50">
        <v>2</v>
      </c>
      <c r="AI50">
        <v>26920009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ROW(Source!A45)</f>
        <v>45</v>
      </c>
      <c r="B51">
        <v>26920010</v>
      </c>
      <c r="C51">
        <v>26920008</v>
      </c>
      <c r="D51">
        <v>25412928</v>
      </c>
      <c r="E51">
        <v>1</v>
      </c>
      <c r="F51">
        <v>1</v>
      </c>
      <c r="G51">
        <v>1</v>
      </c>
      <c r="H51">
        <v>1</v>
      </c>
      <c r="I51" t="s">
        <v>333</v>
      </c>
      <c r="J51" t="s">
        <v>6</v>
      </c>
      <c r="K51" t="s">
        <v>334</v>
      </c>
      <c r="L51">
        <v>1191</v>
      </c>
      <c r="N51">
        <v>1013</v>
      </c>
      <c r="O51" t="s">
        <v>332</v>
      </c>
      <c r="P51" t="s">
        <v>332</v>
      </c>
      <c r="Q51">
        <v>1</v>
      </c>
      <c r="X51">
        <v>0.17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40</v>
      </c>
      <c r="AG51">
        <v>0.21250000000000002</v>
      </c>
      <c r="AH51">
        <v>2</v>
      </c>
      <c r="AI51">
        <v>26920010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26920011</v>
      </c>
      <c r="C52">
        <v>26920008</v>
      </c>
      <c r="D52">
        <v>25230510</v>
      </c>
      <c r="E52">
        <v>1</v>
      </c>
      <c r="F52">
        <v>1</v>
      </c>
      <c r="G52">
        <v>1</v>
      </c>
      <c r="H52">
        <v>2</v>
      </c>
      <c r="I52" t="s">
        <v>361</v>
      </c>
      <c r="J52" t="s">
        <v>362</v>
      </c>
      <c r="K52" t="s">
        <v>363</v>
      </c>
      <c r="L52">
        <v>1368</v>
      </c>
      <c r="N52">
        <v>1011</v>
      </c>
      <c r="O52" t="s">
        <v>338</v>
      </c>
      <c r="P52" t="s">
        <v>338</v>
      </c>
      <c r="Q52">
        <v>1</v>
      </c>
      <c r="X52">
        <v>0.13</v>
      </c>
      <c r="Y52">
        <v>0</v>
      </c>
      <c r="Z52">
        <v>27.66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40</v>
      </c>
      <c r="AG52">
        <v>0.16250000000000001</v>
      </c>
      <c r="AH52">
        <v>2</v>
      </c>
      <c r="AI52">
        <v>26920011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ROW(Source!A45)</f>
        <v>45</v>
      </c>
      <c r="B53">
        <v>26920012</v>
      </c>
      <c r="C53">
        <v>26920008</v>
      </c>
      <c r="D53">
        <v>25231607</v>
      </c>
      <c r="E53">
        <v>1</v>
      </c>
      <c r="F53">
        <v>1</v>
      </c>
      <c r="G53">
        <v>1</v>
      </c>
      <c r="H53">
        <v>2</v>
      </c>
      <c r="I53" t="s">
        <v>352</v>
      </c>
      <c r="J53" t="s">
        <v>353</v>
      </c>
      <c r="K53" t="s">
        <v>354</v>
      </c>
      <c r="L53">
        <v>1368</v>
      </c>
      <c r="N53">
        <v>1011</v>
      </c>
      <c r="O53" t="s">
        <v>338</v>
      </c>
      <c r="P53" t="s">
        <v>338</v>
      </c>
      <c r="Q53">
        <v>1</v>
      </c>
      <c r="X53">
        <v>0.04</v>
      </c>
      <c r="Y53">
        <v>0</v>
      </c>
      <c r="Z53">
        <v>65.709999999999994</v>
      </c>
      <c r="AA53">
        <v>11.6</v>
      </c>
      <c r="AB53">
        <v>0</v>
      </c>
      <c r="AC53">
        <v>0</v>
      </c>
      <c r="AD53">
        <v>1</v>
      </c>
      <c r="AE53">
        <v>0</v>
      </c>
      <c r="AF53" t="s">
        <v>40</v>
      </c>
      <c r="AG53">
        <v>0.05</v>
      </c>
      <c r="AH53">
        <v>2</v>
      </c>
      <c r="AI53">
        <v>26920012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ROW(Source!A45)</f>
        <v>45</v>
      </c>
      <c r="B54">
        <v>26920013</v>
      </c>
      <c r="C54">
        <v>26920008</v>
      </c>
      <c r="D54">
        <v>25149961</v>
      </c>
      <c r="E54">
        <v>1</v>
      </c>
      <c r="F54">
        <v>1</v>
      </c>
      <c r="G54">
        <v>1</v>
      </c>
      <c r="H54">
        <v>3</v>
      </c>
      <c r="I54" t="s">
        <v>364</v>
      </c>
      <c r="J54" t="s">
        <v>365</v>
      </c>
      <c r="K54" t="s">
        <v>366</v>
      </c>
      <c r="L54">
        <v>1339</v>
      </c>
      <c r="N54">
        <v>1007</v>
      </c>
      <c r="O54" t="s">
        <v>76</v>
      </c>
      <c r="P54" t="s">
        <v>76</v>
      </c>
      <c r="Q54">
        <v>1</v>
      </c>
      <c r="X54">
        <v>0.17399999999999999</v>
      </c>
      <c r="Y54">
        <v>2.44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0.17399999999999999</v>
      </c>
      <c r="AH54">
        <v>2</v>
      </c>
      <c r="AI54">
        <v>26920013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ROW(Source!A45)</f>
        <v>45</v>
      </c>
      <c r="B55">
        <v>26920014</v>
      </c>
      <c r="C55">
        <v>26920008</v>
      </c>
      <c r="D55">
        <v>25155574</v>
      </c>
      <c r="E55">
        <v>1</v>
      </c>
      <c r="F55">
        <v>1</v>
      </c>
      <c r="G55">
        <v>1</v>
      </c>
      <c r="H55">
        <v>3</v>
      </c>
      <c r="I55" t="s">
        <v>367</v>
      </c>
      <c r="J55" t="s">
        <v>368</v>
      </c>
      <c r="K55" t="s">
        <v>369</v>
      </c>
      <c r="L55">
        <v>1348</v>
      </c>
      <c r="N55">
        <v>1009</v>
      </c>
      <c r="O55" t="s">
        <v>24</v>
      </c>
      <c r="P55" t="s">
        <v>24</v>
      </c>
      <c r="Q55">
        <v>1000</v>
      </c>
      <c r="X55">
        <v>0.9</v>
      </c>
      <c r="Y55">
        <v>11381.57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0.9</v>
      </c>
      <c r="AH55">
        <v>2</v>
      </c>
      <c r="AI55">
        <v>26920014</v>
      </c>
      <c r="AJ55">
        <v>57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ROW(Source!A45)</f>
        <v>45</v>
      </c>
      <c r="B56">
        <v>26920015</v>
      </c>
      <c r="C56">
        <v>26920008</v>
      </c>
      <c r="D56">
        <v>25186115</v>
      </c>
      <c r="E56">
        <v>1</v>
      </c>
      <c r="F56">
        <v>1</v>
      </c>
      <c r="G56">
        <v>1</v>
      </c>
      <c r="H56">
        <v>3</v>
      </c>
      <c r="I56" t="s">
        <v>370</v>
      </c>
      <c r="J56" t="s">
        <v>371</v>
      </c>
      <c r="K56" t="s">
        <v>372</v>
      </c>
      <c r="L56">
        <v>1346</v>
      </c>
      <c r="N56">
        <v>1009</v>
      </c>
      <c r="O56" t="s">
        <v>50</v>
      </c>
      <c r="P56" t="s">
        <v>50</v>
      </c>
      <c r="Q56">
        <v>1</v>
      </c>
      <c r="X56">
        <v>30</v>
      </c>
      <c r="Y56">
        <v>15.25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30</v>
      </c>
      <c r="AH56">
        <v>2</v>
      </c>
      <c r="AI56">
        <v>26920015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26920017</v>
      </c>
      <c r="C57">
        <v>26920016</v>
      </c>
      <c r="D57">
        <v>25413300</v>
      </c>
      <c r="E57">
        <v>1</v>
      </c>
      <c r="F57">
        <v>1</v>
      </c>
      <c r="G57">
        <v>1</v>
      </c>
      <c r="H57">
        <v>1</v>
      </c>
      <c r="I57" t="s">
        <v>339</v>
      </c>
      <c r="J57" t="s">
        <v>6</v>
      </c>
      <c r="K57" t="s">
        <v>340</v>
      </c>
      <c r="L57">
        <v>1191</v>
      </c>
      <c r="N57">
        <v>1013</v>
      </c>
      <c r="O57" t="s">
        <v>332</v>
      </c>
      <c r="P57" t="s">
        <v>332</v>
      </c>
      <c r="Q57">
        <v>1</v>
      </c>
      <c r="X57">
        <v>2.42</v>
      </c>
      <c r="Y57">
        <v>0</v>
      </c>
      <c r="Z57">
        <v>0</v>
      </c>
      <c r="AA57">
        <v>0</v>
      </c>
      <c r="AB57">
        <v>8.5299999999999994</v>
      </c>
      <c r="AC57">
        <v>0</v>
      </c>
      <c r="AD57">
        <v>1</v>
      </c>
      <c r="AE57">
        <v>1</v>
      </c>
      <c r="AF57" t="s">
        <v>70</v>
      </c>
      <c r="AG57">
        <v>27.83</v>
      </c>
      <c r="AH57">
        <v>2</v>
      </c>
      <c r="AI57">
        <v>26920017</v>
      </c>
      <c r="AJ57">
        <v>59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26920018</v>
      </c>
      <c r="C58">
        <v>26920016</v>
      </c>
      <c r="D58">
        <v>25412928</v>
      </c>
      <c r="E58">
        <v>1</v>
      </c>
      <c r="F58">
        <v>1</v>
      </c>
      <c r="G58">
        <v>1</v>
      </c>
      <c r="H58">
        <v>1</v>
      </c>
      <c r="I58" t="s">
        <v>333</v>
      </c>
      <c r="J58" t="s">
        <v>6</v>
      </c>
      <c r="K58" t="s">
        <v>334</v>
      </c>
      <c r="L58">
        <v>1191</v>
      </c>
      <c r="N58">
        <v>1013</v>
      </c>
      <c r="O58" t="s">
        <v>332</v>
      </c>
      <c r="P58" t="s">
        <v>332</v>
      </c>
      <c r="Q58">
        <v>1</v>
      </c>
      <c r="X58">
        <v>0.03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69</v>
      </c>
      <c r="AG58">
        <v>0.375</v>
      </c>
      <c r="AH58">
        <v>2</v>
      </c>
      <c r="AI58">
        <v>26920018</v>
      </c>
      <c r="AJ58">
        <v>60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26920019</v>
      </c>
      <c r="C59">
        <v>26920016</v>
      </c>
      <c r="D59">
        <v>25230510</v>
      </c>
      <c r="E59">
        <v>1</v>
      </c>
      <c r="F59">
        <v>1</v>
      </c>
      <c r="G59">
        <v>1</v>
      </c>
      <c r="H59">
        <v>2</v>
      </c>
      <c r="I59" t="s">
        <v>361</v>
      </c>
      <c r="J59" t="s">
        <v>362</v>
      </c>
      <c r="K59" t="s">
        <v>363</v>
      </c>
      <c r="L59">
        <v>1368</v>
      </c>
      <c r="N59">
        <v>1011</v>
      </c>
      <c r="O59" t="s">
        <v>338</v>
      </c>
      <c r="P59" t="s">
        <v>338</v>
      </c>
      <c r="Q59">
        <v>1</v>
      </c>
      <c r="X59">
        <v>0.02</v>
      </c>
      <c r="Y59">
        <v>0</v>
      </c>
      <c r="Z59">
        <v>27.66</v>
      </c>
      <c r="AA59">
        <v>11.6</v>
      </c>
      <c r="AB59">
        <v>0</v>
      </c>
      <c r="AC59">
        <v>0</v>
      </c>
      <c r="AD59">
        <v>1</v>
      </c>
      <c r="AE59">
        <v>0</v>
      </c>
      <c r="AF59" t="s">
        <v>69</v>
      </c>
      <c r="AG59">
        <v>0.25</v>
      </c>
      <c r="AH59">
        <v>2</v>
      </c>
      <c r="AI59">
        <v>26920019</v>
      </c>
      <c r="AJ59">
        <v>61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26920020</v>
      </c>
      <c r="C60">
        <v>26920016</v>
      </c>
      <c r="D60">
        <v>25231607</v>
      </c>
      <c r="E60">
        <v>1</v>
      </c>
      <c r="F60">
        <v>1</v>
      </c>
      <c r="G60">
        <v>1</v>
      </c>
      <c r="H60">
        <v>2</v>
      </c>
      <c r="I60" t="s">
        <v>352</v>
      </c>
      <c r="J60" t="s">
        <v>353</v>
      </c>
      <c r="K60" t="s">
        <v>354</v>
      </c>
      <c r="L60">
        <v>1368</v>
      </c>
      <c r="N60">
        <v>1011</v>
      </c>
      <c r="O60" t="s">
        <v>338</v>
      </c>
      <c r="P60" t="s">
        <v>338</v>
      </c>
      <c r="Q60">
        <v>1</v>
      </c>
      <c r="X60">
        <v>0.01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69</v>
      </c>
      <c r="AG60">
        <v>0.125</v>
      </c>
      <c r="AH60">
        <v>2</v>
      </c>
      <c r="AI60">
        <v>26920020</v>
      </c>
      <c r="AJ60">
        <v>62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26920021</v>
      </c>
      <c r="C61">
        <v>26920016</v>
      </c>
      <c r="D61">
        <v>25149961</v>
      </c>
      <c r="E61">
        <v>1</v>
      </c>
      <c r="F61">
        <v>1</v>
      </c>
      <c r="G61">
        <v>1</v>
      </c>
      <c r="H61">
        <v>3</v>
      </c>
      <c r="I61" t="s">
        <v>364</v>
      </c>
      <c r="J61" t="s">
        <v>365</v>
      </c>
      <c r="K61" t="s">
        <v>366</v>
      </c>
      <c r="L61">
        <v>1339</v>
      </c>
      <c r="N61">
        <v>1007</v>
      </c>
      <c r="O61" t="s">
        <v>76</v>
      </c>
      <c r="P61" t="s">
        <v>76</v>
      </c>
      <c r="Q61">
        <v>1</v>
      </c>
      <c r="X61">
        <v>0.03</v>
      </c>
      <c r="Y61">
        <v>2.44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68</v>
      </c>
      <c r="AG61">
        <v>0.3</v>
      </c>
      <c r="AH61">
        <v>2</v>
      </c>
      <c r="AI61">
        <v>26920021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ROW(Source!A46)</f>
        <v>46</v>
      </c>
      <c r="B62">
        <v>26920022</v>
      </c>
      <c r="C62">
        <v>26920016</v>
      </c>
      <c r="D62">
        <v>25155574</v>
      </c>
      <c r="E62">
        <v>1</v>
      </c>
      <c r="F62">
        <v>1</v>
      </c>
      <c r="G62">
        <v>1</v>
      </c>
      <c r="H62">
        <v>3</v>
      </c>
      <c r="I62" t="s">
        <v>367</v>
      </c>
      <c r="J62" t="s">
        <v>368</v>
      </c>
      <c r="K62" t="s">
        <v>369</v>
      </c>
      <c r="L62">
        <v>1348</v>
      </c>
      <c r="N62">
        <v>1009</v>
      </c>
      <c r="O62" t="s">
        <v>24</v>
      </c>
      <c r="P62" t="s">
        <v>24</v>
      </c>
      <c r="Q62">
        <v>1000</v>
      </c>
      <c r="X62">
        <v>0.18</v>
      </c>
      <c r="Y62">
        <v>11381.57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68</v>
      </c>
      <c r="AG62">
        <v>1.7999999999999998</v>
      </c>
      <c r="AH62">
        <v>2</v>
      </c>
      <c r="AI62">
        <v>26920022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ROW(Source!A47)</f>
        <v>47</v>
      </c>
      <c r="B63">
        <v>26920017</v>
      </c>
      <c r="C63">
        <v>26920016</v>
      </c>
      <c r="D63">
        <v>25413300</v>
      </c>
      <c r="E63">
        <v>1</v>
      </c>
      <c r="F63">
        <v>1</v>
      </c>
      <c r="G63">
        <v>1</v>
      </c>
      <c r="H63">
        <v>1</v>
      </c>
      <c r="I63" t="s">
        <v>339</v>
      </c>
      <c r="J63" t="s">
        <v>6</v>
      </c>
      <c r="K63" t="s">
        <v>340</v>
      </c>
      <c r="L63">
        <v>1191</v>
      </c>
      <c r="N63">
        <v>1013</v>
      </c>
      <c r="O63" t="s">
        <v>332</v>
      </c>
      <c r="P63" t="s">
        <v>332</v>
      </c>
      <c r="Q63">
        <v>1</v>
      </c>
      <c r="X63">
        <v>2.42</v>
      </c>
      <c r="Y63">
        <v>0</v>
      </c>
      <c r="Z63">
        <v>0</v>
      </c>
      <c r="AA63">
        <v>0</v>
      </c>
      <c r="AB63">
        <v>8.5299999999999994</v>
      </c>
      <c r="AC63">
        <v>0</v>
      </c>
      <c r="AD63">
        <v>1</v>
      </c>
      <c r="AE63">
        <v>1</v>
      </c>
      <c r="AF63" t="s">
        <v>70</v>
      </c>
      <c r="AG63">
        <v>27.83</v>
      </c>
      <c r="AH63">
        <v>2</v>
      </c>
      <c r="AI63">
        <v>26920017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ROW(Source!A47)</f>
        <v>47</v>
      </c>
      <c r="B64">
        <v>26920018</v>
      </c>
      <c r="C64">
        <v>26920016</v>
      </c>
      <c r="D64">
        <v>25412928</v>
      </c>
      <c r="E64">
        <v>1</v>
      </c>
      <c r="F64">
        <v>1</v>
      </c>
      <c r="G64">
        <v>1</v>
      </c>
      <c r="H64">
        <v>1</v>
      </c>
      <c r="I64" t="s">
        <v>333</v>
      </c>
      <c r="J64" t="s">
        <v>6</v>
      </c>
      <c r="K64" t="s">
        <v>334</v>
      </c>
      <c r="L64">
        <v>1191</v>
      </c>
      <c r="N64">
        <v>1013</v>
      </c>
      <c r="O64" t="s">
        <v>332</v>
      </c>
      <c r="P64" t="s">
        <v>332</v>
      </c>
      <c r="Q64">
        <v>1</v>
      </c>
      <c r="X64">
        <v>0.03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2</v>
      </c>
      <c r="AF64" t="s">
        <v>69</v>
      </c>
      <c r="AG64">
        <v>0.375</v>
      </c>
      <c r="AH64">
        <v>2</v>
      </c>
      <c r="AI64">
        <v>26920018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ROW(Source!A47)</f>
        <v>47</v>
      </c>
      <c r="B65">
        <v>26920019</v>
      </c>
      <c r="C65">
        <v>26920016</v>
      </c>
      <c r="D65">
        <v>25230510</v>
      </c>
      <c r="E65">
        <v>1</v>
      </c>
      <c r="F65">
        <v>1</v>
      </c>
      <c r="G65">
        <v>1</v>
      </c>
      <c r="H65">
        <v>2</v>
      </c>
      <c r="I65" t="s">
        <v>361</v>
      </c>
      <c r="J65" t="s">
        <v>362</v>
      </c>
      <c r="K65" t="s">
        <v>363</v>
      </c>
      <c r="L65">
        <v>1368</v>
      </c>
      <c r="N65">
        <v>1011</v>
      </c>
      <c r="O65" t="s">
        <v>338</v>
      </c>
      <c r="P65" t="s">
        <v>338</v>
      </c>
      <c r="Q65">
        <v>1</v>
      </c>
      <c r="X65">
        <v>0.02</v>
      </c>
      <c r="Y65">
        <v>0</v>
      </c>
      <c r="Z65">
        <v>27.66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69</v>
      </c>
      <c r="AG65">
        <v>0.25</v>
      </c>
      <c r="AH65">
        <v>2</v>
      </c>
      <c r="AI65">
        <v>26920019</v>
      </c>
      <c r="AJ65">
        <v>67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ROW(Source!A47)</f>
        <v>47</v>
      </c>
      <c r="B66">
        <v>26920020</v>
      </c>
      <c r="C66">
        <v>26920016</v>
      </c>
      <c r="D66">
        <v>25231607</v>
      </c>
      <c r="E66">
        <v>1</v>
      </c>
      <c r="F66">
        <v>1</v>
      </c>
      <c r="G66">
        <v>1</v>
      </c>
      <c r="H66">
        <v>2</v>
      </c>
      <c r="I66" t="s">
        <v>352</v>
      </c>
      <c r="J66" t="s">
        <v>353</v>
      </c>
      <c r="K66" t="s">
        <v>354</v>
      </c>
      <c r="L66">
        <v>1368</v>
      </c>
      <c r="N66">
        <v>1011</v>
      </c>
      <c r="O66" t="s">
        <v>338</v>
      </c>
      <c r="P66" t="s">
        <v>338</v>
      </c>
      <c r="Q66">
        <v>1</v>
      </c>
      <c r="X66">
        <v>0.01</v>
      </c>
      <c r="Y66">
        <v>0</v>
      </c>
      <c r="Z66">
        <v>65.709999999999994</v>
      </c>
      <c r="AA66">
        <v>11.6</v>
      </c>
      <c r="AB66">
        <v>0</v>
      </c>
      <c r="AC66">
        <v>0</v>
      </c>
      <c r="AD66">
        <v>1</v>
      </c>
      <c r="AE66">
        <v>0</v>
      </c>
      <c r="AF66" t="s">
        <v>69</v>
      </c>
      <c r="AG66">
        <v>0.125</v>
      </c>
      <c r="AH66">
        <v>2</v>
      </c>
      <c r="AI66">
        <v>26920020</v>
      </c>
      <c r="AJ66">
        <v>68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ROW(Source!A47)</f>
        <v>47</v>
      </c>
      <c r="B67">
        <v>26920021</v>
      </c>
      <c r="C67">
        <v>26920016</v>
      </c>
      <c r="D67">
        <v>25149961</v>
      </c>
      <c r="E67">
        <v>1</v>
      </c>
      <c r="F67">
        <v>1</v>
      </c>
      <c r="G67">
        <v>1</v>
      </c>
      <c r="H67">
        <v>3</v>
      </c>
      <c r="I67" t="s">
        <v>364</v>
      </c>
      <c r="J67" t="s">
        <v>365</v>
      </c>
      <c r="K67" t="s">
        <v>366</v>
      </c>
      <c r="L67">
        <v>1339</v>
      </c>
      <c r="N67">
        <v>1007</v>
      </c>
      <c r="O67" t="s">
        <v>76</v>
      </c>
      <c r="P67" t="s">
        <v>76</v>
      </c>
      <c r="Q67">
        <v>1</v>
      </c>
      <c r="X67">
        <v>0.03</v>
      </c>
      <c r="Y67">
        <v>2.44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68</v>
      </c>
      <c r="AG67">
        <v>0.3</v>
      </c>
      <c r="AH67">
        <v>2</v>
      </c>
      <c r="AI67">
        <v>26920021</v>
      </c>
      <c r="AJ67">
        <v>69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ROW(Source!A47)</f>
        <v>47</v>
      </c>
      <c r="B68">
        <v>26920022</v>
      </c>
      <c r="C68">
        <v>26920016</v>
      </c>
      <c r="D68">
        <v>25155574</v>
      </c>
      <c r="E68">
        <v>1</v>
      </c>
      <c r="F68">
        <v>1</v>
      </c>
      <c r="G68">
        <v>1</v>
      </c>
      <c r="H68">
        <v>3</v>
      </c>
      <c r="I68" t="s">
        <v>367</v>
      </c>
      <c r="J68" t="s">
        <v>368</v>
      </c>
      <c r="K68" t="s">
        <v>369</v>
      </c>
      <c r="L68">
        <v>1348</v>
      </c>
      <c r="N68">
        <v>1009</v>
      </c>
      <c r="O68" t="s">
        <v>24</v>
      </c>
      <c r="P68" t="s">
        <v>24</v>
      </c>
      <c r="Q68">
        <v>1000</v>
      </c>
      <c r="X68">
        <v>0.18</v>
      </c>
      <c r="Y68">
        <v>11381.57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68</v>
      </c>
      <c r="AG68">
        <v>1.7999999999999998</v>
      </c>
      <c r="AH68">
        <v>2</v>
      </c>
      <c r="AI68">
        <v>26920022</v>
      </c>
      <c r="AJ68">
        <v>70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ROW(Source!A48)</f>
        <v>48</v>
      </c>
      <c r="B69">
        <v>26914311</v>
      </c>
      <c r="C69">
        <v>26914304</v>
      </c>
      <c r="D69">
        <v>25416173</v>
      </c>
      <c r="E69">
        <v>1</v>
      </c>
      <c r="F69">
        <v>1</v>
      </c>
      <c r="G69">
        <v>1</v>
      </c>
      <c r="H69">
        <v>1</v>
      </c>
      <c r="I69" t="s">
        <v>373</v>
      </c>
      <c r="J69" t="s">
        <v>6</v>
      </c>
      <c r="K69" t="s">
        <v>374</v>
      </c>
      <c r="L69">
        <v>1191</v>
      </c>
      <c r="N69">
        <v>1013</v>
      </c>
      <c r="O69" t="s">
        <v>332</v>
      </c>
      <c r="P69" t="s">
        <v>332</v>
      </c>
      <c r="Q69">
        <v>1</v>
      </c>
      <c r="X69">
        <v>39.51</v>
      </c>
      <c r="Y69">
        <v>0</v>
      </c>
      <c r="Z69">
        <v>0</v>
      </c>
      <c r="AA69">
        <v>0</v>
      </c>
      <c r="AB69">
        <v>7.94</v>
      </c>
      <c r="AC69">
        <v>0</v>
      </c>
      <c r="AD69">
        <v>1</v>
      </c>
      <c r="AE69">
        <v>1</v>
      </c>
      <c r="AF69" t="s">
        <v>41</v>
      </c>
      <c r="AG69">
        <v>45.436499999999995</v>
      </c>
      <c r="AH69">
        <v>2</v>
      </c>
      <c r="AI69">
        <v>26914305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ROW(Source!A48)</f>
        <v>48</v>
      </c>
      <c r="B70">
        <v>26914312</v>
      </c>
      <c r="C70">
        <v>26914304</v>
      </c>
      <c r="D70">
        <v>25412928</v>
      </c>
      <c r="E70">
        <v>1</v>
      </c>
      <c r="F70">
        <v>1</v>
      </c>
      <c r="G70">
        <v>1</v>
      </c>
      <c r="H70">
        <v>1</v>
      </c>
      <c r="I70" t="s">
        <v>333</v>
      </c>
      <c r="J70" t="s">
        <v>6</v>
      </c>
      <c r="K70" t="s">
        <v>334</v>
      </c>
      <c r="L70">
        <v>1191</v>
      </c>
      <c r="N70">
        <v>1013</v>
      </c>
      <c r="O70" t="s">
        <v>332</v>
      </c>
      <c r="P70" t="s">
        <v>332</v>
      </c>
      <c r="Q70">
        <v>1</v>
      </c>
      <c r="X70">
        <v>1.27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40</v>
      </c>
      <c r="AG70">
        <v>1.5874999999999999</v>
      </c>
      <c r="AH70">
        <v>2</v>
      </c>
      <c r="AI70">
        <v>26914306</v>
      </c>
      <c r="AJ70">
        <v>72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ROW(Source!A48)</f>
        <v>48</v>
      </c>
      <c r="B71">
        <v>26914313</v>
      </c>
      <c r="C71">
        <v>26914304</v>
      </c>
      <c r="D71">
        <v>25230514</v>
      </c>
      <c r="E71">
        <v>1</v>
      </c>
      <c r="F71">
        <v>1</v>
      </c>
      <c r="G71">
        <v>1</v>
      </c>
      <c r="H71">
        <v>2</v>
      </c>
      <c r="I71" t="s">
        <v>335</v>
      </c>
      <c r="J71" t="s">
        <v>336</v>
      </c>
      <c r="K71" t="s">
        <v>337</v>
      </c>
      <c r="L71">
        <v>1368</v>
      </c>
      <c r="N71">
        <v>1011</v>
      </c>
      <c r="O71" t="s">
        <v>338</v>
      </c>
      <c r="P71" t="s">
        <v>338</v>
      </c>
      <c r="Q71">
        <v>1</v>
      </c>
      <c r="X71">
        <v>1.27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40</v>
      </c>
      <c r="AG71">
        <v>1.5874999999999999</v>
      </c>
      <c r="AH71">
        <v>2</v>
      </c>
      <c r="AI71">
        <v>26914307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ROW(Source!A48)</f>
        <v>48</v>
      </c>
      <c r="B72">
        <v>26914314</v>
      </c>
      <c r="C72">
        <v>26914304</v>
      </c>
      <c r="D72">
        <v>25230627</v>
      </c>
      <c r="E72">
        <v>1</v>
      </c>
      <c r="F72">
        <v>1</v>
      </c>
      <c r="G72">
        <v>1</v>
      </c>
      <c r="H72">
        <v>2</v>
      </c>
      <c r="I72" t="s">
        <v>375</v>
      </c>
      <c r="J72" t="s">
        <v>376</v>
      </c>
      <c r="K72" t="s">
        <v>377</v>
      </c>
      <c r="L72">
        <v>1368</v>
      </c>
      <c r="N72">
        <v>1011</v>
      </c>
      <c r="O72" t="s">
        <v>338</v>
      </c>
      <c r="P72" t="s">
        <v>338</v>
      </c>
      <c r="Q72">
        <v>1</v>
      </c>
      <c r="X72">
        <v>9.07</v>
      </c>
      <c r="Y72">
        <v>0</v>
      </c>
      <c r="Z72">
        <v>0.5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40</v>
      </c>
      <c r="AG72">
        <v>11.3375</v>
      </c>
      <c r="AH72">
        <v>2</v>
      </c>
      <c r="AI72">
        <v>26914308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ROW(Source!A48)</f>
        <v>48</v>
      </c>
      <c r="B73">
        <v>26914315</v>
      </c>
      <c r="C73">
        <v>26914304</v>
      </c>
      <c r="D73">
        <v>25149961</v>
      </c>
      <c r="E73">
        <v>1</v>
      </c>
      <c r="F73">
        <v>1</v>
      </c>
      <c r="G73">
        <v>1</v>
      </c>
      <c r="H73">
        <v>3</v>
      </c>
      <c r="I73" t="s">
        <v>364</v>
      </c>
      <c r="J73" t="s">
        <v>365</v>
      </c>
      <c r="K73" t="s">
        <v>366</v>
      </c>
      <c r="L73">
        <v>1339</v>
      </c>
      <c r="N73">
        <v>1007</v>
      </c>
      <c r="O73" t="s">
        <v>76</v>
      </c>
      <c r="P73" t="s">
        <v>76</v>
      </c>
      <c r="Q73">
        <v>1</v>
      </c>
      <c r="X73">
        <v>3.5</v>
      </c>
      <c r="Y73">
        <v>2.44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3.5</v>
      </c>
      <c r="AH73">
        <v>2</v>
      </c>
      <c r="AI73">
        <v>26914309</v>
      </c>
      <c r="AJ73">
        <v>75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ROW(Source!A48)</f>
        <v>48</v>
      </c>
      <c r="B74">
        <v>26914316</v>
      </c>
      <c r="C74">
        <v>26914304</v>
      </c>
      <c r="D74">
        <v>25144380</v>
      </c>
      <c r="E74">
        <v>17</v>
      </c>
      <c r="F74">
        <v>1</v>
      </c>
      <c r="G74">
        <v>1</v>
      </c>
      <c r="H74">
        <v>3</v>
      </c>
      <c r="I74" t="s">
        <v>74</v>
      </c>
      <c r="J74" t="s">
        <v>6</v>
      </c>
      <c r="K74" t="s">
        <v>75</v>
      </c>
      <c r="L74">
        <v>1339</v>
      </c>
      <c r="N74">
        <v>1007</v>
      </c>
      <c r="O74" t="s">
        <v>76</v>
      </c>
      <c r="P74" t="s">
        <v>76</v>
      </c>
      <c r="Q74">
        <v>1</v>
      </c>
      <c r="X74">
        <v>2.04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2.04</v>
      </c>
      <c r="AH74">
        <v>2</v>
      </c>
      <c r="AI74">
        <v>26914310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ROW(Source!A49)</f>
        <v>49</v>
      </c>
      <c r="B75">
        <v>26914311</v>
      </c>
      <c r="C75">
        <v>26914304</v>
      </c>
      <c r="D75">
        <v>25416173</v>
      </c>
      <c r="E75">
        <v>1</v>
      </c>
      <c r="F75">
        <v>1</v>
      </c>
      <c r="G75">
        <v>1</v>
      </c>
      <c r="H75">
        <v>1</v>
      </c>
      <c r="I75" t="s">
        <v>373</v>
      </c>
      <c r="J75" t="s">
        <v>6</v>
      </c>
      <c r="K75" t="s">
        <v>374</v>
      </c>
      <c r="L75">
        <v>1191</v>
      </c>
      <c r="N75">
        <v>1013</v>
      </c>
      <c r="O75" t="s">
        <v>332</v>
      </c>
      <c r="P75" t="s">
        <v>332</v>
      </c>
      <c r="Q75">
        <v>1</v>
      </c>
      <c r="X75">
        <v>39.51</v>
      </c>
      <c r="Y75">
        <v>0</v>
      </c>
      <c r="Z75">
        <v>0</v>
      </c>
      <c r="AA75">
        <v>0</v>
      </c>
      <c r="AB75">
        <v>7.94</v>
      </c>
      <c r="AC75">
        <v>0</v>
      </c>
      <c r="AD75">
        <v>1</v>
      </c>
      <c r="AE75">
        <v>1</v>
      </c>
      <c r="AF75" t="s">
        <v>41</v>
      </c>
      <c r="AG75">
        <v>45.436499999999995</v>
      </c>
      <c r="AH75">
        <v>2</v>
      </c>
      <c r="AI75">
        <v>26914305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ROW(Source!A49)</f>
        <v>49</v>
      </c>
      <c r="B76">
        <v>26914312</v>
      </c>
      <c r="C76">
        <v>26914304</v>
      </c>
      <c r="D76">
        <v>25412928</v>
      </c>
      <c r="E76">
        <v>1</v>
      </c>
      <c r="F76">
        <v>1</v>
      </c>
      <c r="G76">
        <v>1</v>
      </c>
      <c r="H76">
        <v>1</v>
      </c>
      <c r="I76" t="s">
        <v>333</v>
      </c>
      <c r="J76" t="s">
        <v>6</v>
      </c>
      <c r="K76" t="s">
        <v>334</v>
      </c>
      <c r="L76">
        <v>1191</v>
      </c>
      <c r="N76">
        <v>1013</v>
      </c>
      <c r="O76" t="s">
        <v>332</v>
      </c>
      <c r="P76" t="s">
        <v>332</v>
      </c>
      <c r="Q76">
        <v>1</v>
      </c>
      <c r="X76">
        <v>1.27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40</v>
      </c>
      <c r="AG76">
        <v>1.5874999999999999</v>
      </c>
      <c r="AH76">
        <v>2</v>
      </c>
      <c r="AI76">
        <v>26914306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ROW(Source!A49)</f>
        <v>49</v>
      </c>
      <c r="B77">
        <v>26914313</v>
      </c>
      <c r="C77">
        <v>26914304</v>
      </c>
      <c r="D77">
        <v>25230514</v>
      </c>
      <c r="E77">
        <v>1</v>
      </c>
      <c r="F77">
        <v>1</v>
      </c>
      <c r="G77">
        <v>1</v>
      </c>
      <c r="H77">
        <v>2</v>
      </c>
      <c r="I77" t="s">
        <v>335</v>
      </c>
      <c r="J77" t="s">
        <v>336</v>
      </c>
      <c r="K77" t="s">
        <v>337</v>
      </c>
      <c r="L77">
        <v>1368</v>
      </c>
      <c r="N77">
        <v>1011</v>
      </c>
      <c r="O77" t="s">
        <v>338</v>
      </c>
      <c r="P77" t="s">
        <v>338</v>
      </c>
      <c r="Q77">
        <v>1</v>
      </c>
      <c r="X77">
        <v>1.27</v>
      </c>
      <c r="Y77">
        <v>0</v>
      </c>
      <c r="Z77">
        <v>31.26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40</v>
      </c>
      <c r="AG77">
        <v>1.5874999999999999</v>
      </c>
      <c r="AH77">
        <v>2</v>
      </c>
      <c r="AI77">
        <v>26914307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ROW(Source!A49)</f>
        <v>49</v>
      </c>
      <c r="B78">
        <v>26914314</v>
      </c>
      <c r="C78">
        <v>26914304</v>
      </c>
      <c r="D78">
        <v>25230627</v>
      </c>
      <c r="E78">
        <v>1</v>
      </c>
      <c r="F78">
        <v>1</v>
      </c>
      <c r="G78">
        <v>1</v>
      </c>
      <c r="H78">
        <v>2</v>
      </c>
      <c r="I78" t="s">
        <v>375</v>
      </c>
      <c r="J78" t="s">
        <v>376</v>
      </c>
      <c r="K78" t="s">
        <v>377</v>
      </c>
      <c r="L78">
        <v>1368</v>
      </c>
      <c r="N78">
        <v>1011</v>
      </c>
      <c r="O78" t="s">
        <v>338</v>
      </c>
      <c r="P78" t="s">
        <v>338</v>
      </c>
      <c r="Q78">
        <v>1</v>
      </c>
      <c r="X78">
        <v>9.07</v>
      </c>
      <c r="Y78">
        <v>0</v>
      </c>
      <c r="Z78">
        <v>0.5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40</v>
      </c>
      <c r="AG78">
        <v>11.3375</v>
      </c>
      <c r="AH78">
        <v>2</v>
      </c>
      <c r="AI78">
        <v>26914308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ROW(Source!A49)</f>
        <v>49</v>
      </c>
      <c r="B79">
        <v>26914315</v>
      </c>
      <c r="C79">
        <v>26914304</v>
      </c>
      <c r="D79">
        <v>25149961</v>
      </c>
      <c r="E79">
        <v>1</v>
      </c>
      <c r="F79">
        <v>1</v>
      </c>
      <c r="G79">
        <v>1</v>
      </c>
      <c r="H79">
        <v>3</v>
      </c>
      <c r="I79" t="s">
        <v>364</v>
      </c>
      <c r="J79" t="s">
        <v>365</v>
      </c>
      <c r="K79" t="s">
        <v>366</v>
      </c>
      <c r="L79">
        <v>1339</v>
      </c>
      <c r="N79">
        <v>1007</v>
      </c>
      <c r="O79" t="s">
        <v>76</v>
      </c>
      <c r="P79" t="s">
        <v>76</v>
      </c>
      <c r="Q79">
        <v>1</v>
      </c>
      <c r="X79">
        <v>3.5</v>
      </c>
      <c r="Y79">
        <v>2.44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3.5</v>
      </c>
      <c r="AH79">
        <v>2</v>
      </c>
      <c r="AI79">
        <v>26914309</v>
      </c>
      <c r="AJ79">
        <v>81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ROW(Source!A49)</f>
        <v>49</v>
      </c>
      <c r="B80">
        <v>26914316</v>
      </c>
      <c r="C80">
        <v>26914304</v>
      </c>
      <c r="D80">
        <v>25144380</v>
      </c>
      <c r="E80">
        <v>17</v>
      </c>
      <c r="F80">
        <v>1</v>
      </c>
      <c r="G80">
        <v>1</v>
      </c>
      <c r="H80">
        <v>3</v>
      </c>
      <c r="I80" t="s">
        <v>74</v>
      </c>
      <c r="J80" t="s">
        <v>6</v>
      </c>
      <c r="K80" t="s">
        <v>75</v>
      </c>
      <c r="L80">
        <v>1339</v>
      </c>
      <c r="N80">
        <v>1007</v>
      </c>
      <c r="O80" t="s">
        <v>76</v>
      </c>
      <c r="P80" t="s">
        <v>76</v>
      </c>
      <c r="Q80">
        <v>1</v>
      </c>
      <c r="X80">
        <v>2.04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2.04</v>
      </c>
      <c r="AH80">
        <v>2</v>
      </c>
      <c r="AI80">
        <v>26914310</v>
      </c>
      <c r="AJ80">
        <v>82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ROW(Source!A52)</f>
        <v>52</v>
      </c>
      <c r="B81">
        <v>26914324</v>
      </c>
      <c r="C81">
        <v>26914318</v>
      </c>
      <c r="D81">
        <v>25416173</v>
      </c>
      <c r="E81">
        <v>1</v>
      </c>
      <c r="F81">
        <v>1</v>
      </c>
      <c r="G81">
        <v>1</v>
      </c>
      <c r="H81">
        <v>1</v>
      </c>
      <c r="I81" t="s">
        <v>373</v>
      </c>
      <c r="J81" t="s">
        <v>6</v>
      </c>
      <c r="K81" t="s">
        <v>374</v>
      </c>
      <c r="L81">
        <v>1191</v>
      </c>
      <c r="N81">
        <v>1013</v>
      </c>
      <c r="O81" t="s">
        <v>332</v>
      </c>
      <c r="P81" t="s">
        <v>332</v>
      </c>
      <c r="Q81">
        <v>1</v>
      </c>
      <c r="X81">
        <v>0.5</v>
      </c>
      <c r="Y81">
        <v>0</v>
      </c>
      <c r="Z81">
        <v>0</v>
      </c>
      <c r="AA81">
        <v>0</v>
      </c>
      <c r="AB81">
        <v>7.94</v>
      </c>
      <c r="AC81">
        <v>0</v>
      </c>
      <c r="AD81">
        <v>1</v>
      </c>
      <c r="AE81">
        <v>1</v>
      </c>
      <c r="AF81" t="s">
        <v>41</v>
      </c>
      <c r="AG81">
        <v>0.57499999999999996</v>
      </c>
      <c r="AH81">
        <v>2</v>
      </c>
      <c r="AI81">
        <v>26914319</v>
      </c>
      <c r="AJ81">
        <v>83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ROW(Source!A52)</f>
        <v>52</v>
      </c>
      <c r="B82">
        <v>26914325</v>
      </c>
      <c r="C82">
        <v>26914318</v>
      </c>
      <c r="D82">
        <v>25412928</v>
      </c>
      <c r="E82">
        <v>1</v>
      </c>
      <c r="F82">
        <v>1</v>
      </c>
      <c r="G82">
        <v>1</v>
      </c>
      <c r="H82">
        <v>1</v>
      </c>
      <c r="I82" t="s">
        <v>333</v>
      </c>
      <c r="J82" t="s">
        <v>6</v>
      </c>
      <c r="K82" t="s">
        <v>334</v>
      </c>
      <c r="L82">
        <v>1191</v>
      </c>
      <c r="N82">
        <v>1013</v>
      </c>
      <c r="O82" t="s">
        <v>332</v>
      </c>
      <c r="P82" t="s">
        <v>332</v>
      </c>
      <c r="Q82">
        <v>1</v>
      </c>
      <c r="X82">
        <v>0.21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40</v>
      </c>
      <c r="AG82">
        <v>0.26250000000000001</v>
      </c>
      <c r="AH82">
        <v>2</v>
      </c>
      <c r="AI82">
        <v>26914320</v>
      </c>
      <c r="AJ82">
        <v>84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ROW(Source!A52)</f>
        <v>52</v>
      </c>
      <c r="B83">
        <v>26914326</v>
      </c>
      <c r="C83">
        <v>26914318</v>
      </c>
      <c r="D83">
        <v>25230514</v>
      </c>
      <c r="E83">
        <v>1</v>
      </c>
      <c r="F83">
        <v>1</v>
      </c>
      <c r="G83">
        <v>1</v>
      </c>
      <c r="H83">
        <v>2</v>
      </c>
      <c r="I83" t="s">
        <v>335</v>
      </c>
      <c r="J83" t="s">
        <v>336</v>
      </c>
      <c r="K83" t="s">
        <v>337</v>
      </c>
      <c r="L83">
        <v>1368</v>
      </c>
      <c r="N83">
        <v>1011</v>
      </c>
      <c r="O83" t="s">
        <v>338</v>
      </c>
      <c r="P83" t="s">
        <v>338</v>
      </c>
      <c r="Q83">
        <v>1</v>
      </c>
      <c r="X83">
        <v>0.21</v>
      </c>
      <c r="Y83">
        <v>0</v>
      </c>
      <c r="Z83">
        <v>31.26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40</v>
      </c>
      <c r="AG83">
        <v>0.26250000000000001</v>
      </c>
      <c r="AH83">
        <v>2</v>
      </c>
      <c r="AI83">
        <v>26914321</v>
      </c>
      <c r="AJ83">
        <v>85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ROW(Source!A52)</f>
        <v>52</v>
      </c>
      <c r="B84">
        <v>26914327</v>
      </c>
      <c r="C84">
        <v>26914318</v>
      </c>
      <c r="D84">
        <v>25230627</v>
      </c>
      <c r="E84">
        <v>1</v>
      </c>
      <c r="F84">
        <v>1</v>
      </c>
      <c r="G84">
        <v>1</v>
      </c>
      <c r="H84">
        <v>2</v>
      </c>
      <c r="I84" t="s">
        <v>375</v>
      </c>
      <c r="J84" t="s">
        <v>376</v>
      </c>
      <c r="K84" t="s">
        <v>377</v>
      </c>
      <c r="L84">
        <v>1368</v>
      </c>
      <c r="N84">
        <v>1011</v>
      </c>
      <c r="O84" t="s">
        <v>338</v>
      </c>
      <c r="P84" t="s">
        <v>338</v>
      </c>
      <c r="Q84">
        <v>1</v>
      </c>
      <c r="X84">
        <v>2.3199999999999998</v>
      </c>
      <c r="Y84">
        <v>0</v>
      </c>
      <c r="Z84">
        <v>0.5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40</v>
      </c>
      <c r="AG84">
        <v>2.9</v>
      </c>
      <c r="AH84">
        <v>2</v>
      </c>
      <c r="AI84">
        <v>26914322</v>
      </c>
      <c r="AJ84">
        <v>86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ROW(Source!A52)</f>
        <v>52</v>
      </c>
      <c r="B85">
        <v>26914328</v>
      </c>
      <c r="C85">
        <v>26914318</v>
      </c>
      <c r="D85">
        <v>25144380</v>
      </c>
      <c r="E85">
        <v>17</v>
      </c>
      <c r="F85">
        <v>1</v>
      </c>
      <c r="G85">
        <v>1</v>
      </c>
      <c r="H85">
        <v>3</v>
      </c>
      <c r="I85" t="s">
        <v>74</v>
      </c>
      <c r="J85" t="s">
        <v>6</v>
      </c>
      <c r="K85" t="s">
        <v>75</v>
      </c>
      <c r="L85">
        <v>1339</v>
      </c>
      <c r="N85">
        <v>1007</v>
      </c>
      <c r="O85" t="s">
        <v>76</v>
      </c>
      <c r="P85" t="s">
        <v>76</v>
      </c>
      <c r="Q85">
        <v>1</v>
      </c>
      <c r="X85">
        <v>0.51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6</v>
      </c>
      <c r="AG85">
        <v>0.51</v>
      </c>
      <c r="AH85">
        <v>2</v>
      </c>
      <c r="AI85">
        <v>26914323</v>
      </c>
      <c r="AJ85">
        <v>87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ROW(Source!A53)</f>
        <v>53</v>
      </c>
      <c r="B86">
        <v>26914324</v>
      </c>
      <c r="C86">
        <v>26914318</v>
      </c>
      <c r="D86">
        <v>25416173</v>
      </c>
      <c r="E86">
        <v>1</v>
      </c>
      <c r="F86">
        <v>1</v>
      </c>
      <c r="G86">
        <v>1</v>
      </c>
      <c r="H86">
        <v>1</v>
      </c>
      <c r="I86" t="s">
        <v>373</v>
      </c>
      <c r="J86" t="s">
        <v>6</v>
      </c>
      <c r="K86" t="s">
        <v>374</v>
      </c>
      <c r="L86">
        <v>1191</v>
      </c>
      <c r="N86">
        <v>1013</v>
      </c>
      <c r="O86" t="s">
        <v>332</v>
      </c>
      <c r="P86" t="s">
        <v>332</v>
      </c>
      <c r="Q86">
        <v>1</v>
      </c>
      <c r="X86">
        <v>0.5</v>
      </c>
      <c r="Y86">
        <v>0</v>
      </c>
      <c r="Z86">
        <v>0</v>
      </c>
      <c r="AA86">
        <v>0</v>
      </c>
      <c r="AB86">
        <v>7.94</v>
      </c>
      <c r="AC86">
        <v>0</v>
      </c>
      <c r="AD86">
        <v>1</v>
      </c>
      <c r="AE86">
        <v>1</v>
      </c>
      <c r="AF86" t="s">
        <v>41</v>
      </c>
      <c r="AG86">
        <v>0.57499999999999996</v>
      </c>
      <c r="AH86">
        <v>2</v>
      </c>
      <c r="AI86">
        <v>26914319</v>
      </c>
      <c r="AJ86">
        <v>88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ROW(Source!A53)</f>
        <v>53</v>
      </c>
      <c r="B87">
        <v>26914325</v>
      </c>
      <c r="C87">
        <v>26914318</v>
      </c>
      <c r="D87">
        <v>25412928</v>
      </c>
      <c r="E87">
        <v>1</v>
      </c>
      <c r="F87">
        <v>1</v>
      </c>
      <c r="G87">
        <v>1</v>
      </c>
      <c r="H87">
        <v>1</v>
      </c>
      <c r="I87" t="s">
        <v>333</v>
      </c>
      <c r="J87" t="s">
        <v>6</v>
      </c>
      <c r="K87" t="s">
        <v>334</v>
      </c>
      <c r="L87">
        <v>1191</v>
      </c>
      <c r="N87">
        <v>1013</v>
      </c>
      <c r="O87" t="s">
        <v>332</v>
      </c>
      <c r="P87" t="s">
        <v>332</v>
      </c>
      <c r="Q87">
        <v>1</v>
      </c>
      <c r="X87">
        <v>0.21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40</v>
      </c>
      <c r="AG87">
        <v>0.26250000000000001</v>
      </c>
      <c r="AH87">
        <v>2</v>
      </c>
      <c r="AI87">
        <v>26914320</v>
      </c>
      <c r="AJ87">
        <v>89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ROW(Source!A53)</f>
        <v>53</v>
      </c>
      <c r="B88">
        <v>26914326</v>
      </c>
      <c r="C88">
        <v>26914318</v>
      </c>
      <c r="D88">
        <v>25230514</v>
      </c>
      <c r="E88">
        <v>1</v>
      </c>
      <c r="F88">
        <v>1</v>
      </c>
      <c r="G88">
        <v>1</v>
      </c>
      <c r="H88">
        <v>2</v>
      </c>
      <c r="I88" t="s">
        <v>335</v>
      </c>
      <c r="J88" t="s">
        <v>336</v>
      </c>
      <c r="K88" t="s">
        <v>337</v>
      </c>
      <c r="L88">
        <v>1368</v>
      </c>
      <c r="N88">
        <v>1011</v>
      </c>
      <c r="O88" t="s">
        <v>338</v>
      </c>
      <c r="P88" t="s">
        <v>338</v>
      </c>
      <c r="Q88">
        <v>1</v>
      </c>
      <c r="X88">
        <v>0.21</v>
      </c>
      <c r="Y88">
        <v>0</v>
      </c>
      <c r="Z88">
        <v>31.26</v>
      </c>
      <c r="AA88">
        <v>13.5</v>
      </c>
      <c r="AB88">
        <v>0</v>
      </c>
      <c r="AC88">
        <v>0</v>
      </c>
      <c r="AD88">
        <v>1</v>
      </c>
      <c r="AE88">
        <v>0</v>
      </c>
      <c r="AF88" t="s">
        <v>40</v>
      </c>
      <c r="AG88">
        <v>0.26250000000000001</v>
      </c>
      <c r="AH88">
        <v>2</v>
      </c>
      <c r="AI88">
        <v>26914321</v>
      </c>
      <c r="AJ88">
        <v>90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ROW(Source!A53)</f>
        <v>53</v>
      </c>
      <c r="B89">
        <v>26914327</v>
      </c>
      <c r="C89">
        <v>26914318</v>
      </c>
      <c r="D89">
        <v>25230627</v>
      </c>
      <c r="E89">
        <v>1</v>
      </c>
      <c r="F89">
        <v>1</v>
      </c>
      <c r="G89">
        <v>1</v>
      </c>
      <c r="H89">
        <v>2</v>
      </c>
      <c r="I89" t="s">
        <v>375</v>
      </c>
      <c r="J89" t="s">
        <v>376</v>
      </c>
      <c r="K89" t="s">
        <v>377</v>
      </c>
      <c r="L89">
        <v>1368</v>
      </c>
      <c r="N89">
        <v>1011</v>
      </c>
      <c r="O89" t="s">
        <v>338</v>
      </c>
      <c r="P89" t="s">
        <v>338</v>
      </c>
      <c r="Q89">
        <v>1</v>
      </c>
      <c r="X89">
        <v>2.3199999999999998</v>
      </c>
      <c r="Y89">
        <v>0</v>
      </c>
      <c r="Z89">
        <v>0.5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40</v>
      </c>
      <c r="AG89">
        <v>2.9</v>
      </c>
      <c r="AH89">
        <v>2</v>
      </c>
      <c r="AI89">
        <v>26914322</v>
      </c>
      <c r="AJ89">
        <v>91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ROW(Source!A53)</f>
        <v>53</v>
      </c>
      <c r="B90">
        <v>26914328</v>
      </c>
      <c r="C90">
        <v>26914318</v>
      </c>
      <c r="D90">
        <v>25144380</v>
      </c>
      <c r="E90">
        <v>17</v>
      </c>
      <c r="F90">
        <v>1</v>
      </c>
      <c r="G90">
        <v>1</v>
      </c>
      <c r="H90">
        <v>3</v>
      </c>
      <c r="I90" t="s">
        <v>74</v>
      </c>
      <c r="J90" t="s">
        <v>6</v>
      </c>
      <c r="K90" t="s">
        <v>75</v>
      </c>
      <c r="L90">
        <v>1339</v>
      </c>
      <c r="N90">
        <v>1007</v>
      </c>
      <c r="O90" t="s">
        <v>76</v>
      </c>
      <c r="P90" t="s">
        <v>76</v>
      </c>
      <c r="Q90">
        <v>1</v>
      </c>
      <c r="X90">
        <v>0.51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 t="s">
        <v>6</v>
      </c>
      <c r="AG90">
        <v>0.51</v>
      </c>
      <c r="AH90">
        <v>2</v>
      </c>
      <c r="AI90">
        <v>26914323</v>
      </c>
      <c r="AJ90">
        <v>92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ROW(Source!A56)</f>
        <v>56</v>
      </c>
      <c r="B91">
        <v>26914343</v>
      </c>
      <c r="C91">
        <v>26914330</v>
      </c>
      <c r="D91">
        <v>25418547</v>
      </c>
      <c r="E91">
        <v>1</v>
      </c>
      <c r="F91">
        <v>1</v>
      </c>
      <c r="G91">
        <v>1</v>
      </c>
      <c r="H91">
        <v>1</v>
      </c>
      <c r="I91" t="s">
        <v>378</v>
      </c>
      <c r="J91" t="s">
        <v>6</v>
      </c>
      <c r="K91" t="s">
        <v>379</v>
      </c>
      <c r="L91">
        <v>1191</v>
      </c>
      <c r="N91">
        <v>1013</v>
      </c>
      <c r="O91" t="s">
        <v>332</v>
      </c>
      <c r="P91" t="s">
        <v>332</v>
      </c>
      <c r="Q91">
        <v>1</v>
      </c>
      <c r="X91">
        <v>310.42</v>
      </c>
      <c r="Y91">
        <v>0</v>
      </c>
      <c r="Z91">
        <v>0</v>
      </c>
      <c r="AA91">
        <v>0</v>
      </c>
      <c r="AB91">
        <v>8.74</v>
      </c>
      <c r="AC91">
        <v>0</v>
      </c>
      <c r="AD91">
        <v>1</v>
      </c>
      <c r="AE91">
        <v>1</v>
      </c>
      <c r="AF91" t="s">
        <v>41</v>
      </c>
      <c r="AG91">
        <v>356.983</v>
      </c>
      <c r="AH91">
        <v>2</v>
      </c>
      <c r="AI91">
        <v>26914331</v>
      </c>
      <c r="AJ91">
        <v>93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ROW(Source!A56)</f>
        <v>56</v>
      </c>
      <c r="B92">
        <v>26914344</v>
      </c>
      <c r="C92">
        <v>26914330</v>
      </c>
      <c r="D92">
        <v>25412928</v>
      </c>
      <c r="E92">
        <v>1</v>
      </c>
      <c r="F92">
        <v>1</v>
      </c>
      <c r="G92">
        <v>1</v>
      </c>
      <c r="H92">
        <v>1</v>
      </c>
      <c r="I92" t="s">
        <v>333</v>
      </c>
      <c r="J92" t="s">
        <v>6</v>
      </c>
      <c r="K92" t="s">
        <v>334</v>
      </c>
      <c r="L92">
        <v>1191</v>
      </c>
      <c r="N92">
        <v>1013</v>
      </c>
      <c r="O92" t="s">
        <v>332</v>
      </c>
      <c r="P92" t="s">
        <v>332</v>
      </c>
      <c r="Q92">
        <v>1</v>
      </c>
      <c r="X92">
        <v>1.73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40</v>
      </c>
      <c r="AG92">
        <v>2.1625000000000001</v>
      </c>
      <c r="AH92">
        <v>2</v>
      </c>
      <c r="AI92">
        <v>26914332</v>
      </c>
      <c r="AJ92">
        <v>94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ROW(Source!A56)</f>
        <v>56</v>
      </c>
      <c r="B93">
        <v>26914345</v>
      </c>
      <c r="C93">
        <v>26914330</v>
      </c>
      <c r="D93">
        <v>25230116</v>
      </c>
      <c r="E93">
        <v>1</v>
      </c>
      <c r="F93">
        <v>1</v>
      </c>
      <c r="G93">
        <v>1</v>
      </c>
      <c r="H93">
        <v>2</v>
      </c>
      <c r="I93" t="s">
        <v>380</v>
      </c>
      <c r="J93" t="s">
        <v>381</v>
      </c>
      <c r="K93" t="s">
        <v>382</v>
      </c>
      <c r="L93">
        <v>1368</v>
      </c>
      <c r="N93">
        <v>1011</v>
      </c>
      <c r="O93" t="s">
        <v>338</v>
      </c>
      <c r="P93" t="s">
        <v>338</v>
      </c>
      <c r="Q93">
        <v>1</v>
      </c>
      <c r="X93">
        <v>0.02</v>
      </c>
      <c r="Y93">
        <v>0</v>
      </c>
      <c r="Z93">
        <v>83.43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40</v>
      </c>
      <c r="AG93">
        <v>2.5000000000000001E-2</v>
      </c>
      <c r="AH93">
        <v>2</v>
      </c>
      <c r="AI93">
        <v>26914333</v>
      </c>
      <c r="AJ93">
        <v>95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26914346</v>
      </c>
      <c r="C94">
        <v>26914330</v>
      </c>
      <c r="D94">
        <v>25230218</v>
      </c>
      <c r="E94">
        <v>1</v>
      </c>
      <c r="F94">
        <v>1</v>
      </c>
      <c r="G94">
        <v>1</v>
      </c>
      <c r="H94">
        <v>2</v>
      </c>
      <c r="I94" t="s">
        <v>383</v>
      </c>
      <c r="J94" t="s">
        <v>384</v>
      </c>
      <c r="K94" t="s">
        <v>385</v>
      </c>
      <c r="L94">
        <v>1368</v>
      </c>
      <c r="N94">
        <v>1011</v>
      </c>
      <c r="O94" t="s">
        <v>338</v>
      </c>
      <c r="P94" t="s">
        <v>338</v>
      </c>
      <c r="Q94">
        <v>1</v>
      </c>
      <c r="X94">
        <v>0.01</v>
      </c>
      <c r="Y94">
        <v>0</v>
      </c>
      <c r="Z94">
        <v>88.01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40</v>
      </c>
      <c r="AG94">
        <v>1.2500000000000001E-2</v>
      </c>
      <c r="AH94">
        <v>2</v>
      </c>
      <c r="AI94">
        <v>26914334</v>
      </c>
      <c r="AJ94">
        <v>96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26914347</v>
      </c>
      <c r="C95">
        <v>26914330</v>
      </c>
      <c r="D95">
        <v>25230679</v>
      </c>
      <c r="E95">
        <v>1</v>
      </c>
      <c r="F95">
        <v>1</v>
      </c>
      <c r="G95">
        <v>1</v>
      </c>
      <c r="H95">
        <v>2</v>
      </c>
      <c r="I95" t="s">
        <v>386</v>
      </c>
      <c r="J95" t="s">
        <v>387</v>
      </c>
      <c r="K95" t="s">
        <v>388</v>
      </c>
      <c r="L95">
        <v>1368</v>
      </c>
      <c r="N95">
        <v>1011</v>
      </c>
      <c r="O95" t="s">
        <v>338</v>
      </c>
      <c r="P95" t="s">
        <v>338</v>
      </c>
      <c r="Q95">
        <v>1</v>
      </c>
      <c r="X95">
        <v>1.69</v>
      </c>
      <c r="Y95">
        <v>0</v>
      </c>
      <c r="Z95">
        <v>12.39</v>
      </c>
      <c r="AA95">
        <v>10.06</v>
      </c>
      <c r="AB95">
        <v>0</v>
      </c>
      <c r="AC95">
        <v>0</v>
      </c>
      <c r="AD95">
        <v>1</v>
      </c>
      <c r="AE95">
        <v>0</v>
      </c>
      <c r="AF95" t="s">
        <v>40</v>
      </c>
      <c r="AG95">
        <v>2.1124999999999998</v>
      </c>
      <c r="AH95">
        <v>2</v>
      </c>
      <c r="AI95">
        <v>26914335</v>
      </c>
      <c r="AJ95">
        <v>97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26914348</v>
      </c>
      <c r="C96">
        <v>26914330</v>
      </c>
      <c r="D96">
        <v>25231607</v>
      </c>
      <c r="E96">
        <v>1</v>
      </c>
      <c r="F96">
        <v>1</v>
      </c>
      <c r="G96">
        <v>1</v>
      </c>
      <c r="H96">
        <v>2</v>
      </c>
      <c r="I96" t="s">
        <v>352</v>
      </c>
      <c r="J96" t="s">
        <v>353</v>
      </c>
      <c r="K96" t="s">
        <v>354</v>
      </c>
      <c r="L96">
        <v>1368</v>
      </c>
      <c r="N96">
        <v>1011</v>
      </c>
      <c r="O96" t="s">
        <v>338</v>
      </c>
      <c r="P96" t="s">
        <v>338</v>
      </c>
      <c r="Q96">
        <v>1</v>
      </c>
      <c r="X96">
        <v>0.01</v>
      </c>
      <c r="Y96">
        <v>0</v>
      </c>
      <c r="Z96">
        <v>65.709999999999994</v>
      </c>
      <c r="AA96">
        <v>11.6</v>
      </c>
      <c r="AB96">
        <v>0</v>
      </c>
      <c r="AC96">
        <v>0</v>
      </c>
      <c r="AD96">
        <v>1</v>
      </c>
      <c r="AE96">
        <v>0</v>
      </c>
      <c r="AF96" t="s">
        <v>40</v>
      </c>
      <c r="AG96">
        <v>1.2500000000000001E-2</v>
      </c>
      <c r="AH96">
        <v>2</v>
      </c>
      <c r="AI96">
        <v>26914336</v>
      </c>
      <c r="AJ96">
        <v>98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26914349</v>
      </c>
      <c r="C97">
        <v>26914330</v>
      </c>
      <c r="D97">
        <v>25149961</v>
      </c>
      <c r="E97">
        <v>1</v>
      </c>
      <c r="F97">
        <v>1</v>
      </c>
      <c r="G97">
        <v>1</v>
      </c>
      <c r="H97">
        <v>3</v>
      </c>
      <c r="I97" t="s">
        <v>364</v>
      </c>
      <c r="J97" t="s">
        <v>365</v>
      </c>
      <c r="K97" t="s">
        <v>366</v>
      </c>
      <c r="L97">
        <v>1339</v>
      </c>
      <c r="N97">
        <v>1007</v>
      </c>
      <c r="O97" t="s">
        <v>76</v>
      </c>
      <c r="P97" t="s">
        <v>76</v>
      </c>
      <c r="Q97">
        <v>1</v>
      </c>
      <c r="X97">
        <v>0.44</v>
      </c>
      <c r="Y97">
        <v>2.44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0.44</v>
      </c>
      <c r="AH97">
        <v>2</v>
      </c>
      <c r="AI97">
        <v>26914337</v>
      </c>
      <c r="AJ97">
        <v>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ROW(Source!A56)</f>
        <v>56</v>
      </c>
      <c r="B98">
        <v>26914350</v>
      </c>
      <c r="C98">
        <v>26914330</v>
      </c>
      <c r="D98">
        <v>25155711</v>
      </c>
      <c r="E98">
        <v>1</v>
      </c>
      <c r="F98">
        <v>1</v>
      </c>
      <c r="G98">
        <v>1</v>
      </c>
      <c r="H98">
        <v>3</v>
      </c>
      <c r="I98" t="s">
        <v>389</v>
      </c>
      <c r="J98" t="s">
        <v>390</v>
      </c>
      <c r="K98" t="s">
        <v>391</v>
      </c>
      <c r="L98">
        <v>1348</v>
      </c>
      <c r="N98">
        <v>1009</v>
      </c>
      <c r="O98" t="s">
        <v>24</v>
      </c>
      <c r="P98" t="s">
        <v>24</v>
      </c>
      <c r="Q98">
        <v>1000</v>
      </c>
      <c r="X98">
        <v>1.2999999999999999E-2</v>
      </c>
      <c r="Y98">
        <v>6513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1.2999999999999999E-2</v>
      </c>
      <c r="AH98">
        <v>2</v>
      </c>
      <c r="AI98">
        <v>26914338</v>
      </c>
      <c r="AJ98">
        <v>100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ROW(Source!A56)</f>
        <v>56</v>
      </c>
      <c r="B99">
        <v>26914351</v>
      </c>
      <c r="C99">
        <v>26914330</v>
      </c>
      <c r="D99">
        <v>25169756</v>
      </c>
      <c r="E99">
        <v>1</v>
      </c>
      <c r="F99">
        <v>1</v>
      </c>
      <c r="G99">
        <v>1</v>
      </c>
      <c r="H99">
        <v>3</v>
      </c>
      <c r="I99" t="s">
        <v>90</v>
      </c>
      <c r="J99" t="s">
        <v>93</v>
      </c>
      <c r="K99" t="s">
        <v>91</v>
      </c>
      <c r="L99">
        <v>1327</v>
      </c>
      <c r="N99">
        <v>1005</v>
      </c>
      <c r="O99" t="s">
        <v>92</v>
      </c>
      <c r="P99" t="s">
        <v>92</v>
      </c>
      <c r="Q99">
        <v>1</v>
      </c>
      <c r="X99">
        <v>102</v>
      </c>
      <c r="Y99">
        <v>140.44999999999999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102</v>
      </c>
      <c r="AH99">
        <v>2</v>
      </c>
      <c r="AI99">
        <v>26914339</v>
      </c>
      <c r="AJ99">
        <v>101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ROW(Source!A56)</f>
        <v>56</v>
      </c>
      <c r="B100">
        <v>26914352</v>
      </c>
      <c r="C100">
        <v>26914330</v>
      </c>
      <c r="D100">
        <v>25145444</v>
      </c>
      <c r="E100">
        <v>17</v>
      </c>
      <c r="F100">
        <v>1</v>
      </c>
      <c r="G100">
        <v>1</v>
      </c>
      <c r="H100">
        <v>3</v>
      </c>
      <c r="I100" t="s">
        <v>491</v>
      </c>
      <c r="J100" t="s">
        <v>6</v>
      </c>
      <c r="K100" t="s">
        <v>492</v>
      </c>
      <c r="L100">
        <v>1339</v>
      </c>
      <c r="N100">
        <v>1007</v>
      </c>
      <c r="O100" t="s">
        <v>76</v>
      </c>
      <c r="P100" t="s">
        <v>76</v>
      </c>
      <c r="Q100">
        <v>1</v>
      </c>
      <c r="X100">
        <v>0.01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6</v>
      </c>
      <c r="AG100">
        <v>0.01</v>
      </c>
      <c r="AH100">
        <v>3</v>
      </c>
      <c r="AI100">
        <v>-1</v>
      </c>
      <c r="AJ100" t="s">
        <v>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ROW(Source!A56)</f>
        <v>56</v>
      </c>
      <c r="B101">
        <v>26914353</v>
      </c>
      <c r="C101">
        <v>26914330</v>
      </c>
      <c r="D101">
        <v>25185231</v>
      </c>
      <c r="E101">
        <v>1</v>
      </c>
      <c r="F101">
        <v>1</v>
      </c>
      <c r="G101">
        <v>1</v>
      </c>
      <c r="H101">
        <v>3</v>
      </c>
      <c r="I101" t="s">
        <v>104</v>
      </c>
      <c r="J101" t="s">
        <v>106</v>
      </c>
      <c r="K101" t="s">
        <v>105</v>
      </c>
      <c r="L101">
        <v>1346</v>
      </c>
      <c r="N101">
        <v>1009</v>
      </c>
      <c r="O101" t="s">
        <v>50</v>
      </c>
      <c r="P101" t="s">
        <v>50</v>
      </c>
      <c r="Q101">
        <v>1</v>
      </c>
      <c r="X101">
        <v>1200</v>
      </c>
      <c r="Y101">
        <v>3.69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1200</v>
      </c>
      <c r="AH101">
        <v>2</v>
      </c>
      <c r="AI101">
        <v>26914340</v>
      </c>
      <c r="AJ101">
        <v>103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ROW(Source!A56)</f>
        <v>56</v>
      </c>
      <c r="B102">
        <v>26914354</v>
      </c>
      <c r="C102">
        <v>26914330</v>
      </c>
      <c r="D102">
        <v>25145248</v>
      </c>
      <c r="E102">
        <v>17</v>
      </c>
      <c r="F102">
        <v>1</v>
      </c>
      <c r="G102">
        <v>1</v>
      </c>
      <c r="H102">
        <v>3</v>
      </c>
      <c r="I102" t="s">
        <v>493</v>
      </c>
      <c r="J102" t="s">
        <v>6</v>
      </c>
      <c r="K102" t="s">
        <v>494</v>
      </c>
      <c r="L102">
        <v>1348</v>
      </c>
      <c r="N102">
        <v>1009</v>
      </c>
      <c r="O102" t="s">
        <v>24</v>
      </c>
      <c r="P102" t="s">
        <v>24</v>
      </c>
      <c r="Q102">
        <v>1000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1</v>
      </c>
      <c r="AD102">
        <v>0</v>
      </c>
      <c r="AE102">
        <v>0</v>
      </c>
      <c r="AF102" t="s">
        <v>6</v>
      </c>
      <c r="AG102">
        <v>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ROW(Source!A57)</f>
        <v>57</v>
      </c>
      <c r="B103">
        <v>26914343</v>
      </c>
      <c r="C103">
        <v>26914330</v>
      </c>
      <c r="D103">
        <v>25418547</v>
      </c>
      <c r="E103">
        <v>1</v>
      </c>
      <c r="F103">
        <v>1</v>
      </c>
      <c r="G103">
        <v>1</v>
      </c>
      <c r="H103">
        <v>1</v>
      </c>
      <c r="I103" t="s">
        <v>378</v>
      </c>
      <c r="J103" t="s">
        <v>6</v>
      </c>
      <c r="K103" t="s">
        <v>379</v>
      </c>
      <c r="L103">
        <v>1191</v>
      </c>
      <c r="N103">
        <v>1013</v>
      </c>
      <c r="O103" t="s">
        <v>332</v>
      </c>
      <c r="P103" t="s">
        <v>332</v>
      </c>
      <c r="Q103">
        <v>1</v>
      </c>
      <c r="X103">
        <v>310.42</v>
      </c>
      <c r="Y103">
        <v>0</v>
      </c>
      <c r="Z103">
        <v>0</v>
      </c>
      <c r="AA103">
        <v>0</v>
      </c>
      <c r="AB103">
        <v>8.74</v>
      </c>
      <c r="AC103">
        <v>0</v>
      </c>
      <c r="AD103">
        <v>1</v>
      </c>
      <c r="AE103">
        <v>1</v>
      </c>
      <c r="AF103" t="s">
        <v>41</v>
      </c>
      <c r="AG103">
        <v>356.983</v>
      </c>
      <c r="AH103">
        <v>2</v>
      </c>
      <c r="AI103">
        <v>26914331</v>
      </c>
      <c r="AJ103">
        <v>105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ROW(Source!A57)</f>
        <v>57</v>
      </c>
      <c r="B104">
        <v>26914344</v>
      </c>
      <c r="C104">
        <v>26914330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333</v>
      </c>
      <c r="J104" t="s">
        <v>6</v>
      </c>
      <c r="K104" t="s">
        <v>334</v>
      </c>
      <c r="L104">
        <v>1191</v>
      </c>
      <c r="N104">
        <v>1013</v>
      </c>
      <c r="O104" t="s">
        <v>332</v>
      </c>
      <c r="P104" t="s">
        <v>332</v>
      </c>
      <c r="Q104">
        <v>1</v>
      </c>
      <c r="X104">
        <v>1.73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40</v>
      </c>
      <c r="AG104">
        <v>2.1625000000000001</v>
      </c>
      <c r="AH104">
        <v>2</v>
      </c>
      <c r="AI104">
        <v>26914332</v>
      </c>
      <c r="AJ104">
        <v>106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ROW(Source!A57)</f>
        <v>57</v>
      </c>
      <c r="B105">
        <v>26914345</v>
      </c>
      <c r="C105">
        <v>26914330</v>
      </c>
      <c r="D105">
        <v>25230116</v>
      </c>
      <c r="E105">
        <v>1</v>
      </c>
      <c r="F105">
        <v>1</v>
      </c>
      <c r="G105">
        <v>1</v>
      </c>
      <c r="H105">
        <v>2</v>
      </c>
      <c r="I105" t="s">
        <v>380</v>
      </c>
      <c r="J105" t="s">
        <v>381</v>
      </c>
      <c r="K105" t="s">
        <v>382</v>
      </c>
      <c r="L105">
        <v>1368</v>
      </c>
      <c r="N105">
        <v>1011</v>
      </c>
      <c r="O105" t="s">
        <v>338</v>
      </c>
      <c r="P105" t="s">
        <v>338</v>
      </c>
      <c r="Q105">
        <v>1</v>
      </c>
      <c r="X105">
        <v>0.02</v>
      </c>
      <c r="Y105">
        <v>0</v>
      </c>
      <c r="Z105">
        <v>83.43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40</v>
      </c>
      <c r="AG105">
        <v>2.5000000000000001E-2</v>
      </c>
      <c r="AH105">
        <v>2</v>
      </c>
      <c r="AI105">
        <v>26914333</v>
      </c>
      <c r="AJ105">
        <v>107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ROW(Source!A57)</f>
        <v>57</v>
      </c>
      <c r="B106">
        <v>26914346</v>
      </c>
      <c r="C106">
        <v>26914330</v>
      </c>
      <c r="D106">
        <v>25230218</v>
      </c>
      <c r="E106">
        <v>1</v>
      </c>
      <c r="F106">
        <v>1</v>
      </c>
      <c r="G106">
        <v>1</v>
      </c>
      <c r="H106">
        <v>2</v>
      </c>
      <c r="I106" t="s">
        <v>383</v>
      </c>
      <c r="J106" t="s">
        <v>384</v>
      </c>
      <c r="K106" t="s">
        <v>385</v>
      </c>
      <c r="L106">
        <v>1368</v>
      </c>
      <c r="N106">
        <v>1011</v>
      </c>
      <c r="O106" t="s">
        <v>338</v>
      </c>
      <c r="P106" t="s">
        <v>338</v>
      </c>
      <c r="Q106">
        <v>1</v>
      </c>
      <c r="X106">
        <v>0.01</v>
      </c>
      <c r="Y106">
        <v>0</v>
      </c>
      <c r="Z106">
        <v>88.01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40</v>
      </c>
      <c r="AG106">
        <v>1.2500000000000001E-2</v>
      </c>
      <c r="AH106">
        <v>2</v>
      </c>
      <c r="AI106">
        <v>26914334</v>
      </c>
      <c r="AJ106">
        <v>108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ROW(Source!A57)</f>
        <v>57</v>
      </c>
      <c r="B107">
        <v>26914347</v>
      </c>
      <c r="C107">
        <v>26914330</v>
      </c>
      <c r="D107">
        <v>25230679</v>
      </c>
      <c r="E107">
        <v>1</v>
      </c>
      <c r="F107">
        <v>1</v>
      </c>
      <c r="G107">
        <v>1</v>
      </c>
      <c r="H107">
        <v>2</v>
      </c>
      <c r="I107" t="s">
        <v>386</v>
      </c>
      <c r="J107" t="s">
        <v>387</v>
      </c>
      <c r="K107" t="s">
        <v>388</v>
      </c>
      <c r="L107">
        <v>1368</v>
      </c>
      <c r="N107">
        <v>1011</v>
      </c>
      <c r="O107" t="s">
        <v>338</v>
      </c>
      <c r="P107" t="s">
        <v>338</v>
      </c>
      <c r="Q107">
        <v>1</v>
      </c>
      <c r="X107">
        <v>1.69</v>
      </c>
      <c r="Y107">
        <v>0</v>
      </c>
      <c r="Z107">
        <v>12.39</v>
      </c>
      <c r="AA107">
        <v>10.06</v>
      </c>
      <c r="AB107">
        <v>0</v>
      </c>
      <c r="AC107">
        <v>0</v>
      </c>
      <c r="AD107">
        <v>1</v>
      </c>
      <c r="AE107">
        <v>0</v>
      </c>
      <c r="AF107" t="s">
        <v>40</v>
      </c>
      <c r="AG107">
        <v>2.1124999999999998</v>
      </c>
      <c r="AH107">
        <v>2</v>
      </c>
      <c r="AI107">
        <v>26914335</v>
      </c>
      <c r="AJ107">
        <v>109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ROW(Source!A57)</f>
        <v>57</v>
      </c>
      <c r="B108">
        <v>26914348</v>
      </c>
      <c r="C108">
        <v>26914330</v>
      </c>
      <c r="D108">
        <v>25231607</v>
      </c>
      <c r="E108">
        <v>1</v>
      </c>
      <c r="F108">
        <v>1</v>
      </c>
      <c r="G108">
        <v>1</v>
      </c>
      <c r="H108">
        <v>2</v>
      </c>
      <c r="I108" t="s">
        <v>352</v>
      </c>
      <c r="J108" t="s">
        <v>353</v>
      </c>
      <c r="K108" t="s">
        <v>354</v>
      </c>
      <c r="L108">
        <v>1368</v>
      </c>
      <c r="N108">
        <v>1011</v>
      </c>
      <c r="O108" t="s">
        <v>338</v>
      </c>
      <c r="P108" t="s">
        <v>338</v>
      </c>
      <c r="Q108">
        <v>1</v>
      </c>
      <c r="X108">
        <v>0.01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40</v>
      </c>
      <c r="AG108">
        <v>1.2500000000000001E-2</v>
      </c>
      <c r="AH108">
        <v>2</v>
      </c>
      <c r="AI108">
        <v>26914336</v>
      </c>
      <c r="AJ108">
        <v>110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ROW(Source!A57)</f>
        <v>57</v>
      </c>
      <c r="B109">
        <v>26914349</v>
      </c>
      <c r="C109">
        <v>26914330</v>
      </c>
      <c r="D109">
        <v>25149961</v>
      </c>
      <c r="E109">
        <v>1</v>
      </c>
      <c r="F109">
        <v>1</v>
      </c>
      <c r="G109">
        <v>1</v>
      </c>
      <c r="H109">
        <v>3</v>
      </c>
      <c r="I109" t="s">
        <v>364</v>
      </c>
      <c r="J109" t="s">
        <v>365</v>
      </c>
      <c r="K109" t="s">
        <v>366</v>
      </c>
      <c r="L109">
        <v>1339</v>
      </c>
      <c r="N109">
        <v>1007</v>
      </c>
      <c r="O109" t="s">
        <v>76</v>
      </c>
      <c r="P109" t="s">
        <v>76</v>
      </c>
      <c r="Q109">
        <v>1</v>
      </c>
      <c r="X109">
        <v>0.44</v>
      </c>
      <c r="Y109">
        <v>2.44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0.44</v>
      </c>
      <c r="AH109">
        <v>2</v>
      </c>
      <c r="AI109">
        <v>26914337</v>
      </c>
      <c r="AJ109">
        <v>111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ROW(Source!A57)</f>
        <v>57</v>
      </c>
      <c r="B110">
        <v>26914350</v>
      </c>
      <c r="C110">
        <v>26914330</v>
      </c>
      <c r="D110">
        <v>25155711</v>
      </c>
      <c r="E110">
        <v>1</v>
      </c>
      <c r="F110">
        <v>1</v>
      </c>
      <c r="G110">
        <v>1</v>
      </c>
      <c r="H110">
        <v>3</v>
      </c>
      <c r="I110" t="s">
        <v>389</v>
      </c>
      <c r="J110" t="s">
        <v>390</v>
      </c>
      <c r="K110" t="s">
        <v>391</v>
      </c>
      <c r="L110">
        <v>1348</v>
      </c>
      <c r="N110">
        <v>1009</v>
      </c>
      <c r="O110" t="s">
        <v>24</v>
      </c>
      <c r="P110" t="s">
        <v>24</v>
      </c>
      <c r="Q110">
        <v>1000</v>
      </c>
      <c r="X110">
        <v>1.2999999999999999E-2</v>
      </c>
      <c r="Y110">
        <v>6513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1.2999999999999999E-2</v>
      </c>
      <c r="AH110">
        <v>2</v>
      </c>
      <c r="AI110">
        <v>26914338</v>
      </c>
      <c r="AJ110">
        <v>112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ROW(Source!A57)</f>
        <v>57</v>
      </c>
      <c r="B111">
        <v>26914351</v>
      </c>
      <c r="C111">
        <v>26914330</v>
      </c>
      <c r="D111">
        <v>25169756</v>
      </c>
      <c r="E111">
        <v>1</v>
      </c>
      <c r="F111">
        <v>1</v>
      </c>
      <c r="G111">
        <v>1</v>
      </c>
      <c r="H111">
        <v>3</v>
      </c>
      <c r="I111" t="s">
        <v>90</v>
      </c>
      <c r="J111" t="s">
        <v>93</v>
      </c>
      <c r="K111" t="s">
        <v>91</v>
      </c>
      <c r="L111">
        <v>1327</v>
      </c>
      <c r="N111">
        <v>1005</v>
      </c>
      <c r="O111" t="s">
        <v>92</v>
      </c>
      <c r="P111" t="s">
        <v>92</v>
      </c>
      <c r="Q111">
        <v>1</v>
      </c>
      <c r="X111">
        <v>102</v>
      </c>
      <c r="Y111">
        <v>140.44999999999999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102</v>
      </c>
      <c r="AH111">
        <v>2</v>
      </c>
      <c r="AI111">
        <v>26914339</v>
      </c>
      <c r="AJ111">
        <v>113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ROW(Source!A57)</f>
        <v>57</v>
      </c>
      <c r="B112">
        <v>26914352</v>
      </c>
      <c r="C112">
        <v>26914330</v>
      </c>
      <c r="D112">
        <v>25145444</v>
      </c>
      <c r="E112">
        <v>17</v>
      </c>
      <c r="F112">
        <v>1</v>
      </c>
      <c r="G112">
        <v>1</v>
      </c>
      <c r="H112">
        <v>3</v>
      </c>
      <c r="I112" t="s">
        <v>491</v>
      </c>
      <c r="J112" t="s">
        <v>6</v>
      </c>
      <c r="K112" t="s">
        <v>492</v>
      </c>
      <c r="L112">
        <v>1339</v>
      </c>
      <c r="N112">
        <v>1007</v>
      </c>
      <c r="O112" t="s">
        <v>76</v>
      </c>
      <c r="P112" t="s">
        <v>76</v>
      </c>
      <c r="Q112">
        <v>1</v>
      </c>
      <c r="X112">
        <v>0.01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0.01</v>
      </c>
      <c r="AH112">
        <v>3</v>
      </c>
      <c r="AI112">
        <v>-1</v>
      </c>
      <c r="AJ112" t="s">
        <v>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ROW(Source!A57)</f>
        <v>57</v>
      </c>
      <c r="B113">
        <v>26914353</v>
      </c>
      <c r="C113">
        <v>26914330</v>
      </c>
      <c r="D113">
        <v>25185231</v>
      </c>
      <c r="E113">
        <v>1</v>
      </c>
      <c r="F113">
        <v>1</v>
      </c>
      <c r="G113">
        <v>1</v>
      </c>
      <c r="H113">
        <v>3</v>
      </c>
      <c r="I113" t="s">
        <v>104</v>
      </c>
      <c r="J113" t="s">
        <v>106</v>
      </c>
      <c r="K113" t="s">
        <v>105</v>
      </c>
      <c r="L113">
        <v>1346</v>
      </c>
      <c r="N113">
        <v>1009</v>
      </c>
      <c r="O113" t="s">
        <v>50</v>
      </c>
      <c r="P113" t="s">
        <v>50</v>
      </c>
      <c r="Q113">
        <v>1</v>
      </c>
      <c r="X113">
        <v>1200</v>
      </c>
      <c r="Y113">
        <v>3.69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1200</v>
      </c>
      <c r="AH113">
        <v>2</v>
      </c>
      <c r="AI113">
        <v>26914340</v>
      </c>
      <c r="AJ113">
        <v>115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ROW(Source!A57)</f>
        <v>57</v>
      </c>
      <c r="B114">
        <v>26914354</v>
      </c>
      <c r="C114">
        <v>26914330</v>
      </c>
      <c r="D114">
        <v>25145248</v>
      </c>
      <c r="E114">
        <v>17</v>
      </c>
      <c r="F114">
        <v>1</v>
      </c>
      <c r="G114">
        <v>1</v>
      </c>
      <c r="H114">
        <v>3</v>
      </c>
      <c r="I114" t="s">
        <v>493</v>
      </c>
      <c r="J114" t="s">
        <v>6</v>
      </c>
      <c r="K114" t="s">
        <v>494</v>
      </c>
      <c r="L114">
        <v>1348</v>
      </c>
      <c r="N114">
        <v>1009</v>
      </c>
      <c r="O114" t="s">
        <v>24</v>
      </c>
      <c r="P114" t="s">
        <v>24</v>
      </c>
      <c r="Q114">
        <v>1000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1</v>
      </c>
      <c r="AD114">
        <v>0</v>
      </c>
      <c r="AE114">
        <v>0</v>
      </c>
      <c r="AF114" t="s">
        <v>6</v>
      </c>
      <c r="AG114">
        <v>0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ROW(Source!A64)</f>
        <v>64</v>
      </c>
      <c r="B115">
        <v>26914365</v>
      </c>
      <c r="C115">
        <v>26914358</v>
      </c>
      <c r="D115">
        <v>25418254</v>
      </c>
      <c r="E115">
        <v>1</v>
      </c>
      <c r="F115">
        <v>1</v>
      </c>
      <c r="G115">
        <v>1</v>
      </c>
      <c r="H115">
        <v>1</v>
      </c>
      <c r="I115" t="s">
        <v>392</v>
      </c>
      <c r="J115" t="s">
        <v>6</v>
      </c>
      <c r="K115" t="s">
        <v>393</v>
      </c>
      <c r="L115">
        <v>1191</v>
      </c>
      <c r="N115">
        <v>1013</v>
      </c>
      <c r="O115" t="s">
        <v>332</v>
      </c>
      <c r="P115" t="s">
        <v>332</v>
      </c>
      <c r="Q115">
        <v>1</v>
      </c>
      <c r="X115">
        <v>23.82</v>
      </c>
      <c r="Y115">
        <v>0</v>
      </c>
      <c r="Z115">
        <v>0</v>
      </c>
      <c r="AA115">
        <v>0</v>
      </c>
      <c r="AB115">
        <v>9.51</v>
      </c>
      <c r="AC115">
        <v>0</v>
      </c>
      <c r="AD115">
        <v>1</v>
      </c>
      <c r="AE115">
        <v>1</v>
      </c>
      <c r="AF115" t="s">
        <v>41</v>
      </c>
      <c r="AG115">
        <v>27.392999999999997</v>
      </c>
      <c r="AH115">
        <v>2</v>
      </c>
      <c r="AI115">
        <v>26914359</v>
      </c>
      <c r="AJ115">
        <v>117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ROW(Source!A64)</f>
        <v>64</v>
      </c>
      <c r="B116">
        <v>26914366</v>
      </c>
      <c r="C116">
        <v>26914358</v>
      </c>
      <c r="D116">
        <v>25412928</v>
      </c>
      <c r="E116">
        <v>1</v>
      </c>
      <c r="F116">
        <v>1</v>
      </c>
      <c r="G116">
        <v>1</v>
      </c>
      <c r="H116">
        <v>1</v>
      </c>
      <c r="I116" t="s">
        <v>333</v>
      </c>
      <c r="J116" t="s">
        <v>6</v>
      </c>
      <c r="K116" t="s">
        <v>334</v>
      </c>
      <c r="L116">
        <v>1191</v>
      </c>
      <c r="N116">
        <v>1013</v>
      </c>
      <c r="O116" t="s">
        <v>332</v>
      </c>
      <c r="P116" t="s">
        <v>332</v>
      </c>
      <c r="Q116">
        <v>1</v>
      </c>
      <c r="X116">
        <v>0.11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2</v>
      </c>
      <c r="AF116" t="s">
        <v>40</v>
      </c>
      <c r="AG116">
        <v>0.13750000000000001</v>
      </c>
      <c r="AH116">
        <v>2</v>
      </c>
      <c r="AI116">
        <v>26914360</v>
      </c>
      <c r="AJ116">
        <v>118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ROW(Source!A64)</f>
        <v>64</v>
      </c>
      <c r="B117">
        <v>26914367</v>
      </c>
      <c r="C117">
        <v>26914358</v>
      </c>
      <c r="D117">
        <v>25230514</v>
      </c>
      <c r="E117">
        <v>1</v>
      </c>
      <c r="F117">
        <v>1</v>
      </c>
      <c r="G117">
        <v>1</v>
      </c>
      <c r="H117">
        <v>2</v>
      </c>
      <c r="I117" t="s">
        <v>335</v>
      </c>
      <c r="J117" t="s">
        <v>336</v>
      </c>
      <c r="K117" t="s">
        <v>337</v>
      </c>
      <c r="L117">
        <v>1368</v>
      </c>
      <c r="N117">
        <v>1011</v>
      </c>
      <c r="O117" t="s">
        <v>338</v>
      </c>
      <c r="P117" t="s">
        <v>338</v>
      </c>
      <c r="Q117">
        <v>1</v>
      </c>
      <c r="X117">
        <v>0.05</v>
      </c>
      <c r="Y117">
        <v>0</v>
      </c>
      <c r="Z117">
        <v>31.26</v>
      </c>
      <c r="AA117">
        <v>13.5</v>
      </c>
      <c r="AB117">
        <v>0</v>
      </c>
      <c r="AC117">
        <v>0</v>
      </c>
      <c r="AD117">
        <v>1</v>
      </c>
      <c r="AE117">
        <v>0</v>
      </c>
      <c r="AF117" t="s">
        <v>40</v>
      </c>
      <c r="AG117">
        <v>6.25E-2</v>
      </c>
      <c r="AH117">
        <v>2</v>
      </c>
      <c r="AI117">
        <v>26914361</v>
      </c>
      <c r="AJ117">
        <v>119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ROW(Source!A64)</f>
        <v>64</v>
      </c>
      <c r="B118">
        <v>26914368</v>
      </c>
      <c r="C118">
        <v>26914358</v>
      </c>
      <c r="D118">
        <v>25231607</v>
      </c>
      <c r="E118">
        <v>1</v>
      </c>
      <c r="F118">
        <v>1</v>
      </c>
      <c r="G118">
        <v>1</v>
      </c>
      <c r="H118">
        <v>2</v>
      </c>
      <c r="I118" t="s">
        <v>352</v>
      </c>
      <c r="J118" t="s">
        <v>353</v>
      </c>
      <c r="K118" t="s">
        <v>354</v>
      </c>
      <c r="L118">
        <v>1368</v>
      </c>
      <c r="N118">
        <v>1011</v>
      </c>
      <c r="O118" t="s">
        <v>338</v>
      </c>
      <c r="P118" t="s">
        <v>338</v>
      </c>
      <c r="Q118">
        <v>1</v>
      </c>
      <c r="X118">
        <v>0.06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40</v>
      </c>
      <c r="AG118">
        <v>7.4999999999999997E-2</v>
      </c>
      <c r="AH118">
        <v>2</v>
      </c>
      <c r="AI118">
        <v>26914362</v>
      </c>
      <c r="AJ118">
        <v>120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ROW(Source!A64)</f>
        <v>64</v>
      </c>
      <c r="B119">
        <v>26914369</v>
      </c>
      <c r="C119">
        <v>26914358</v>
      </c>
      <c r="D119">
        <v>25144380</v>
      </c>
      <c r="E119">
        <v>17</v>
      </c>
      <c r="F119">
        <v>1</v>
      </c>
      <c r="G119">
        <v>1</v>
      </c>
      <c r="H119">
        <v>3</v>
      </c>
      <c r="I119" t="s">
        <v>74</v>
      </c>
      <c r="J119" t="s">
        <v>6</v>
      </c>
      <c r="K119" t="s">
        <v>75</v>
      </c>
      <c r="L119">
        <v>1339</v>
      </c>
      <c r="N119">
        <v>1007</v>
      </c>
      <c r="O119" t="s">
        <v>76</v>
      </c>
      <c r="P119" t="s">
        <v>76</v>
      </c>
      <c r="Q119">
        <v>1</v>
      </c>
      <c r="X119">
        <v>0.16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0.16</v>
      </c>
      <c r="AH119">
        <v>3</v>
      </c>
      <c r="AI119">
        <v>-1</v>
      </c>
      <c r="AJ119" t="s">
        <v>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ROW(Source!A64)</f>
        <v>64</v>
      </c>
      <c r="B120">
        <v>26914370</v>
      </c>
      <c r="C120">
        <v>26914358</v>
      </c>
      <c r="D120">
        <v>25145429</v>
      </c>
      <c r="E120">
        <v>17</v>
      </c>
      <c r="F120">
        <v>1</v>
      </c>
      <c r="G120">
        <v>1</v>
      </c>
      <c r="H120">
        <v>3</v>
      </c>
      <c r="I120" t="s">
        <v>495</v>
      </c>
      <c r="J120" t="s">
        <v>6</v>
      </c>
      <c r="K120" t="s">
        <v>496</v>
      </c>
      <c r="L120">
        <v>1301</v>
      </c>
      <c r="N120">
        <v>1003</v>
      </c>
      <c r="O120" t="s">
        <v>120</v>
      </c>
      <c r="P120" t="s">
        <v>120</v>
      </c>
      <c r="Q120">
        <v>1</v>
      </c>
      <c r="X120">
        <v>101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6</v>
      </c>
      <c r="AG120">
        <v>101</v>
      </c>
      <c r="AH120">
        <v>3</v>
      </c>
      <c r="AI120">
        <v>-1</v>
      </c>
      <c r="AJ120" t="s">
        <v>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ROW(Source!A65)</f>
        <v>65</v>
      </c>
      <c r="B121">
        <v>26914365</v>
      </c>
      <c r="C121">
        <v>26914358</v>
      </c>
      <c r="D121">
        <v>25418254</v>
      </c>
      <c r="E121">
        <v>1</v>
      </c>
      <c r="F121">
        <v>1</v>
      </c>
      <c r="G121">
        <v>1</v>
      </c>
      <c r="H121">
        <v>1</v>
      </c>
      <c r="I121" t="s">
        <v>392</v>
      </c>
      <c r="J121" t="s">
        <v>6</v>
      </c>
      <c r="K121" t="s">
        <v>393</v>
      </c>
      <c r="L121">
        <v>1191</v>
      </c>
      <c r="N121">
        <v>1013</v>
      </c>
      <c r="O121" t="s">
        <v>332</v>
      </c>
      <c r="P121" t="s">
        <v>332</v>
      </c>
      <c r="Q121">
        <v>1</v>
      </c>
      <c r="X121">
        <v>23.82</v>
      </c>
      <c r="Y121">
        <v>0</v>
      </c>
      <c r="Z121">
        <v>0</v>
      </c>
      <c r="AA121">
        <v>0</v>
      </c>
      <c r="AB121">
        <v>9.51</v>
      </c>
      <c r="AC121">
        <v>0</v>
      </c>
      <c r="AD121">
        <v>1</v>
      </c>
      <c r="AE121">
        <v>1</v>
      </c>
      <c r="AF121" t="s">
        <v>41</v>
      </c>
      <c r="AG121">
        <v>27.392999999999997</v>
      </c>
      <c r="AH121">
        <v>2</v>
      </c>
      <c r="AI121">
        <v>26914359</v>
      </c>
      <c r="AJ121">
        <v>123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ROW(Source!A65)</f>
        <v>65</v>
      </c>
      <c r="B122">
        <v>26914366</v>
      </c>
      <c r="C122">
        <v>26914358</v>
      </c>
      <c r="D122">
        <v>25412928</v>
      </c>
      <c r="E122">
        <v>1</v>
      </c>
      <c r="F122">
        <v>1</v>
      </c>
      <c r="G122">
        <v>1</v>
      </c>
      <c r="H122">
        <v>1</v>
      </c>
      <c r="I122" t="s">
        <v>333</v>
      </c>
      <c r="J122" t="s">
        <v>6</v>
      </c>
      <c r="K122" t="s">
        <v>334</v>
      </c>
      <c r="L122">
        <v>1191</v>
      </c>
      <c r="N122">
        <v>1013</v>
      </c>
      <c r="O122" t="s">
        <v>332</v>
      </c>
      <c r="P122" t="s">
        <v>332</v>
      </c>
      <c r="Q122">
        <v>1</v>
      </c>
      <c r="X122">
        <v>0.11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40</v>
      </c>
      <c r="AG122">
        <v>0.13750000000000001</v>
      </c>
      <c r="AH122">
        <v>2</v>
      </c>
      <c r="AI122">
        <v>26914360</v>
      </c>
      <c r="AJ122">
        <v>124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ROW(Source!A65)</f>
        <v>65</v>
      </c>
      <c r="B123">
        <v>26914367</v>
      </c>
      <c r="C123">
        <v>26914358</v>
      </c>
      <c r="D123">
        <v>25230514</v>
      </c>
      <c r="E123">
        <v>1</v>
      </c>
      <c r="F123">
        <v>1</v>
      </c>
      <c r="G123">
        <v>1</v>
      </c>
      <c r="H123">
        <v>2</v>
      </c>
      <c r="I123" t="s">
        <v>335</v>
      </c>
      <c r="J123" t="s">
        <v>336</v>
      </c>
      <c r="K123" t="s">
        <v>337</v>
      </c>
      <c r="L123">
        <v>1368</v>
      </c>
      <c r="N123">
        <v>1011</v>
      </c>
      <c r="O123" t="s">
        <v>338</v>
      </c>
      <c r="P123" t="s">
        <v>338</v>
      </c>
      <c r="Q123">
        <v>1</v>
      </c>
      <c r="X123">
        <v>0.05</v>
      </c>
      <c r="Y123">
        <v>0</v>
      </c>
      <c r="Z123">
        <v>31.26</v>
      </c>
      <c r="AA123">
        <v>13.5</v>
      </c>
      <c r="AB123">
        <v>0</v>
      </c>
      <c r="AC123">
        <v>0</v>
      </c>
      <c r="AD123">
        <v>1</v>
      </c>
      <c r="AE123">
        <v>0</v>
      </c>
      <c r="AF123" t="s">
        <v>40</v>
      </c>
      <c r="AG123">
        <v>6.25E-2</v>
      </c>
      <c r="AH123">
        <v>2</v>
      </c>
      <c r="AI123">
        <v>26914361</v>
      </c>
      <c r="AJ123">
        <v>125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ROW(Source!A65)</f>
        <v>65</v>
      </c>
      <c r="B124">
        <v>26914368</v>
      </c>
      <c r="C124">
        <v>26914358</v>
      </c>
      <c r="D124">
        <v>25231607</v>
      </c>
      <c r="E124">
        <v>1</v>
      </c>
      <c r="F124">
        <v>1</v>
      </c>
      <c r="G124">
        <v>1</v>
      </c>
      <c r="H124">
        <v>2</v>
      </c>
      <c r="I124" t="s">
        <v>352</v>
      </c>
      <c r="J124" t="s">
        <v>353</v>
      </c>
      <c r="K124" t="s">
        <v>354</v>
      </c>
      <c r="L124">
        <v>1368</v>
      </c>
      <c r="N124">
        <v>1011</v>
      </c>
      <c r="O124" t="s">
        <v>338</v>
      </c>
      <c r="P124" t="s">
        <v>338</v>
      </c>
      <c r="Q124">
        <v>1</v>
      </c>
      <c r="X124">
        <v>0.06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40</v>
      </c>
      <c r="AG124">
        <v>7.4999999999999997E-2</v>
      </c>
      <c r="AH124">
        <v>2</v>
      </c>
      <c r="AI124">
        <v>26914362</v>
      </c>
      <c r="AJ124">
        <v>126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ROW(Source!A65)</f>
        <v>65</v>
      </c>
      <c r="B125">
        <v>26914369</v>
      </c>
      <c r="C125">
        <v>26914358</v>
      </c>
      <c r="D125">
        <v>25144380</v>
      </c>
      <c r="E125">
        <v>17</v>
      </c>
      <c r="F125">
        <v>1</v>
      </c>
      <c r="G125">
        <v>1</v>
      </c>
      <c r="H125">
        <v>3</v>
      </c>
      <c r="I125" t="s">
        <v>74</v>
      </c>
      <c r="J125" t="s">
        <v>6</v>
      </c>
      <c r="K125" t="s">
        <v>75</v>
      </c>
      <c r="L125">
        <v>1339</v>
      </c>
      <c r="N125">
        <v>1007</v>
      </c>
      <c r="O125" t="s">
        <v>76</v>
      </c>
      <c r="P125" t="s">
        <v>76</v>
      </c>
      <c r="Q125">
        <v>1</v>
      </c>
      <c r="X125">
        <v>0.16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 t="s">
        <v>6</v>
      </c>
      <c r="AG125">
        <v>0.16</v>
      </c>
      <c r="AH125">
        <v>3</v>
      </c>
      <c r="AI125">
        <v>-1</v>
      </c>
      <c r="AJ125" t="s">
        <v>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ROW(Source!A65)</f>
        <v>65</v>
      </c>
      <c r="B126">
        <v>26914370</v>
      </c>
      <c r="C126">
        <v>26914358</v>
      </c>
      <c r="D126">
        <v>25145429</v>
      </c>
      <c r="E126">
        <v>17</v>
      </c>
      <c r="F126">
        <v>1</v>
      </c>
      <c r="G126">
        <v>1</v>
      </c>
      <c r="H126">
        <v>3</v>
      </c>
      <c r="I126" t="s">
        <v>495</v>
      </c>
      <c r="J126" t="s">
        <v>6</v>
      </c>
      <c r="K126" t="s">
        <v>496</v>
      </c>
      <c r="L126">
        <v>1301</v>
      </c>
      <c r="N126">
        <v>1003</v>
      </c>
      <c r="O126" t="s">
        <v>120</v>
      </c>
      <c r="P126" t="s">
        <v>120</v>
      </c>
      <c r="Q126">
        <v>1</v>
      </c>
      <c r="X126">
        <v>101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6</v>
      </c>
      <c r="AG126">
        <v>101</v>
      </c>
      <c r="AH126">
        <v>3</v>
      </c>
      <c r="AI126">
        <v>-1</v>
      </c>
      <c r="AJ126" t="s">
        <v>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ROW(Source!A70)</f>
        <v>70</v>
      </c>
      <c r="B127">
        <v>26914393</v>
      </c>
      <c r="C127">
        <v>26914373</v>
      </c>
      <c r="D127">
        <v>25412980</v>
      </c>
      <c r="E127">
        <v>1</v>
      </c>
      <c r="F127">
        <v>1</v>
      </c>
      <c r="G127">
        <v>1</v>
      </c>
      <c r="H127">
        <v>1</v>
      </c>
      <c r="I127" t="s">
        <v>394</v>
      </c>
      <c r="J127" t="s">
        <v>6</v>
      </c>
      <c r="K127" t="s">
        <v>395</v>
      </c>
      <c r="L127">
        <v>1191</v>
      </c>
      <c r="N127">
        <v>1013</v>
      </c>
      <c r="O127" t="s">
        <v>332</v>
      </c>
      <c r="P127" t="s">
        <v>332</v>
      </c>
      <c r="Q127">
        <v>1</v>
      </c>
      <c r="X127">
        <v>147</v>
      </c>
      <c r="Y127">
        <v>0</v>
      </c>
      <c r="Z127">
        <v>0</v>
      </c>
      <c r="AA127">
        <v>0</v>
      </c>
      <c r="AB127">
        <v>9.07</v>
      </c>
      <c r="AC127">
        <v>0</v>
      </c>
      <c r="AD127">
        <v>1</v>
      </c>
      <c r="AE127">
        <v>1</v>
      </c>
      <c r="AF127" t="s">
        <v>41</v>
      </c>
      <c r="AG127">
        <v>169.04999999999998</v>
      </c>
      <c r="AH127">
        <v>2</v>
      </c>
      <c r="AI127">
        <v>26914374</v>
      </c>
      <c r="AJ127">
        <v>129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ROW(Source!A70)</f>
        <v>70</v>
      </c>
      <c r="B128">
        <v>26914394</v>
      </c>
      <c r="C128">
        <v>26914373</v>
      </c>
      <c r="D128">
        <v>25232550</v>
      </c>
      <c r="E128">
        <v>1</v>
      </c>
      <c r="F128">
        <v>1</v>
      </c>
      <c r="G128">
        <v>1</v>
      </c>
      <c r="H128">
        <v>2</v>
      </c>
      <c r="I128" t="s">
        <v>396</v>
      </c>
      <c r="J128" t="s">
        <v>397</v>
      </c>
      <c r="K128" t="s">
        <v>398</v>
      </c>
      <c r="L128">
        <v>1368</v>
      </c>
      <c r="N128">
        <v>1011</v>
      </c>
      <c r="O128" t="s">
        <v>338</v>
      </c>
      <c r="P128" t="s">
        <v>338</v>
      </c>
      <c r="Q128">
        <v>1</v>
      </c>
      <c r="X128">
        <v>0.17</v>
      </c>
      <c r="Y128">
        <v>0</v>
      </c>
      <c r="Z128">
        <v>33.590000000000003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40</v>
      </c>
      <c r="AG128">
        <v>0.21250000000000002</v>
      </c>
      <c r="AH128">
        <v>2</v>
      </c>
      <c r="AI128">
        <v>26914375</v>
      </c>
      <c r="AJ128">
        <v>130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ROW(Source!A70)</f>
        <v>70</v>
      </c>
      <c r="B129">
        <v>26914395</v>
      </c>
      <c r="C129">
        <v>26914373</v>
      </c>
      <c r="D129">
        <v>25149479</v>
      </c>
      <c r="E129">
        <v>1</v>
      </c>
      <c r="F129">
        <v>1</v>
      </c>
      <c r="G129">
        <v>1</v>
      </c>
      <c r="H129">
        <v>3</v>
      </c>
      <c r="I129" t="s">
        <v>399</v>
      </c>
      <c r="J129" t="s">
        <v>400</v>
      </c>
      <c r="K129" t="s">
        <v>401</v>
      </c>
      <c r="L129">
        <v>1327</v>
      </c>
      <c r="N129">
        <v>1005</v>
      </c>
      <c r="O129" t="s">
        <v>92</v>
      </c>
      <c r="P129" t="s">
        <v>92</v>
      </c>
      <c r="Q129">
        <v>1</v>
      </c>
      <c r="X129">
        <v>449</v>
      </c>
      <c r="Y129">
        <v>23.52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449</v>
      </c>
      <c r="AH129">
        <v>2</v>
      </c>
      <c r="AI129">
        <v>26914376</v>
      </c>
      <c r="AJ129">
        <v>131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ROW(Source!A70)</f>
        <v>70</v>
      </c>
      <c r="B130">
        <v>26914396</v>
      </c>
      <c r="C130">
        <v>26914373</v>
      </c>
      <c r="D130">
        <v>25149961</v>
      </c>
      <c r="E130">
        <v>1</v>
      </c>
      <c r="F130">
        <v>1</v>
      </c>
      <c r="G130">
        <v>1</v>
      </c>
      <c r="H130">
        <v>3</v>
      </c>
      <c r="I130" t="s">
        <v>364</v>
      </c>
      <c r="J130" t="s">
        <v>365</v>
      </c>
      <c r="K130" t="s">
        <v>366</v>
      </c>
      <c r="L130">
        <v>1339</v>
      </c>
      <c r="N130">
        <v>1007</v>
      </c>
      <c r="O130" t="s">
        <v>76</v>
      </c>
      <c r="P130" t="s">
        <v>76</v>
      </c>
      <c r="Q130">
        <v>1</v>
      </c>
      <c r="X130">
        <v>0.14299999999999999</v>
      </c>
      <c r="Y130">
        <v>2.44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0.14299999999999999</v>
      </c>
      <c r="AH130">
        <v>2</v>
      </c>
      <c r="AI130">
        <v>26914377</v>
      </c>
      <c r="AJ130">
        <v>133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ROW(Source!A70)</f>
        <v>70</v>
      </c>
      <c r="B131">
        <v>26914397</v>
      </c>
      <c r="C131">
        <v>26914373</v>
      </c>
      <c r="D131">
        <v>25150247</v>
      </c>
      <c r="E131">
        <v>1</v>
      </c>
      <c r="F131">
        <v>1</v>
      </c>
      <c r="G131">
        <v>1</v>
      </c>
      <c r="H131">
        <v>3</v>
      </c>
      <c r="I131" t="s">
        <v>402</v>
      </c>
      <c r="J131" t="s">
        <v>403</v>
      </c>
      <c r="K131" t="s">
        <v>404</v>
      </c>
      <c r="L131">
        <v>1301</v>
      </c>
      <c r="N131">
        <v>1003</v>
      </c>
      <c r="O131" t="s">
        <v>120</v>
      </c>
      <c r="P131" t="s">
        <v>120</v>
      </c>
      <c r="Q131">
        <v>1</v>
      </c>
      <c r="X131">
        <v>249</v>
      </c>
      <c r="Y131">
        <v>0.17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249</v>
      </c>
      <c r="AH131">
        <v>2</v>
      </c>
      <c r="AI131">
        <v>26914378</v>
      </c>
      <c r="AJ131">
        <v>135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ROW(Source!A70)</f>
        <v>70</v>
      </c>
      <c r="B132">
        <v>26914398</v>
      </c>
      <c r="C132">
        <v>26914373</v>
      </c>
      <c r="D132">
        <v>25150252</v>
      </c>
      <c r="E132">
        <v>1</v>
      </c>
      <c r="F132">
        <v>1</v>
      </c>
      <c r="G132">
        <v>1</v>
      </c>
      <c r="H132">
        <v>3</v>
      </c>
      <c r="I132" t="s">
        <v>405</v>
      </c>
      <c r="J132" t="s">
        <v>406</v>
      </c>
      <c r="K132" t="s">
        <v>407</v>
      </c>
      <c r="L132">
        <v>1308</v>
      </c>
      <c r="N132">
        <v>1003</v>
      </c>
      <c r="O132" t="s">
        <v>28</v>
      </c>
      <c r="P132" t="s">
        <v>28</v>
      </c>
      <c r="Q132">
        <v>100</v>
      </c>
      <c r="X132">
        <v>1.62</v>
      </c>
      <c r="Y132">
        <v>173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1.62</v>
      </c>
      <c r="AH132">
        <v>2</v>
      </c>
      <c r="AI132">
        <v>26914379</v>
      </c>
      <c r="AJ132">
        <v>136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ROW(Source!A70)</f>
        <v>70</v>
      </c>
      <c r="B133">
        <v>26914399</v>
      </c>
      <c r="C133">
        <v>26914373</v>
      </c>
      <c r="D133">
        <v>25145241</v>
      </c>
      <c r="E133">
        <v>17</v>
      </c>
      <c r="F133">
        <v>1</v>
      </c>
      <c r="G133">
        <v>1</v>
      </c>
      <c r="H133">
        <v>3</v>
      </c>
      <c r="I133" t="s">
        <v>497</v>
      </c>
      <c r="J133" t="s">
        <v>6</v>
      </c>
      <c r="K133" t="s">
        <v>498</v>
      </c>
      <c r="L133">
        <v>1301</v>
      </c>
      <c r="N133">
        <v>1003</v>
      </c>
      <c r="O133" t="s">
        <v>120</v>
      </c>
      <c r="P133" t="s">
        <v>120</v>
      </c>
      <c r="Q133">
        <v>1</v>
      </c>
      <c r="X133">
        <v>117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6</v>
      </c>
      <c r="AG133">
        <v>117</v>
      </c>
      <c r="AH133">
        <v>3</v>
      </c>
      <c r="AI133">
        <v>-1</v>
      </c>
      <c r="AJ133" t="s">
        <v>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ROW(Source!A70)</f>
        <v>70</v>
      </c>
      <c r="B134">
        <v>26914400</v>
      </c>
      <c r="C134">
        <v>26914373</v>
      </c>
      <c r="D134">
        <v>25152784</v>
      </c>
      <c r="E134">
        <v>1</v>
      </c>
      <c r="F134">
        <v>1</v>
      </c>
      <c r="G134">
        <v>1</v>
      </c>
      <c r="H134">
        <v>3</v>
      </c>
      <c r="I134" t="s">
        <v>408</v>
      </c>
      <c r="J134" t="s">
        <v>409</v>
      </c>
      <c r="K134" t="s">
        <v>410</v>
      </c>
      <c r="L134">
        <v>1355</v>
      </c>
      <c r="N134">
        <v>1010</v>
      </c>
      <c r="O134" t="s">
        <v>411</v>
      </c>
      <c r="P134" t="s">
        <v>411</v>
      </c>
      <c r="Q134">
        <v>100</v>
      </c>
      <c r="X134">
        <v>0.7</v>
      </c>
      <c r="Y134">
        <v>70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0.7</v>
      </c>
      <c r="AH134">
        <v>2</v>
      </c>
      <c r="AI134">
        <v>26914380</v>
      </c>
      <c r="AJ134">
        <v>137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ROW(Source!A70)</f>
        <v>70</v>
      </c>
      <c r="B135">
        <v>26914401</v>
      </c>
      <c r="C135">
        <v>26914373</v>
      </c>
      <c r="D135">
        <v>25152829</v>
      </c>
      <c r="E135">
        <v>1</v>
      </c>
      <c r="F135">
        <v>1</v>
      </c>
      <c r="G135">
        <v>1</v>
      </c>
      <c r="H135">
        <v>3</v>
      </c>
      <c r="I135" t="s">
        <v>412</v>
      </c>
      <c r="J135" t="s">
        <v>413</v>
      </c>
      <c r="K135" t="s">
        <v>414</v>
      </c>
      <c r="L135">
        <v>1355</v>
      </c>
      <c r="N135">
        <v>1010</v>
      </c>
      <c r="O135" t="s">
        <v>411</v>
      </c>
      <c r="P135" t="s">
        <v>411</v>
      </c>
      <c r="Q135">
        <v>100</v>
      </c>
      <c r="X135">
        <v>1.63</v>
      </c>
      <c r="Y135">
        <v>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1.63</v>
      </c>
      <c r="AH135">
        <v>2</v>
      </c>
      <c r="AI135">
        <v>26914381</v>
      </c>
      <c r="AJ135">
        <v>138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ROW(Source!A70)</f>
        <v>70</v>
      </c>
      <c r="B136">
        <v>26914402</v>
      </c>
      <c r="C136">
        <v>26914373</v>
      </c>
      <c r="D136">
        <v>25153050</v>
      </c>
      <c r="E136">
        <v>1</v>
      </c>
      <c r="F136">
        <v>1</v>
      </c>
      <c r="G136">
        <v>1</v>
      </c>
      <c r="H136">
        <v>3</v>
      </c>
      <c r="I136" t="s">
        <v>415</v>
      </c>
      <c r="J136" t="s">
        <v>416</v>
      </c>
      <c r="K136" t="s">
        <v>417</v>
      </c>
      <c r="L136">
        <v>1355</v>
      </c>
      <c r="N136">
        <v>1010</v>
      </c>
      <c r="O136" t="s">
        <v>411</v>
      </c>
      <c r="P136" t="s">
        <v>411</v>
      </c>
      <c r="Q136">
        <v>100</v>
      </c>
      <c r="X136">
        <v>14.19</v>
      </c>
      <c r="Y136">
        <v>4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14.19</v>
      </c>
      <c r="AH136">
        <v>2</v>
      </c>
      <c r="AI136">
        <v>26914382</v>
      </c>
      <c r="AJ136">
        <v>139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ROW(Source!A70)</f>
        <v>70</v>
      </c>
      <c r="B137">
        <v>26914403</v>
      </c>
      <c r="C137">
        <v>26914373</v>
      </c>
      <c r="D137">
        <v>25153051</v>
      </c>
      <c r="E137">
        <v>1</v>
      </c>
      <c r="F137">
        <v>1</v>
      </c>
      <c r="G137">
        <v>1</v>
      </c>
      <c r="H137">
        <v>3</v>
      </c>
      <c r="I137" t="s">
        <v>418</v>
      </c>
      <c r="J137" t="s">
        <v>419</v>
      </c>
      <c r="K137" t="s">
        <v>420</v>
      </c>
      <c r="L137">
        <v>1355</v>
      </c>
      <c r="N137">
        <v>1010</v>
      </c>
      <c r="O137" t="s">
        <v>411</v>
      </c>
      <c r="P137" t="s">
        <v>411</v>
      </c>
      <c r="Q137">
        <v>100</v>
      </c>
      <c r="X137">
        <v>37.880000000000003</v>
      </c>
      <c r="Y137">
        <v>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37.880000000000003</v>
      </c>
      <c r="AH137">
        <v>2</v>
      </c>
      <c r="AI137">
        <v>26914383</v>
      </c>
      <c r="AJ137">
        <v>140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ROW(Source!A70)</f>
        <v>70</v>
      </c>
      <c r="B138">
        <v>26914404</v>
      </c>
      <c r="C138">
        <v>26914373</v>
      </c>
      <c r="D138">
        <v>25145232</v>
      </c>
      <c r="E138">
        <v>17</v>
      </c>
      <c r="F138">
        <v>1</v>
      </c>
      <c r="G138">
        <v>1</v>
      </c>
      <c r="H138">
        <v>3</v>
      </c>
      <c r="I138" t="s">
        <v>499</v>
      </c>
      <c r="J138" t="s">
        <v>6</v>
      </c>
      <c r="K138" t="s">
        <v>500</v>
      </c>
      <c r="L138">
        <v>1301</v>
      </c>
      <c r="N138">
        <v>1003</v>
      </c>
      <c r="O138" t="s">
        <v>120</v>
      </c>
      <c r="P138" t="s">
        <v>120</v>
      </c>
      <c r="Q138">
        <v>1</v>
      </c>
      <c r="X138">
        <v>86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6</v>
      </c>
      <c r="AG138">
        <v>86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ROW(Source!A70)</f>
        <v>70</v>
      </c>
      <c r="B139">
        <v>26914405</v>
      </c>
      <c r="C139">
        <v>26914373</v>
      </c>
      <c r="D139">
        <v>25145232</v>
      </c>
      <c r="E139">
        <v>17</v>
      </c>
      <c r="F139">
        <v>1</v>
      </c>
      <c r="G139">
        <v>1</v>
      </c>
      <c r="H139">
        <v>3</v>
      </c>
      <c r="I139" t="s">
        <v>499</v>
      </c>
      <c r="J139" t="s">
        <v>6</v>
      </c>
      <c r="K139" t="s">
        <v>501</v>
      </c>
      <c r="L139">
        <v>1301</v>
      </c>
      <c r="N139">
        <v>1003</v>
      </c>
      <c r="O139" t="s">
        <v>120</v>
      </c>
      <c r="P139" t="s">
        <v>120</v>
      </c>
      <c r="Q139">
        <v>1</v>
      </c>
      <c r="X139">
        <v>254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6</v>
      </c>
      <c r="AG139">
        <v>254</v>
      </c>
      <c r="AH139">
        <v>3</v>
      </c>
      <c r="AI139">
        <v>-1</v>
      </c>
      <c r="AJ139" t="s">
        <v>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ROW(Source!A70)</f>
        <v>70</v>
      </c>
      <c r="B140">
        <v>26914406</v>
      </c>
      <c r="C140">
        <v>26914373</v>
      </c>
      <c r="D140">
        <v>25171144</v>
      </c>
      <c r="E140">
        <v>1</v>
      </c>
      <c r="F140">
        <v>1</v>
      </c>
      <c r="G140">
        <v>1</v>
      </c>
      <c r="H140">
        <v>3</v>
      </c>
      <c r="I140" t="s">
        <v>421</v>
      </c>
      <c r="J140" t="s">
        <v>422</v>
      </c>
      <c r="K140" t="s">
        <v>423</v>
      </c>
      <c r="L140">
        <v>1355</v>
      </c>
      <c r="N140">
        <v>1010</v>
      </c>
      <c r="O140" t="s">
        <v>411</v>
      </c>
      <c r="P140" t="s">
        <v>411</v>
      </c>
      <c r="Q140">
        <v>100</v>
      </c>
      <c r="X140">
        <v>0.14000000000000001</v>
      </c>
      <c r="Y140">
        <v>279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0.14000000000000001</v>
      </c>
      <c r="AH140">
        <v>2</v>
      </c>
      <c r="AI140">
        <v>26914384</v>
      </c>
      <c r="AJ140">
        <v>143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ROW(Source!A70)</f>
        <v>70</v>
      </c>
      <c r="B141">
        <v>26914407</v>
      </c>
      <c r="C141">
        <v>26914373</v>
      </c>
      <c r="D141">
        <v>25171153</v>
      </c>
      <c r="E141">
        <v>1</v>
      </c>
      <c r="F141">
        <v>1</v>
      </c>
      <c r="G141">
        <v>1</v>
      </c>
      <c r="H141">
        <v>3</v>
      </c>
      <c r="I141" t="s">
        <v>424</v>
      </c>
      <c r="J141" t="s">
        <v>425</v>
      </c>
      <c r="K141" t="s">
        <v>426</v>
      </c>
      <c r="L141">
        <v>1355</v>
      </c>
      <c r="N141">
        <v>1010</v>
      </c>
      <c r="O141" t="s">
        <v>411</v>
      </c>
      <c r="P141" t="s">
        <v>411</v>
      </c>
      <c r="Q141">
        <v>100</v>
      </c>
      <c r="X141">
        <v>0.14000000000000001</v>
      </c>
      <c r="Y141">
        <v>279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0.14000000000000001</v>
      </c>
      <c r="AH141">
        <v>2</v>
      </c>
      <c r="AI141">
        <v>26914385</v>
      </c>
      <c r="AJ141">
        <v>144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ROW(Source!A70)</f>
        <v>70</v>
      </c>
      <c r="B142">
        <v>26914408</v>
      </c>
      <c r="C142">
        <v>26914373</v>
      </c>
      <c r="D142">
        <v>25145273</v>
      </c>
      <c r="E142">
        <v>17</v>
      </c>
      <c r="F142">
        <v>1</v>
      </c>
      <c r="G142">
        <v>1</v>
      </c>
      <c r="H142">
        <v>3</v>
      </c>
      <c r="I142" t="s">
        <v>502</v>
      </c>
      <c r="J142" t="s">
        <v>6</v>
      </c>
      <c r="K142" t="s">
        <v>503</v>
      </c>
      <c r="L142">
        <v>1301</v>
      </c>
      <c r="N142">
        <v>1003</v>
      </c>
      <c r="O142" t="s">
        <v>120</v>
      </c>
      <c r="P142" t="s">
        <v>120</v>
      </c>
      <c r="Q142">
        <v>1</v>
      </c>
      <c r="X142">
        <v>39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39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ROW(Source!A70)</f>
        <v>70</v>
      </c>
      <c r="B143">
        <v>26914409</v>
      </c>
      <c r="C143">
        <v>26914373</v>
      </c>
      <c r="D143">
        <v>25144733</v>
      </c>
      <c r="E143">
        <v>17</v>
      </c>
      <c r="F143">
        <v>1</v>
      </c>
      <c r="G143">
        <v>1</v>
      </c>
      <c r="H143">
        <v>3</v>
      </c>
      <c r="I143" t="s">
        <v>504</v>
      </c>
      <c r="J143" t="s">
        <v>6</v>
      </c>
      <c r="K143" t="s">
        <v>505</v>
      </c>
      <c r="L143">
        <v>1327</v>
      </c>
      <c r="N143">
        <v>1005</v>
      </c>
      <c r="O143" t="s">
        <v>92</v>
      </c>
      <c r="P143" t="s">
        <v>92</v>
      </c>
      <c r="Q143">
        <v>1</v>
      </c>
      <c r="X143">
        <v>103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 t="s">
        <v>6</v>
      </c>
      <c r="AG143">
        <v>103</v>
      </c>
      <c r="AH143">
        <v>3</v>
      </c>
      <c r="AI143">
        <v>-1</v>
      </c>
      <c r="AJ143" t="s">
        <v>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ROW(Source!A70)</f>
        <v>70</v>
      </c>
      <c r="B144">
        <v>26914410</v>
      </c>
      <c r="C144">
        <v>26914373</v>
      </c>
      <c r="D144">
        <v>25186101</v>
      </c>
      <c r="E144">
        <v>1</v>
      </c>
      <c r="F144">
        <v>1</v>
      </c>
      <c r="G144">
        <v>1</v>
      </c>
      <c r="H144">
        <v>3</v>
      </c>
      <c r="I144" t="s">
        <v>427</v>
      </c>
      <c r="J144" t="s">
        <v>428</v>
      </c>
      <c r="K144" t="s">
        <v>429</v>
      </c>
      <c r="L144">
        <v>1346</v>
      </c>
      <c r="N144">
        <v>1009</v>
      </c>
      <c r="O144" t="s">
        <v>50</v>
      </c>
      <c r="P144" t="s">
        <v>50</v>
      </c>
      <c r="Q144">
        <v>1</v>
      </c>
      <c r="X144">
        <v>25</v>
      </c>
      <c r="Y144">
        <v>13.08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25</v>
      </c>
      <c r="AH144">
        <v>2</v>
      </c>
      <c r="AI144">
        <v>26914386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ROW(Source!A70)</f>
        <v>70</v>
      </c>
      <c r="B145">
        <v>26914411</v>
      </c>
      <c r="C145">
        <v>26914373</v>
      </c>
      <c r="D145">
        <v>25187370</v>
      </c>
      <c r="E145">
        <v>1</v>
      </c>
      <c r="F145">
        <v>1</v>
      </c>
      <c r="G145">
        <v>1</v>
      </c>
      <c r="H145">
        <v>3</v>
      </c>
      <c r="I145" t="s">
        <v>430</v>
      </c>
      <c r="J145" t="s">
        <v>431</v>
      </c>
      <c r="K145" t="s">
        <v>432</v>
      </c>
      <c r="L145">
        <v>1346</v>
      </c>
      <c r="N145">
        <v>1009</v>
      </c>
      <c r="O145" t="s">
        <v>50</v>
      </c>
      <c r="P145" t="s">
        <v>50</v>
      </c>
      <c r="Q145">
        <v>1</v>
      </c>
      <c r="X145">
        <v>179</v>
      </c>
      <c r="Y145">
        <v>2.94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179</v>
      </c>
      <c r="AH145">
        <v>2</v>
      </c>
      <c r="AI145">
        <v>26914387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ROW(Source!A71)</f>
        <v>71</v>
      </c>
      <c r="B146">
        <v>26914393</v>
      </c>
      <c r="C146">
        <v>26914373</v>
      </c>
      <c r="D146">
        <v>25412980</v>
      </c>
      <c r="E146">
        <v>1</v>
      </c>
      <c r="F146">
        <v>1</v>
      </c>
      <c r="G146">
        <v>1</v>
      </c>
      <c r="H146">
        <v>1</v>
      </c>
      <c r="I146" t="s">
        <v>394</v>
      </c>
      <c r="J146" t="s">
        <v>6</v>
      </c>
      <c r="K146" t="s">
        <v>395</v>
      </c>
      <c r="L146">
        <v>1191</v>
      </c>
      <c r="N146">
        <v>1013</v>
      </c>
      <c r="O146" t="s">
        <v>332</v>
      </c>
      <c r="P146" t="s">
        <v>332</v>
      </c>
      <c r="Q146">
        <v>1</v>
      </c>
      <c r="X146">
        <v>147</v>
      </c>
      <c r="Y146">
        <v>0</v>
      </c>
      <c r="Z146">
        <v>0</v>
      </c>
      <c r="AA146">
        <v>0</v>
      </c>
      <c r="AB146">
        <v>9.07</v>
      </c>
      <c r="AC146">
        <v>0</v>
      </c>
      <c r="AD146">
        <v>1</v>
      </c>
      <c r="AE146">
        <v>1</v>
      </c>
      <c r="AF146" t="s">
        <v>41</v>
      </c>
      <c r="AG146">
        <v>169.04999999999998</v>
      </c>
      <c r="AH146">
        <v>2</v>
      </c>
      <c r="AI146">
        <v>26914374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ROW(Source!A71)</f>
        <v>71</v>
      </c>
      <c r="B147">
        <v>26914394</v>
      </c>
      <c r="C147">
        <v>26914373</v>
      </c>
      <c r="D147">
        <v>25232550</v>
      </c>
      <c r="E147">
        <v>1</v>
      </c>
      <c r="F147">
        <v>1</v>
      </c>
      <c r="G147">
        <v>1</v>
      </c>
      <c r="H147">
        <v>2</v>
      </c>
      <c r="I147" t="s">
        <v>396</v>
      </c>
      <c r="J147" t="s">
        <v>397</v>
      </c>
      <c r="K147" t="s">
        <v>398</v>
      </c>
      <c r="L147">
        <v>1368</v>
      </c>
      <c r="N147">
        <v>1011</v>
      </c>
      <c r="O147" t="s">
        <v>338</v>
      </c>
      <c r="P147" t="s">
        <v>338</v>
      </c>
      <c r="Q147">
        <v>1</v>
      </c>
      <c r="X147">
        <v>0.17</v>
      </c>
      <c r="Y147">
        <v>0</v>
      </c>
      <c r="Z147">
        <v>33.590000000000003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40</v>
      </c>
      <c r="AG147">
        <v>0.21250000000000002</v>
      </c>
      <c r="AH147">
        <v>2</v>
      </c>
      <c r="AI147">
        <v>26914375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ROW(Source!A71)</f>
        <v>71</v>
      </c>
      <c r="B148">
        <v>26914395</v>
      </c>
      <c r="C148">
        <v>26914373</v>
      </c>
      <c r="D148">
        <v>25149479</v>
      </c>
      <c r="E148">
        <v>1</v>
      </c>
      <c r="F148">
        <v>1</v>
      </c>
      <c r="G148">
        <v>1</v>
      </c>
      <c r="H148">
        <v>3</v>
      </c>
      <c r="I148" t="s">
        <v>399</v>
      </c>
      <c r="J148" t="s">
        <v>400</v>
      </c>
      <c r="K148" t="s">
        <v>401</v>
      </c>
      <c r="L148">
        <v>1327</v>
      </c>
      <c r="N148">
        <v>1005</v>
      </c>
      <c r="O148" t="s">
        <v>92</v>
      </c>
      <c r="P148" t="s">
        <v>92</v>
      </c>
      <c r="Q148">
        <v>1</v>
      </c>
      <c r="X148">
        <v>449</v>
      </c>
      <c r="Y148">
        <v>23.52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449</v>
      </c>
      <c r="AH148">
        <v>2</v>
      </c>
      <c r="AI148">
        <v>26914376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ROW(Source!A71)</f>
        <v>71</v>
      </c>
      <c r="B149">
        <v>26914396</v>
      </c>
      <c r="C149">
        <v>26914373</v>
      </c>
      <c r="D149">
        <v>25149961</v>
      </c>
      <c r="E149">
        <v>1</v>
      </c>
      <c r="F149">
        <v>1</v>
      </c>
      <c r="G149">
        <v>1</v>
      </c>
      <c r="H149">
        <v>3</v>
      </c>
      <c r="I149" t="s">
        <v>364</v>
      </c>
      <c r="J149" t="s">
        <v>365</v>
      </c>
      <c r="K149" t="s">
        <v>366</v>
      </c>
      <c r="L149">
        <v>1339</v>
      </c>
      <c r="N149">
        <v>1007</v>
      </c>
      <c r="O149" t="s">
        <v>76</v>
      </c>
      <c r="P149" t="s">
        <v>76</v>
      </c>
      <c r="Q149">
        <v>1</v>
      </c>
      <c r="X149">
        <v>0.14299999999999999</v>
      </c>
      <c r="Y149">
        <v>2.44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6</v>
      </c>
      <c r="AG149">
        <v>0.14299999999999999</v>
      </c>
      <c r="AH149">
        <v>2</v>
      </c>
      <c r="AI149">
        <v>26914377</v>
      </c>
      <c r="AJ149">
        <v>152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ROW(Source!A71)</f>
        <v>71</v>
      </c>
      <c r="B150">
        <v>26914397</v>
      </c>
      <c r="C150">
        <v>26914373</v>
      </c>
      <c r="D150">
        <v>25150247</v>
      </c>
      <c r="E150">
        <v>1</v>
      </c>
      <c r="F150">
        <v>1</v>
      </c>
      <c r="G150">
        <v>1</v>
      </c>
      <c r="H150">
        <v>3</v>
      </c>
      <c r="I150" t="s">
        <v>402</v>
      </c>
      <c r="J150" t="s">
        <v>403</v>
      </c>
      <c r="K150" t="s">
        <v>404</v>
      </c>
      <c r="L150">
        <v>1301</v>
      </c>
      <c r="N150">
        <v>1003</v>
      </c>
      <c r="O150" t="s">
        <v>120</v>
      </c>
      <c r="P150" t="s">
        <v>120</v>
      </c>
      <c r="Q150">
        <v>1</v>
      </c>
      <c r="X150">
        <v>249</v>
      </c>
      <c r="Y150">
        <v>0.17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249</v>
      </c>
      <c r="AH150">
        <v>2</v>
      </c>
      <c r="AI150">
        <v>26914378</v>
      </c>
      <c r="AJ150">
        <v>154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ROW(Source!A71)</f>
        <v>71</v>
      </c>
      <c r="B151">
        <v>26914398</v>
      </c>
      <c r="C151">
        <v>26914373</v>
      </c>
      <c r="D151">
        <v>25150252</v>
      </c>
      <c r="E151">
        <v>1</v>
      </c>
      <c r="F151">
        <v>1</v>
      </c>
      <c r="G151">
        <v>1</v>
      </c>
      <c r="H151">
        <v>3</v>
      </c>
      <c r="I151" t="s">
        <v>405</v>
      </c>
      <c r="J151" t="s">
        <v>406</v>
      </c>
      <c r="K151" t="s">
        <v>407</v>
      </c>
      <c r="L151">
        <v>1308</v>
      </c>
      <c r="N151">
        <v>1003</v>
      </c>
      <c r="O151" t="s">
        <v>28</v>
      </c>
      <c r="P151" t="s">
        <v>28</v>
      </c>
      <c r="Q151">
        <v>100</v>
      </c>
      <c r="X151">
        <v>1.62</v>
      </c>
      <c r="Y151">
        <v>173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1.62</v>
      </c>
      <c r="AH151">
        <v>2</v>
      </c>
      <c r="AI151">
        <v>26914379</v>
      </c>
      <c r="AJ151">
        <v>155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ROW(Source!A71)</f>
        <v>71</v>
      </c>
      <c r="B152">
        <v>26914399</v>
      </c>
      <c r="C152">
        <v>26914373</v>
      </c>
      <c r="D152">
        <v>25145241</v>
      </c>
      <c r="E152">
        <v>17</v>
      </c>
      <c r="F152">
        <v>1</v>
      </c>
      <c r="G152">
        <v>1</v>
      </c>
      <c r="H152">
        <v>3</v>
      </c>
      <c r="I152" t="s">
        <v>497</v>
      </c>
      <c r="J152" t="s">
        <v>6</v>
      </c>
      <c r="K152" t="s">
        <v>498</v>
      </c>
      <c r="L152">
        <v>1301</v>
      </c>
      <c r="N152">
        <v>1003</v>
      </c>
      <c r="O152" t="s">
        <v>120</v>
      </c>
      <c r="P152" t="s">
        <v>120</v>
      </c>
      <c r="Q152">
        <v>1</v>
      </c>
      <c r="X152">
        <v>117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117</v>
      </c>
      <c r="AH152">
        <v>3</v>
      </c>
      <c r="AI152">
        <v>-1</v>
      </c>
      <c r="AJ152" t="s">
        <v>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ROW(Source!A71)</f>
        <v>71</v>
      </c>
      <c r="B153">
        <v>26914400</v>
      </c>
      <c r="C153">
        <v>26914373</v>
      </c>
      <c r="D153">
        <v>25152784</v>
      </c>
      <c r="E153">
        <v>1</v>
      </c>
      <c r="F153">
        <v>1</v>
      </c>
      <c r="G153">
        <v>1</v>
      </c>
      <c r="H153">
        <v>3</v>
      </c>
      <c r="I153" t="s">
        <v>408</v>
      </c>
      <c r="J153" t="s">
        <v>409</v>
      </c>
      <c r="K153" t="s">
        <v>410</v>
      </c>
      <c r="L153">
        <v>1355</v>
      </c>
      <c r="N153">
        <v>1010</v>
      </c>
      <c r="O153" t="s">
        <v>411</v>
      </c>
      <c r="P153" t="s">
        <v>411</v>
      </c>
      <c r="Q153">
        <v>100</v>
      </c>
      <c r="X153">
        <v>0.7</v>
      </c>
      <c r="Y153">
        <v>70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0.7</v>
      </c>
      <c r="AH153">
        <v>2</v>
      </c>
      <c r="AI153">
        <v>26914380</v>
      </c>
      <c r="AJ153">
        <v>156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ROW(Source!A71)</f>
        <v>71</v>
      </c>
      <c r="B154">
        <v>26914401</v>
      </c>
      <c r="C154">
        <v>26914373</v>
      </c>
      <c r="D154">
        <v>25152829</v>
      </c>
      <c r="E154">
        <v>1</v>
      </c>
      <c r="F154">
        <v>1</v>
      </c>
      <c r="G154">
        <v>1</v>
      </c>
      <c r="H154">
        <v>3</v>
      </c>
      <c r="I154" t="s">
        <v>412</v>
      </c>
      <c r="J154" t="s">
        <v>413</v>
      </c>
      <c r="K154" t="s">
        <v>414</v>
      </c>
      <c r="L154">
        <v>1355</v>
      </c>
      <c r="N154">
        <v>1010</v>
      </c>
      <c r="O154" t="s">
        <v>411</v>
      </c>
      <c r="P154" t="s">
        <v>411</v>
      </c>
      <c r="Q154">
        <v>100</v>
      </c>
      <c r="X154">
        <v>1.63</v>
      </c>
      <c r="Y154">
        <v>8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1.63</v>
      </c>
      <c r="AH154">
        <v>2</v>
      </c>
      <c r="AI154">
        <v>26914381</v>
      </c>
      <c r="AJ154">
        <v>157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ROW(Source!A71)</f>
        <v>71</v>
      </c>
      <c r="B155">
        <v>26914402</v>
      </c>
      <c r="C155">
        <v>26914373</v>
      </c>
      <c r="D155">
        <v>25153050</v>
      </c>
      <c r="E155">
        <v>1</v>
      </c>
      <c r="F155">
        <v>1</v>
      </c>
      <c r="G155">
        <v>1</v>
      </c>
      <c r="H155">
        <v>3</v>
      </c>
      <c r="I155" t="s">
        <v>415</v>
      </c>
      <c r="J155" t="s">
        <v>416</v>
      </c>
      <c r="K155" t="s">
        <v>417</v>
      </c>
      <c r="L155">
        <v>1355</v>
      </c>
      <c r="N155">
        <v>1010</v>
      </c>
      <c r="O155" t="s">
        <v>411</v>
      </c>
      <c r="P155" t="s">
        <v>411</v>
      </c>
      <c r="Q155">
        <v>100</v>
      </c>
      <c r="X155">
        <v>14.19</v>
      </c>
      <c r="Y155">
        <v>4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14.19</v>
      </c>
      <c r="AH155">
        <v>2</v>
      </c>
      <c r="AI155">
        <v>26914382</v>
      </c>
      <c r="AJ155">
        <v>158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ROW(Source!A71)</f>
        <v>71</v>
      </c>
      <c r="B156">
        <v>26914403</v>
      </c>
      <c r="C156">
        <v>26914373</v>
      </c>
      <c r="D156">
        <v>25153051</v>
      </c>
      <c r="E156">
        <v>1</v>
      </c>
      <c r="F156">
        <v>1</v>
      </c>
      <c r="G156">
        <v>1</v>
      </c>
      <c r="H156">
        <v>3</v>
      </c>
      <c r="I156" t="s">
        <v>418</v>
      </c>
      <c r="J156" t="s">
        <v>419</v>
      </c>
      <c r="K156" t="s">
        <v>420</v>
      </c>
      <c r="L156">
        <v>1355</v>
      </c>
      <c r="N156">
        <v>1010</v>
      </c>
      <c r="O156" t="s">
        <v>411</v>
      </c>
      <c r="P156" t="s">
        <v>411</v>
      </c>
      <c r="Q156">
        <v>100</v>
      </c>
      <c r="X156">
        <v>37.880000000000003</v>
      </c>
      <c r="Y156">
        <v>5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37.880000000000003</v>
      </c>
      <c r="AH156">
        <v>2</v>
      </c>
      <c r="AI156">
        <v>26914383</v>
      </c>
      <c r="AJ156">
        <v>159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ROW(Source!A71)</f>
        <v>71</v>
      </c>
      <c r="B157">
        <v>26914404</v>
      </c>
      <c r="C157">
        <v>26914373</v>
      </c>
      <c r="D157">
        <v>25145232</v>
      </c>
      <c r="E157">
        <v>17</v>
      </c>
      <c r="F157">
        <v>1</v>
      </c>
      <c r="G157">
        <v>1</v>
      </c>
      <c r="H157">
        <v>3</v>
      </c>
      <c r="I157" t="s">
        <v>499</v>
      </c>
      <c r="J157" t="s">
        <v>6</v>
      </c>
      <c r="K157" t="s">
        <v>500</v>
      </c>
      <c r="L157">
        <v>1301</v>
      </c>
      <c r="N157">
        <v>1003</v>
      </c>
      <c r="O157" t="s">
        <v>120</v>
      </c>
      <c r="P157" t="s">
        <v>120</v>
      </c>
      <c r="Q157">
        <v>1</v>
      </c>
      <c r="X157">
        <v>86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6</v>
      </c>
      <c r="AG157">
        <v>86</v>
      </c>
      <c r="AH157">
        <v>3</v>
      </c>
      <c r="AI157">
        <v>-1</v>
      </c>
      <c r="AJ157" t="s">
        <v>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ROW(Source!A71)</f>
        <v>71</v>
      </c>
      <c r="B158">
        <v>26914405</v>
      </c>
      <c r="C158">
        <v>26914373</v>
      </c>
      <c r="D158">
        <v>25145232</v>
      </c>
      <c r="E158">
        <v>17</v>
      </c>
      <c r="F158">
        <v>1</v>
      </c>
      <c r="G158">
        <v>1</v>
      </c>
      <c r="H158">
        <v>3</v>
      </c>
      <c r="I158" t="s">
        <v>499</v>
      </c>
      <c r="J158" t="s">
        <v>6</v>
      </c>
      <c r="K158" t="s">
        <v>501</v>
      </c>
      <c r="L158">
        <v>1301</v>
      </c>
      <c r="N158">
        <v>1003</v>
      </c>
      <c r="O158" t="s">
        <v>120</v>
      </c>
      <c r="P158" t="s">
        <v>120</v>
      </c>
      <c r="Q158">
        <v>1</v>
      </c>
      <c r="X158">
        <v>254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6</v>
      </c>
      <c r="AG158">
        <v>254</v>
      </c>
      <c r="AH158">
        <v>3</v>
      </c>
      <c r="AI158">
        <v>-1</v>
      </c>
      <c r="AJ158" t="s">
        <v>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ROW(Source!A71)</f>
        <v>71</v>
      </c>
      <c r="B159">
        <v>26914406</v>
      </c>
      <c r="C159">
        <v>26914373</v>
      </c>
      <c r="D159">
        <v>25171144</v>
      </c>
      <c r="E159">
        <v>1</v>
      </c>
      <c r="F159">
        <v>1</v>
      </c>
      <c r="G159">
        <v>1</v>
      </c>
      <c r="H159">
        <v>3</v>
      </c>
      <c r="I159" t="s">
        <v>421</v>
      </c>
      <c r="J159" t="s">
        <v>422</v>
      </c>
      <c r="K159" t="s">
        <v>423</v>
      </c>
      <c r="L159">
        <v>1355</v>
      </c>
      <c r="N159">
        <v>1010</v>
      </c>
      <c r="O159" t="s">
        <v>411</v>
      </c>
      <c r="P159" t="s">
        <v>411</v>
      </c>
      <c r="Q159">
        <v>100</v>
      </c>
      <c r="X159">
        <v>0.14000000000000001</v>
      </c>
      <c r="Y159">
        <v>279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0.14000000000000001</v>
      </c>
      <c r="AH159">
        <v>2</v>
      </c>
      <c r="AI159">
        <v>26914384</v>
      </c>
      <c r="AJ159">
        <v>162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ROW(Source!A71)</f>
        <v>71</v>
      </c>
      <c r="B160">
        <v>26914407</v>
      </c>
      <c r="C160">
        <v>26914373</v>
      </c>
      <c r="D160">
        <v>25171153</v>
      </c>
      <c r="E160">
        <v>1</v>
      </c>
      <c r="F160">
        <v>1</v>
      </c>
      <c r="G160">
        <v>1</v>
      </c>
      <c r="H160">
        <v>3</v>
      </c>
      <c r="I160" t="s">
        <v>424</v>
      </c>
      <c r="J160" t="s">
        <v>425</v>
      </c>
      <c r="K160" t="s">
        <v>426</v>
      </c>
      <c r="L160">
        <v>1355</v>
      </c>
      <c r="N160">
        <v>1010</v>
      </c>
      <c r="O160" t="s">
        <v>411</v>
      </c>
      <c r="P160" t="s">
        <v>411</v>
      </c>
      <c r="Q160">
        <v>100</v>
      </c>
      <c r="X160">
        <v>0.14000000000000001</v>
      </c>
      <c r="Y160">
        <v>279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0.14000000000000001</v>
      </c>
      <c r="AH160">
        <v>2</v>
      </c>
      <c r="AI160">
        <v>26914385</v>
      </c>
      <c r="AJ160">
        <v>163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ROW(Source!A71)</f>
        <v>71</v>
      </c>
      <c r="B161">
        <v>26914408</v>
      </c>
      <c r="C161">
        <v>26914373</v>
      </c>
      <c r="D161">
        <v>25145273</v>
      </c>
      <c r="E161">
        <v>17</v>
      </c>
      <c r="F161">
        <v>1</v>
      </c>
      <c r="G161">
        <v>1</v>
      </c>
      <c r="H161">
        <v>3</v>
      </c>
      <c r="I161" t="s">
        <v>502</v>
      </c>
      <c r="J161" t="s">
        <v>6</v>
      </c>
      <c r="K161" t="s">
        <v>503</v>
      </c>
      <c r="L161">
        <v>1301</v>
      </c>
      <c r="N161">
        <v>1003</v>
      </c>
      <c r="O161" t="s">
        <v>120</v>
      </c>
      <c r="P161" t="s">
        <v>120</v>
      </c>
      <c r="Q161">
        <v>1</v>
      </c>
      <c r="X161">
        <v>39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 t="s">
        <v>6</v>
      </c>
      <c r="AG161">
        <v>39</v>
      </c>
      <c r="AH161">
        <v>3</v>
      </c>
      <c r="AI161">
        <v>-1</v>
      </c>
      <c r="AJ161" t="s">
        <v>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ROW(Source!A71)</f>
        <v>71</v>
      </c>
      <c r="B162">
        <v>26914409</v>
      </c>
      <c r="C162">
        <v>26914373</v>
      </c>
      <c r="D162">
        <v>25144733</v>
      </c>
      <c r="E162">
        <v>17</v>
      </c>
      <c r="F162">
        <v>1</v>
      </c>
      <c r="G162">
        <v>1</v>
      </c>
      <c r="H162">
        <v>3</v>
      </c>
      <c r="I162" t="s">
        <v>504</v>
      </c>
      <c r="J162" t="s">
        <v>6</v>
      </c>
      <c r="K162" t="s">
        <v>505</v>
      </c>
      <c r="L162">
        <v>1327</v>
      </c>
      <c r="N162">
        <v>1005</v>
      </c>
      <c r="O162" t="s">
        <v>92</v>
      </c>
      <c r="P162" t="s">
        <v>92</v>
      </c>
      <c r="Q162">
        <v>1</v>
      </c>
      <c r="X162">
        <v>103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6</v>
      </c>
      <c r="AG162">
        <v>103</v>
      </c>
      <c r="AH162">
        <v>3</v>
      </c>
      <c r="AI162">
        <v>-1</v>
      </c>
      <c r="AJ162" t="s">
        <v>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ROW(Source!A71)</f>
        <v>71</v>
      </c>
      <c r="B163">
        <v>26914410</v>
      </c>
      <c r="C163">
        <v>26914373</v>
      </c>
      <c r="D163">
        <v>25186101</v>
      </c>
      <c r="E163">
        <v>1</v>
      </c>
      <c r="F163">
        <v>1</v>
      </c>
      <c r="G163">
        <v>1</v>
      </c>
      <c r="H163">
        <v>3</v>
      </c>
      <c r="I163" t="s">
        <v>427</v>
      </c>
      <c r="J163" t="s">
        <v>428</v>
      </c>
      <c r="K163" t="s">
        <v>429</v>
      </c>
      <c r="L163">
        <v>1346</v>
      </c>
      <c r="N163">
        <v>1009</v>
      </c>
      <c r="O163" t="s">
        <v>50</v>
      </c>
      <c r="P163" t="s">
        <v>50</v>
      </c>
      <c r="Q163">
        <v>1</v>
      </c>
      <c r="X163">
        <v>25</v>
      </c>
      <c r="Y163">
        <v>13.08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25</v>
      </c>
      <c r="AH163">
        <v>2</v>
      </c>
      <c r="AI163">
        <v>26914386</v>
      </c>
      <c r="AJ163">
        <v>165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ROW(Source!A71)</f>
        <v>71</v>
      </c>
      <c r="B164">
        <v>26914411</v>
      </c>
      <c r="C164">
        <v>26914373</v>
      </c>
      <c r="D164">
        <v>25187370</v>
      </c>
      <c r="E164">
        <v>1</v>
      </c>
      <c r="F164">
        <v>1</v>
      </c>
      <c r="G164">
        <v>1</v>
      </c>
      <c r="H164">
        <v>3</v>
      </c>
      <c r="I164" t="s">
        <v>430</v>
      </c>
      <c r="J164" t="s">
        <v>431</v>
      </c>
      <c r="K164" t="s">
        <v>432</v>
      </c>
      <c r="L164">
        <v>1346</v>
      </c>
      <c r="N164">
        <v>1009</v>
      </c>
      <c r="O164" t="s">
        <v>50</v>
      </c>
      <c r="P164" t="s">
        <v>50</v>
      </c>
      <c r="Q164">
        <v>1</v>
      </c>
      <c r="X164">
        <v>179</v>
      </c>
      <c r="Y164">
        <v>2.94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179</v>
      </c>
      <c r="AH164">
        <v>2</v>
      </c>
      <c r="AI164">
        <v>26914387</v>
      </c>
      <c r="AJ164">
        <v>166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ROW(Source!A82)</f>
        <v>82</v>
      </c>
      <c r="B165">
        <v>26914427</v>
      </c>
      <c r="C165">
        <v>26914417</v>
      </c>
      <c r="D165">
        <v>25418142</v>
      </c>
      <c r="E165">
        <v>1</v>
      </c>
      <c r="F165">
        <v>1</v>
      </c>
      <c r="G165">
        <v>1</v>
      </c>
      <c r="H165">
        <v>1</v>
      </c>
      <c r="I165" t="s">
        <v>433</v>
      </c>
      <c r="J165" t="s">
        <v>6</v>
      </c>
      <c r="K165" t="s">
        <v>434</v>
      </c>
      <c r="L165">
        <v>1191</v>
      </c>
      <c r="N165">
        <v>1013</v>
      </c>
      <c r="O165" t="s">
        <v>332</v>
      </c>
      <c r="P165" t="s">
        <v>332</v>
      </c>
      <c r="Q165">
        <v>1</v>
      </c>
      <c r="X165">
        <v>44</v>
      </c>
      <c r="Y165">
        <v>0</v>
      </c>
      <c r="Z165">
        <v>0</v>
      </c>
      <c r="AA165">
        <v>0</v>
      </c>
      <c r="AB165">
        <v>8.9700000000000006</v>
      </c>
      <c r="AC165">
        <v>0</v>
      </c>
      <c r="AD165">
        <v>1</v>
      </c>
      <c r="AE165">
        <v>1</v>
      </c>
      <c r="AF165" t="s">
        <v>6</v>
      </c>
      <c r="AG165">
        <v>44</v>
      </c>
      <c r="AH165">
        <v>2</v>
      </c>
      <c r="AI165">
        <v>26914418</v>
      </c>
      <c r="AJ165">
        <v>167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ROW(Source!A82)</f>
        <v>82</v>
      </c>
      <c r="B166">
        <v>26914428</v>
      </c>
      <c r="C166">
        <v>26914417</v>
      </c>
      <c r="D166">
        <v>25412928</v>
      </c>
      <c r="E166">
        <v>1</v>
      </c>
      <c r="F166">
        <v>1</v>
      </c>
      <c r="G166">
        <v>1</v>
      </c>
      <c r="H166">
        <v>1</v>
      </c>
      <c r="I166" t="s">
        <v>333</v>
      </c>
      <c r="J166" t="s">
        <v>6</v>
      </c>
      <c r="K166" t="s">
        <v>334</v>
      </c>
      <c r="L166">
        <v>1191</v>
      </c>
      <c r="N166">
        <v>1013</v>
      </c>
      <c r="O166" t="s">
        <v>332</v>
      </c>
      <c r="P166" t="s">
        <v>332</v>
      </c>
      <c r="Q166">
        <v>1</v>
      </c>
      <c r="X166">
        <v>0.48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6</v>
      </c>
      <c r="AG166">
        <v>0.48</v>
      </c>
      <c r="AH166">
        <v>2</v>
      </c>
      <c r="AI166">
        <v>26914419</v>
      </c>
      <c r="AJ166">
        <v>168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ROW(Source!A82)</f>
        <v>82</v>
      </c>
      <c r="B167">
        <v>26914429</v>
      </c>
      <c r="C167">
        <v>26914417</v>
      </c>
      <c r="D167">
        <v>25230514</v>
      </c>
      <c r="E167">
        <v>1</v>
      </c>
      <c r="F167">
        <v>1</v>
      </c>
      <c r="G167">
        <v>1</v>
      </c>
      <c r="H167">
        <v>2</v>
      </c>
      <c r="I167" t="s">
        <v>335</v>
      </c>
      <c r="J167" t="s">
        <v>336</v>
      </c>
      <c r="K167" t="s">
        <v>337</v>
      </c>
      <c r="L167">
        <v>1368</v>
      </c>
      <c r="N167">
        <v>1011</v>
      </c>
      <c r="O167" t="s">
        <v>338</v>
      </c>
      <c r="P167" t="s">
        <v>338</v>
      </c>
      <c r="Q167">
        <v>1</v>
      </c>
      <c r="X167">
        <v>0.38</v>
      </c>
      <c r="Y167">
        <v>0</v>
      </c>
      <c r="Z167">
        <v>31.26</v>
      </c>
      <c r="AA167">
        <v>13.5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0.38</v>
      </c>
      <c r="AH167">
        <v>2</v>
      </c>
      <c r="AI167">
        <v>26914420</v>
      </c>
      <c r="AJ167">
        <v>169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ROW(Source!A82)</f>
        <v>82</v>
      </c>
      <c r="B168">
        <v>26914430</v>
      </c>
      <c r="C168">
        <v>26914417</v>
      </c>
      <c r="D168">
        <v>25231607</v>
      </c>
      <c r="E168">
        <v>1</v>
      </c>
      <c r="F168">
        <v>1</v>
      </c>
      <c r="G168">
        <v>1</v>
      </c>
      <c r="H168">
        <v>2</v>
      </c>
      <c r="I168" t="s">
        <v>352</v>
      </c>
      <c r="J168" t="s">
        <v>353</v>
      </c>
      <c r="K168" t="s">
        <v>354</v>
      </c>
      <c r="L168">
        <v>1368</v>
      </c>
      <c r="N168">
        <v>1011</v>
      </c>
      <c r="O168" t="s">
        <v>338</v>
      </c>
      <c r="P168" t="s">
        <v>338</v>
      </c>
      <c r="Q168">
        <v>1</v>
      </c>
      <c r="X168">
        <v>0.1</v>
      </c>
      <c r="Y168">
        <v>0</v>
      </c>
      <c r="Z168">
        <v>65.709999999999994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0.1</v>
      </c>
      <c r="AH168">
        <v>2</v>
      </c>
      <c r="AI168">
        <v>26914421</v>
      </c>
      <c r="AJ168">
        <v>170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ROW(Source!A82)</f>
        <v>82</v>
      </c>
      <c r="B169">
        <v>26914431</v>
      </c>
      <c r="C169">
        <v>26914417</v>
      </c>
      <c r="D169">
        <v>25231911</v>
      </c>
      <c r="E169">
        <v>1</v>
      </c>
      <c r="F169">
        <v>1</v>
      </c>
      <c r="G169">
        <v>1</v>
      </c>
      <c r="H169">
        <v>2</v>
      </c>
      <c r="I169" t="s">
        <v>435</v>
      </c>
      <c r="J169" t="s">
        <v>436</v>
      </c>
      <c r="K169" t="s">
        <v>437</v>
      </c>
      <c r="L169">
        <v>1368</v>
      </c>
      <c r="N169">
        <v>1011</v>
      </c>
      <c r="O169" t="s">
        <v>338</v>
      </c>
      <c r="P169" t="s">
        <v>338</v>
      </c>
      <c r="Q169">
        <v>1</v>
      </c>
      <c r="X169">
        <v>0.43</v>
      </c>
      <c r="Y169">
        <v>0</v>
      </c>
      <c r="Z169">
        <v>8.1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0.43</v>
      </c>
      <c r="AH169">
        <v>2</v>
      </c>
      <c r="AI169">
        <v>26914422</v>
      </c>
      <c r="AJ169">
        <v>171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ROW(Source!A82)</f>
        <v>82</v>
      </c>
      <c r="B170">
        <v>26914432</v>
      </c>
      <c r="C170">
        <v>26914417</v>
      </c>
      <c r="D170">
        <v>25151447</v>
      </c>
      <c r="E170">
        <v>1</v>
      </c>
      <c r="F170">
        <v>1</v>
      </c>
      <c r="G170">
        <v>1</v>
      </c>
      <c r="H170">
        <v>3</v>
      </c>
      <c r="I170" t="s">
        <v>438</v>
      </c>
      <c r="J170" t="s">
        <v>439</v>
      </c>
      <c r="K170" t="s">
        <v>440</v>
      </c>
      <c r="L170">
        <v>1348</v>
      </c>
      <c r="N170">
        <v>1009</v>
      </c>
      <c r="O170" t="s">
        <v>24</v>
      </c>
      <c r="P170" t="s">
        <v>24</v>
      </c>
      <c r="Q170">
        <v>1000</v>
      </c>
      <c r="X170">
        <v>5.1000000000000004E-3</v>
      </c>
      <c r="Y170">
        <v>9424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5.1000000000000004E-3</v>
      </c>
      <c r="AH170">
        <v>2</v>
      </c>
      <c r="AI170">
        <v>26914423</v>
      </c>
      <c r="AJ170">
        <v>172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ROW(Source!A82)</f>
        <v>82</v>
      </c>
      <c r="B171">
        <v>26914433</v>
      </c>
      <c r="C171">
        <v>26914417</v>
      </c>
      <c r="D171">
        <v>25174088</v>
      </c>
      <c r="E171">
        <v>1</v>
      </c>
      <c r="F171">
        <v>1</v>
      </c>
      <c r="G171">
        <v>1</v>
      </c>
      <c r="H171">
        <v>3</v>
      </c>
      <c r="I171" t="s">
        <v>441</v>
      </c>
      <c r="J171" t="s">
        <v>442</v>
      </c>
      <c r="K171" t="s">
        <v>443</v>
      </c>
      <c r="L171">
        <v>1348</v>
      </c>
      <c r="N171">
        <v>1009</v>
      </c>
      <c r="O171" t="s">
        <v>24</v>
      </c>
      <c r="P171" t="s">
        <v>24</v>
      </c>
      <c r="Q171">
        <v>1000</v>
      </c>
      <c r="X171">
        <v>0.05</v>
      </c>
      <c r="Y171">
        <v>5650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0.05</v>
      </c>
      <c r="AH171">
        <v>2</v>
      </c>
      <c r="AI171">
        <v>26914424</v>
      </c>
      <c r="AJ171">
        <v>173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ROW(Source!A82)</f>
        <v>82</v>
      </c>
      <c r="B172">
        <v>26914434</v>
      </c>
      <c r="C172">
        <v>26914417</v>
      </c>
      <c r="D172">
        <v>25174206</v>
      </c>
      <c r="E172">
        <v>1</v>
      </c>
      <c r="F172">
        <v>1</v>
      </c>
      <c r="G172">
        <v>1</v>
      </c>
      <c r="H172">
        <v>3</v>
      </c>
      <c r="I172" t="s">
        <v>140</v>
      </c>
      <c r="J172" t="s">
        <v>142</v>
      </c>
      <c r="K172" t="s">
        <v>141</v>
      </c>
      <c r="L172">
        <v>1348</v>
      </c>
      <c r="N172">
        <v>1009</v>
      </c>
      <c r="O172" t="s">
        <v>24</v>
      </c>
      <c r="P172" t="s">
        <v>24</v>
      </c>
      <c r="Q172">
        <v>1000</v>
      </c>
      <c r="X172">
        <v>0.98</v>
      </c>
      <c r="Y172">
        <v>6102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0.98</v>
      </c>
      <c r="AH172">
        <v>2</v>
      </c>
      <c r="AI172">
        <v>26914425</v>
      </c>
      <c r="AJ172">
        <v>174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ROW(Source!A83)</f>
        <v>83</v>
      </c>
      <c r="B173">
        <v>26914427</v>
      </c>
      <c r="C173">
        <v>26914417</v>
      </c>
      <c r="D173">
        <v>25418142</v>
      </c>
      <c r="E173">
        <v>1</v>
      </c>
      <c r="F173">
        <v>1</v>
      </c>
      <c r="G173">
        <v>1</v>
      </c>
      <c r="H173">
        <v>1</v>
      </c>
      <c r="I173" t="s">
        <v>433</v>
      </c>
      <c r="J173" t="s">
        <v>6</v>
      </c>
      <c r="K173" t="s">
        <v>434</v>
      </c>
      <c r="L173">
        <v>1191</v>
      </c>
      <c r="N173">
        <v>1013</v>
      </c>
      <c r="O173" t="s">
        <v>332</v>
      </c>
      <c r="P173" t="s">
        <v>332</v>
      </c>
      <c r="Q173">
        <v>1</v>
      </c>
      <c r="X173">
        <v>44</v>
      </c>
      <c r="Y173">
        <v>0</v>
      </c>
      <c r="Z173">
        <v>0</v>
      </c>
      <c r="AA173">
        <v>0</v>
      </c>
      <c r="AB173">
        <v>8.9700000000000006</v>
      </c>
      <c r="AC173">
        <v>0</v>
      </c>
      <c r="AD173">
        <v>1</v>
      </c>
      <c r="AE173">
        <v>1</v>
      </c>
      <c r="AF173" t="s">
        <v>6</v>
      </c>
      <c r="AG173">
        <v>44</v>
      </c>
      <c r="AH173">
        <v>2</v>
      </c>
      <c r="AI173">
        <v>26914418</v>
      </c>
      <c r="AJ173">
        <v>176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ROW(Source!A83)</f>
        <v>83</v>
      </c>
      <c r="B174">
        <v>26914428</v>
      </c>
      <c r="C174">
        <v>26914417</v>
      </c>
      <c r="D174">
        <v>25412928</v>
      </c>
      <c r="E174">
        <v>1</v>
      </c>
      <c r="F174">
        <v>1</v>
      </c>
      <c r="G174">
        <v>1</v>
      </c>
      <c r="H174">
        <v>1</v>
      </c>
      <c r="I174" t="s">
        <v>333</v>
      </c>
      <c r="J174" t="s">
        <v>6</v>
      </c>
      <c r="K174" t="s">
        <v>334</v>
      </c>
      <c r="L174">
        <v>1191</v>
      </c>
      <c r="N174">
        <v>1013</v>
      </c>
      <c r="O174" t="s">
        <v>332</v>
      </c>
      <c r="P174" t="s">
        <v>332</v>
      </c>
      <c r="Q174">
        <v>1</v>
      </c>
      <c r="X174">
        <v>0.48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6</v>
      </c>
      <c r="AG174">
        <v>0.48</v>
      </c>
      <c r="AH174">
        <v>2</v>
      </c>
      <c r="AI174">
        <v>26914419</v>
      </c>
      <c r="AJ174">
        <v>177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ROW(Source!A83)</f>
        <v>83</v>
      </c>
      <c r="B175">
        <v>26914429</v>
      </c>
      <c r="C175">
        <v>26914417</v>
      </c>
      <c r="D175">
        <v>25230514</v>
      </c>
      <c r="E175">
        <v>1</v>
      </c>
      <c r="F175">
        <v>1</v>
      </c>
      <c r="G175">
        <v>1</v>
      </c>
      <c r="H175">
        <v>2</v>
      </c>
      <c r="I175" t="s">
        <v>335</v>
      </c>
      <c r="J175" t="s">
        <v>336</v>
      </c>
      <c r="K175" t="s">
        <v>337</v>
      </c>
      <c r="L175">
        <v>1368</v>
      </c>
      <c r="N175">
        <v>1011</v>
      </c>
      <c r="O175" t="s">
        <v>338</v>
      </c>
      <c r="P175" t="s">
        <v>338</v>
      </c>
      <c r="Q175">
        <v>1</v>
      </c>
      <c r="X175">
        <v>0.38</v>
      </c>
      <c r="Y175">
        <v>0</v>
      </c>
      <c r="Z175">
        <v>31.26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0.38</v>
      </c>
      <c r="AH175">
        <v>2</v>
      </c>
      <c r="AI175">
        <v>26914420</v>
      </c>
      <c r="AJ175">
        <v>178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ROW(Source!A83)</f>
        <v>83</v>
      </c>
      <c r="B176">
        <v>26914430</v>
      </c>
      <c r="C176">
        <v>26914417</v>
      </c>
      <c r="D176">
        <v>25231607</v>
      </c>
      <c r="E176">
        <v>1</v>
      </c>
      <c r="F176">
        <v>1</v>
      </c>
      <c r="G176">
        <v>1</v>
      </c>
      <c r="H176">
        <v>2</v>
      </c>
      <c r="I176" t="s">
        <v>352</v>
      </c>
      <c r="J176" t="s">
        <v>353</v>
      </c>
      <c r="K176" t="s">
        <v>354</v>
      </c>
      <c r="L176">
        <v>1368</v>
      </c>
      <c r="N176">
        <v>1011</v>
      </c>
      <c r="O176" t="s">
        <v>338</v>
      </c>
      <c r="P176" t="s">
        <v>338</v>
      </c>
      <c r="Q176">
        <v>1</v>
      </c>
      <c r="X176">
        <v>0.1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0.1</v>
      </c>
      <c r="AH176">
        <v>2</v>
      </c>
      <c r="AI176">
        <v>26914421</v>
      </c>
      <c r="AJ176">
        <v>179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ROW(Source!A83)</f>
        <v>83</v>
      </c>
      <c r="B177">
        <v>26914431</v>
      </c>
      <c r="C177">
        <v>26914417</v>
      </c>
      <c r="D177">
        <v>25231911</v>
      </c>
      <c r="E177">
        <v>1</v>
      </c>
      <c r="F177">
        <v>1</v>
      </c>
      <c r="G177">
        <v>1</v>
      </c>
      <c r="H177">
        <v>2</v>
      </c>
      <c r="I177" t="s">
        <v>435</v>
      </c>
      <c r="J177" t="s">
        <v>436</v>
      </c>
      <c r="K177" t="s">
        <v>437</v>
      </c>
      <c r="L177">
        <v>1368</v>
      </c>
      <c r="N177">
        <v>1011</v>
      </c>
      <c r="O177" t="s">
        <v>338</v>
      </c>
      <c r="P177" t="s">
        <v>338</v>
      </c>
      <c r="Q177">
        <v>1</v>
      </c>
      <c r="X177">
        <v>0.43</v>
      </c>
      <c r="Y177">
        <v>0</v>
      </c>
      <c r="Z177">
        <v>8.1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0.43</v>
      </c>
      <c r="AH177">
        <v>2</v>
      </c>
      <c r="AI177">
        <v>26914422</v>
      </c>
      <c r="AJ177">
        <v>180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ROW(Source!A83)</f>
        <v>83</v>
      </c>
      <c r="B178">
        <v>26914432</v>
      </c>
      <c r="C178">
        <v>26914417</v>
      </c>
      <c r="D178">
        <v>25151447</v>
      </c>
      <c r="E178">
        <v>1</v>
      </c>
      <c r="F178">
        <v>1</v>
      </c>
      <c r="G178">
        <v>1</v>
      </c>
      <c r="H178">
        <v>3</v>
      </c>
      <c r="I178" t="s">
        <v>438</v>
      </c>
      <c r="J178" t="s">
        <v>439</v>
      </c>
      <c r="K178" t="s">
        <v>440</v>
      </c>
      <c r="L178">
        <v>1348</v>
      </c>
      <c r="N178">
        <v>1009</v>
      </c>
      <c r="O178" t="s">
        <v>24</v>
      </c>
      <c r="P178" t="s">
        <v>24</v>
      </c>
      <c r="Q178">
        <v>1000</v>
      </c>
      <c r="X178">
        <v>5.1000000000000004E-3</v>
      </c>
      <c r="Y178">
        <v>9424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5.1000000000000004E-3</v>
      </c>
      <c r="AH178">
        <v>2</v>
      </c>
      <c r="AI178">
        <v>26914423</v>
      </c>
      <c r="AJ178">
        <v>181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ROW(Source!A83)</f>
        <v>83</v>
      </c>
      <c r="B179">
        <v>26914433</v>
      </c>
      <c r="C179">
        <v>26914417</v>
      </c>
      <c r="D179">
        <v>25174088</v>
      </c>
      <c r="E179">
        <v>1</v>
      </c>
      <c r="F179">
        <v>1</v>
      </c>
      <c r="G179">
        <v>1</v>
      </c>
      <c r="H179">
        <v>3</v>
      </c>
      <c r="I179" t="s">
        <v>441</v>
      </c>
      <c r="J179" t="s">
        <v>442</v>
      </c>
      <c r="K179" t="s">
        <v>443</v>
      </c>
      <c r="L179">
        <v>1348</v>
      </c>
      <c r="N179">
        <v>1009</v>
      </c>
      <c r="O179" t="s">
        <v>24</v>
      </c>
      <c r="P179" t="s">
        <v>24</v>
      </c>
      <c r="Q179">
        <v>1000</v>
      </c>
      <c r="X179">
        <v>0.05</v>
      </c>
      <c r="Y179">
        <v>5650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0.05</v>
      </c>
      <c r="AH179">
        <v>2</v>
      </c>
      <c r="AI179">
        <v>26914424</v>
      </c>
      <c r="AJ179">
        <v>182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ROW(Source!A83)</f>
        <v>83</v>
      </c>
      <c r="B180">
        <v>26914434</v>
      </c>
      <c r="C180">
        <v>26914417</v>
      </c>
      <c r="D180">
        <v>25174206</v>
      </c>
      <c r="E180">
        <v>1</v>
      </c>
      <c r="F180">
        <v>1</v>
      </c>
      <c r="G180">
        <v>1</v>
      </c>
      <c r="H180">
        <v>3</v>
      </c>
      <c r="I180" t="s">
        <v>140</v>
      </c>
      <c r="J180" t="s">
        <v>142</v>
      </c>
      <c r="K180" t="s">
        <v>141</v>
      </c>
      <c r="L180">
        <v>1348</v>
      </c>
      <c r="N180">
        <v>1009</v>
      </c>
      <c r="O180" t="s">
        <v>24</v>
      </c>
      <c r="P180" t="s">
        <v>24</v>
      </c>
      <c r="Q180">
        <v>1000</v>
      </c>
      <c r="X180">
        <v>0.98</v>
      </c>
      <c r="Y180">
        <v>6102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0.98</v>
      </c>
      <c r="AH180">
        <v>2</v>
      </c>
      <c r="AI180">
        <v>26914425</v>
      </c>
      <c r="AJ180">
        <v>183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ROW(Source!A88)</f>
        <v>88</v>
      </c>
      <c r="B181">
        <v>26914446</v>
      </c>
      <c r="C181">
        <v>26914437</v>
      </c>
      <c r="D181">
        <v>25420494</v>
      </c>
      <c r="E181">
        <v>1</v>
      </c>
      <c r="F181">
        <v>1</v>
      </c>
      <c r="G181">
        <v>1</v>
      </c>
      <c r="H181">
        <v>1</v>
      </c>
      <c r="I181" t="s">
        <v>444</v>
      </c>
      <c r="J181" t="s">
        <v>6</v>
      </c>
      <c r="K181" t="s">
        <v>445</v>
      </c>
      <c r="L181">
        <v>1191</v>
      </c>
      <c r="N181">
        <v>1013</v>
      </c>
      <c r="O181" t="s">
        <v>332</v>
      </c>
      <c r="P181" t="s">
        <v>332</v>
      </c>
      <c r="Q181">
        <v>1</v>
      </c>
      <c r="X181">
        <v>5.31</v>
      </c>
      <c r="Y181">
        <v>0</v>
      </c>
      <c r="Z181">
        <v>0</v>
      </c>
      <c r="AA181">
        <v>0</v>
      </c>
      <c r="AB181">
        <v>10.65</v>
      </c>
      <c r="AC181">
        <v>0</v>
      </c>
      <c r="AD181">
        <v>1</v>
      </c>
      <c r="AE181">
        <v>1</v>
      </c>
      <c r="AF181" t="s">
        <v>41</v>
      </c>
      <c r="AG181">
        <v>6.1064999999999987</v>
      </c>
      <c r="AH181">
        <v>2</v>
      </c>
      <c r="AI181">
        <v>26914438</v>
      </c>
      <c r="AJ181">
        <v>185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ROW(Source!A88)</f>
        <v>88</v>
      </c>
      <c r="B182">
        <v>26914447</v>
      </c>
      <c r="C182">
        <v>26914437</v>
      </c>
      <c r="D182">
        <v>25412928</v>
      </c>
      <c r="E182">
        <v>1</v>
      </c>
      <c r="F182">
        <v>1</v>
      </c>
      <c r="G182">
        <v>1</v>
      </c>
      <c r="H182">
        <v>1</v>
      </c>
      <c r="I182" t="s">
        <v>333</v>
      </c>
      <c r="J182" t="s">
        <v>6</v>
      </c>
      <c r="K182" t="s">
        <v>334</v>
      </c>
      <c r="L182">
        <v>1191</v>
      </c>
      <c r="N182">
        <v>1013</v>
      </c>
      <c r="O182" t="s">
        <v>332</v>
      </c>
      <c r="P182" t="s">
        <v>332</v>
      </c>
      <c r="Q182">
        <v>1</v>
      </c>
      <c r="X182">
        <v>0.02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40</v>
      </c>
      <c r="AG182">
        <v>2.5000000000000001E-2</v>
      </c>
      <c r="AH182">
        <v>2</v>
      </c>
      <c r="AI182">
        <v>26914439</v>
      </c>
      <c r="AJ182">
        <v>186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ROW(Source!A88)</f>
        <v>88</v>
      </c>
      <c r="B183">
        <v>26914448</v>
      </c>
      <c r="C183">
        <v>26914437</v>
      </c>
      <c r="D183">
        <v>25230418</v>
      </c>
      <c r="E183">
        <v>1</v>
      </c>
      <c r="F183">
        <v>1</v>
      </c>
      <c r="G183">
        <v>1</v>
      </c>
      <c r="H183">
        <v>2</v>
      </c>
      <c r="I183" t="s">
        <v>446</v>
      </c>
      <c r="J183" t="s">
        <v>447</v>
      </c>
      <c r="K183" t="s">
        <v>448</v>
      </c>
      <c r="L183">
        <v>1368</v>
      </c>
      <c r="N183">
        <v>1011</v>
      </c>
      <c r="O183" t="s">
        <v>338</v>
      </c>
      <c r="P183" t="s">
        <v>338</v>
      </c>
      <c r="Q183">
        <v>1</v>
      </c>
      <c r="X183">
        <v>0.01</v>
      </c>
      <c r="Y183">
        <v>0</v>
      </c>
      <c r="Z183">
        <v>1.7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40</v>
      </c>
      <c r="AG183">
        <v>1.2500000000000001E-2</v>
      </c>
      <c r="AH183">
        <v>2</v>
      </c>
      <c r="AI183">
        <v>26914440</v>
      </c>
      <c r="AJ183">
        <v>187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ROW(Source!A88)</f>
        <v>88</v>
      </c>
      <c r="B184">
        <v>26914449</v>
      </c>
      <c r="C184">
        <v>26914437</v>
      </c>
      <c r="D184">
        <v>25230445</v>
      </c>
      <c r="E184">
        <v>1</v>
      </c>
      <c r="F184">
        <v>1</v>
      </c>
      <c r="G184">
        <v>1</v>
      </c>
      <c r="H184">
        <v>2</v>
      </c>
      <c r="I184" t="s">
        <v>449</v>
      </c>
      <c r="J184" t="s">
        <v>450</v>
      </c>
      <c r="K184" t="s">
        <v>451</v>
      </c>
      <c r="L184">
        <v>1368</v>
      </c>
      <c r="N184">
        <v>1011</v>
      </c>
      <c r="O184" t="s">
        <v>338</v>
      </c>
      <c r="P184" t="s">
        <v>338</v>
      </c>
      <c r="Q184">
        <v>1</v>
      </c>
      <c r="X184">
        <v>0.01</v>
      </c>
      <c r="Y184">
        <v>0</v>
      </c>
      <c r="Z184">
        <v>89.99</v>
      </c>
      <c r="AA184">
        <v>10.06</v>
      </c>
      <c r="AB184">
        <v>0</v>
      </c>
      <c r="AC184">
        <v>0</v>
      </c>
      <c r="AD184">
        <v>1</v>
      </c>
      <c r="AE184">
        <v>0</v>
      </c>
      <c r="AF184" t="s">
        <v>40</v>
      </c>
      <c r="AG184">
        <v>1.2500000000000001E-2</v>
      </c>
      <c r="AH184">
        <v>2</v>
      </c>
      <c r="AI184">
        <v>26914441</v>
      </c>
      <c r="AJ184">
        <v>188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ROW(Source!A88)</f>
        <v>88</v>
      </c>
      <c r="B185">
        <v>26914450</v>
      </c>
      <c r="C185">
        <v>26914437</v>
      </c>
      <c r="D185">
        <v>25231607</v>
      </c>
      <c r="E185">
        <v>1</v>
      </c>
      <c r="F185">
        <v>1</v>
      </c>
      <c r="G185">
        <v>1</v>
      </c>
      <c r="H185">
        <v>2</v>
      </c>
      <c r="I185" t="s">
        <v>352</v>
      </c>
      <c r="J185" t="s">
        <v>353</v>
      </c>
      <c r="K185" t="s">
        <v>354</v>
      </c>
      <c r="L185">
        <v>1368</v>
      </c>
      <c r="N185">
        <v>1011</v>
      </c>
      <c r="O185" t="s">
        <v>338</v>
      </c>
      <c r="P185" t="s">
        <v>338</v>
      </c>
      <c r="Q185">
        <v>1</v>
      </c>
      <c r="X185">
        <v>0.01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40</v>
      </c>
      <c r="AG185">
        <v>1.2500000000000001E-2</v>
      </c>
      <c r="AH185">
        <v>2</v>
      </c>
      <c r="AI185">
        <v>26914442</v>
      </c>
      <c r="AJ185">
        <v>189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ROW(Source!A88)</f>
        <v>88</v>
      </c>
      <c r="B186">
        <v>26914451</v>
      </c>
      <c r="C186">
        <v>26914437</v>
      </c>
      <c r="D186">
        <v>25232466</v>
      </c>
      <c r="E186">
        <v>1</v>
      </c>
      <c r="F186">
        <v>1</v>
      </c>
      <c r="G186">
        <v>1</v>
      </c>
      <c r="H186">
        <v>2</v>
      </c>
      <c r="I186" t="s">
        <v>452</v>
      </c>
      <c r="J186" t="s">
        <v>453</v>
      </c>
      <c r="K186" t="s">
        <v>454</v>
      </c>
      <c r="L186">
        <v>1368</v>
      </c>
      <c r="N186">
        <v>1011</v>
      </c>
      <c r="O186" t="s">
        <v>338</v>
      </c>
      <c r="P186" t="s">
        <v>338</v>
      </c>
      <c r="Q186">
        <v>1</v>
      </c>
      <c r="X186">
        <v>1.1200000000000001</v>
      </c>
      <c r="Y186">
        <v>0</v>
      </c>
      <c r="Z186">
        <v>6.82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40</v>
      </c>
      <c r="AG186">
        <v>1.4000000000000001</v>
      </c>
      <c r="AH186">
        <v>2</v>
      </c>
      <c r="AI186">
        <v>26914443</v>
      </c>
      <c r="AJ186">
        <v>190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ROW(Source!A88)</f>
        <v>88</v>
      </c>
      <c r="B187">
        <v>26914452</v>
      </c>
      <c r="C187">
        <v>26914437</v>
      </c>
      <c r="D187">
        <v>25186091</v>
      </c>
      <c r="E187">
        <v>1</v>
      </c>
      <c r="F187">
        <v>1</v>
      </c>
      <c r="G187">
        <v>1</v>
      </c>
      <c r="H187">
        <v>3</v>
      </c>
      <c r="I187" t="s">
        <v>455</v>
      </c>
      <c r="J187" t="s">
        <v>456</v>
      </c>
      <c r="K187" t="s">
        <v>457</v>
      </c>
      <c r="L187">
        <v>1348</v>
      </c>
      <c r="N187">
        <v>1009</v>
      </c>
      <c r="O187" t="s">
        <v>24</v>
      </c>
      <c r="P187" t="s">
        <v>24</v>
      </c>
      <c r="Q187">
        <v>1000</v>
      </c>
      <c r="X187">
        <v>1.2E-2</v>
      </c>
      <c r="Y187">
        <v>15620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1.2E-2</v>
      </c>
      <c r="AH187">
        <v>2</v>
      </c>
      <c r="AI187">
        <v>26914444</v>
      </c>
      <c r="AJ187">
        <v>191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ROW(Source!A88)</f>
        <v>88</v>
      </c>
      <c r="B188">
        <v>26914453</v>
      </c>
      <c r="C188">
        <v>26914437</v>
      </c>
      <c r="D188">
        <v>25187223</v>
      </c>
      <c r="E188">
        <v>1</v>
      </c>
      <c r="F188">
        <v>1</v>
      </c>
      <c r="G188">
        <v>1</v>
      </c>
      <c r="H188">
        <v>3</v>
      </c>
      <c r="I188" t="s">
        <v>458</v>
      </c>
      <c r="J188" t="s">
        <v>459</v>
      </c>
      <c r="K188" t="s">
        <v>460</v>
      </c>
      <c r="L188">
        <v>1348</v>
      </c>
      <c r="N188">
        <v>1009</v>
      </c>
      <c r="O188" t="s">
        <v>24</v>
      </c>
      <c r="P188" t="s">
        <v>24</v>
      </c>
      <c r="Q188">
        <v>1000</v>
      </c>
      <c r="X188">
        <v>2E-3</v>
      </c>
      <c r="Y188">
        <v>7640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2E-3</v>
      </c>
      <c r="AH188">
        <v>2</v>
      </c>
      <c r="AI188">
        <v>26914445</v>
      </c>
      <c r="AJ188">
        <v>192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ROW(Source!A89)</f>
        <v>89</v>
      </c>
      <c r="B189">
        <v>26914446</v>
      </c>
      <c r="C189">
        <v>26914437</v>
      </c>
      <c r="D189">
        <v>25420494</v>
      </c>
      <c r="E189">
        <v>1</v>
      </c>
      <c r="F189">
        <v>1</v>
      </c>
      <c r="G189">
        <v>1</v>
      </c>
      <c r="H189">
        <v>1</v>
      </c>
      <c r="I189" t="s">
        <v>444</v>
      </c>
      <c r="J189" t="s">
        <v>6</v>
      </c>
      <c r="K189" t="s">
        <v>445</v>
      </c>
      <c r="L189">
        <v>1191</v>
      </c>
      <c r="N189">
        <v>1013</v>
      </c>
      <c r="O189" t="s">
        <v>332</v>
      </c>
      <c r="P189" t="s">
        <v>332</v>
      </c>
      <c r="Q189">
        <v>1</v>
      </c>
      <c r="X189">
        <v>5.31</v>
      </c>
      <c r="Y189">
        <v>0</v>
      </c>
      <c r="Z189">
        <v>0</v>
      </c>
      <c r="AA189">
        <v>0</v>
      </c>
      <c r="AB189">
        <v>10.65</v>
      </c>
      <c r="AC189">
        <v>0</v>
      </c>
      <c r="AD189">
        <v>1</v>
      </c>
      <c r="AE189">
        <v>1</v>
      </c>
      <c r="AF189" t="s">
        <v>41</v>
      </c>
      <c r="AG189">
        <v>6.1064999999999987</v>
      </c>
      <c r="AH189">
        <v>2</v>
      </c>
      <c r="AI189">
        <v>26914438</v>
      </c>
      <c r="AJ189">
        <v>193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ROW(Source!A89)</f>
        <v>89</v>
      </c>
      <c r="B190">
        <v>26914447</v>
      </c>
      <c r="C190">
        <v>26914437</v>
      </c>
      <c r="D190">
        <v>25412928</v>
      </c>
      <c r="E190">
        <v>1</v>
      </c>
      <c r="F190">
        <v>1</v>
      </c>
      <c r="G190">
        <v>1</v>
      </c>
      <c r="H190">
        <v>1</v>
      </c>
      <c r="I190" t="s">
        <v>333</v>
      </c>
      <c r="J190" t="s">
        <v>6</v>
      </c>
      <c r="K190" t="s">
        <v>334</v>
      </c>
      <c r="L190">
        <v>1191</v>
      </c>
      <c r="N190">
        <v>1013</v>
      </c>
      <c r="O190" t="s">
        <v>332</v>
      </c>
      <c r="P190" t="s">
        <v>332</v>
      </c>
      <c r="Q190">
        <v>1</v>
      </c>
      <c r="X190">
        <v>0.02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2</v>
      </c>
      <c r="AF190" t="s">
        <v>40</v>
      </c>
      <c r="AG190">
        <v>2.5000000000000001E-2</v>
      </c>
      <c r="AH190">
        <v>2</v>
      </c>
      <c r="AI190">
        <v>26914439</v>
      </c>
      <c r="AJ190">
        <v>194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ROW(Source!A89)</f>
        <v>89</v>
      </c>
      <c r="B191">
        <v>26914448</v>
      </c>
      <c r="C191">
        <v>26914437</v>
      </c>
      <c r="D191">
        <v>25230418</v>
      </c>
      <c r="E191">
        <v>1</v>
      </c>
      <c r="F191">
        <v>1</v>
      </c>
      <c r="G191">
        <v>1</v>
      </c>
      <c r="H191">
        <v>2</v>
      </c>
      <c r="I191" t="s">
        <v>446</v>
      </c>
      <c r="J191" t="s">
        <v>447</v>
      </c>
      <c r="K191" t="s">
        <v>448</v>
      </c>
      <c r="L191">
        <v>1368</v>
      </c>
      <c r="N191">
        <v>1011</v>
      </c>
      <c r="O191" t="s">
        <v>338</v>
      </c>
      <c r="P191" t="s">
        <v>338</v>
      </c>
      <c r="Q191">
        <v>1</v>
      </c>
      <c r="X191">
        <v>0.01</v>
      </c>
      <c r="Y191">
        <v>0</v>
      </c>
      <c r="Z191">
        <v>1.7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40</v>
      </c>
      <c r="AG191">
        <v>1.2500000000000001E-2</v>
      </c>
      <c r="AH191">
        <v>2</v>
      </c>
      <c r="AI191">
        <v>26914440</v>
      </c>
      <c r="AJ191">
        <v>195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ROW(Source!A89)</f>
        <v>89</v>
      </c>
      <c r="B192">
        <v>26914449</v>
      </c>
      <c r="C192">
        <v>26914437</v>
      </c>
      <c r="D192">
        <v>25230445</v>
      </c>
      <c r="E192">
        <v>1</v>
      </c>
      <c r="F192">
        <v>1</v>
      </c>
      <c r="G192">
        <v>1</v>
      </c>
      <c r="H192">
        <v>2</v>
      </c>
      <c r="I192" t="s">
        <v>449</v>
      </c>
      <c r="J192" t="s">
        <v>450</v>
      </c>
      <c r="K192" t="s">
        <v>451</v>
      </c>
      <c r="L192">
        <v>1368</v>
      </c>
      <c r="N192">
        <v>1011</v>
      </c>
      <c r="O192" t="s">
        <v>338</v>
      </c>
      <c r="P192" t="s">
        <v>338</v>
      </c>
      <c r="Q192">
        <v>1</v>
      </c>
      <c r="X192">
        <v>0.01</v>
      </c>
      <c r="Y192">
        <v>0</v>
      </c>
      <c r="Z192">
        <v>89.99</v>
      </c>
      <c r="AA192">
        <v>10.06</v>
      </c>
      <c r="AB192">
        <v>0</v>
      </c>
      <c r="AC192">
        <v>0</v>
      </c>
      <c r="AD192">
        <v>1</v>
      </c>
      <c r="AE192">
        <v>0</v>
      </c>
      <c r="AF192" t="s">
        <v>40</v>
      </c>
      <c r="AG192">
        <v>1.2500000000000001E-2</v>
      </c>
      <c r="AH192">
        <v>2</v>
      </c>
      <c r="AI192">
        <v>26914441</v>
      </c>
      <c r="AJ192">
        <v>196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ROW(Source!A89)</f>
        <v>89</v>
      </c>
      <c r="B193">
        <v>26914450</v>
      </c>
      <c r="C193">
        <v>26914437</v>
      </c>
      <c r="D193">
        <v>25231607</v>
      </c>
      <c r="E193">
        <v>1</v>
      </c>
      <c r="F193">
        <v>1</v>
      </c>
      <c r="G193">
        <v>1</v>
      </c>
      <c r="H193">
        <v>2</v>
      </c>
      <c r="I193" t="s">
        <v>352</v>
      </c>
      <c r="J193" t="s">
        <v>353</v>
      </c>
      <c r="K193" t="s">
        <v>354</v>
      </c>
      <c r="L193">
        <v>1368</v>
      </c>
      <c r="N193">
        <v>1011</v>
      </c>
      <c r="O193" t="s">
        <v>338</v>
      </c>
      <c r="P193" t="s">
        <v>338</v>
      </c>
      <c r="Q193">
        <v>1</v>
      </c>
      <c r="X193">
        <v>0.01</v>
      </c>
      <c r="Y193">
        <v>0</v>
      </c>
      <c r="Z193">
        <v>65.709999999999994</v>
      </c>
      <c r="AA193">
        <v>11.6</v>
      </c>
      <c r="AB193">
        <v>0</v>
      </c>
      <c r="AC193">
        <v>0</v>
      </c>
      <c r="AD193">
        <v>1</v>
      </c>
      <c r="AE193">
        <v>0</v>
      </c>
      <c r="AF193" t="s">
        <v>40</v>
      </c>
      <c r="AG193">
        <v>1.2500000000000001E-2</v>
      </c>
      <c r="AH193">
        <v>2</v>
      </c>
      <c r="AI193">
        <v>26914442</v>
      </c>
      <c r="AJ193">
        <v>197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ROW(Source!A89)</f>
        <v>89</v>
      </c>
      <c r="B194">
        <v>26914451</v>
      </c>
      <c r="C194">
        <v>26914437</v>
      </c>
      <c r="D194">
        <v>25232466</v>
      </c>
      <c r="E194">
        <v>1</v>
      </c>
      <c r="F194">
        <v>1</v>
      </c>
      <c r="G194">
        <v>1</v>
      </c>
      <c r="H194">
        <v>2</v>
      </c>
      <c r="I194" t="s">
        <v>452</v>
      </c>
      <c r="J194" t="s">
        <v>453</v>
      </c>
      <c r="K194" t="s">
        <v>454</v>
      </c>
      <c r="L194">
        <v>1368</v>
      </c>
      <c r="N194">
        <v>1011</v>
      </c>
      <c r="O194" t="s">
        <v>338</v>
      </c>
      <c r="P194" t="s">
        <v>338</v>
      </c>
      <c r="Q194">
        <v>1</v>
      </c>
      <c r="X194">
        <v>1.1200000000000001</v>
      </c>
      <c r="Y194">
        <v>0</v>
      </c>
      <c r="Z194">
        <v>6.82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40</v>
      </c>
      <c r="AG194">
        <v>1.4000000000000001</v>
      </c>
      <c r="AH194">
        <v>2</v>
      </c>
      <c r="AI194">
        <v>26914443</v>
      </c>
      <c r="AJ194">
        <v>198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ROW(Source!A89)</f>
        <v>89</v>
      </c>
      <c r="B195">
        <v>26914452</v>
      </c>
      <c r="C195">
        <v>26914437</v>
      </c>
      <c r="D195">
        <v>25186091</v>
      </c>
      <c r="E195">
        <v>1</v>
      </c>
      <c r="F195">
        <v>1</v>
      </c>
      <c r="G195">
        <v>1</v>
      </c>
      <c r="H195">
        <v>3</v>
      </c>
      <c r="I195" t="s">
        <v>455</v>
      </c>
      <c r="J195" t="s">
        <v>456</v>
      </c>
      <c r="K195" t="s">
        <v>457</v>
      </c>
      <c r="L195">
        <v>1348</v>
      </c>
      <c r="N195">
        <v>1009</v>
      </c>
      <c r="O195" t="s">
        <v>24</v>
      </c>
      <c r="P195" t="s">
        <v>24</v>
      </c>
      <c r="Q195">
        <v>1000</v>
      </c>
      <c r="X195">
        <v>1.2E-2</v>
      </c>
      <c r="Y195">
        <v>15620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1.2E-2</v>
      </c>
      <c r="AH195">
        <v>2</v>
      </c>
      <c r="AI195">
        <v>26914444</v>
      </c>
      <c r="AJ195">
        <v>199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ROW(Source!A89)</f>
        <v>89</v>
      </c>
      <c r="B196">
        <v>26914453</v>
      </c>
      <c r="C196">
        <v>26914437</v>
      </c>
      <c r="D196">
        <v>25187223</v>
      </c>
      <c r="E196">
        <v>1</v>
      </c>
      <c r="F196">
        <v>1</v>
      </c>
      <c r="G196">
        <v>1</v>
      </c>
      <c r="H196">
        <v>3</v>
      </c>
      <c r="I196" t="s">
        <v>458</v>
      </c>
      <c r="J196" t="s">
        <v>459</v>
      </c>
      <c r="K196" t="s">
        <v>460</v>
      </c>
      <c r="L196">
        <v>1348</v>
      </c>
      <c r="N196">
        <v>1009</v>
      </c>
      <c r="O196" t="s">
        <v>24</v>
      </c>
      <c r="P196" t="s">
        <v>24</v>
      </c>
      <c r="Q196">
        <v>1000</v>
      </c>
      <c r="X196">
        <v>2E-3</v>
      </c>
      <c r="Y196">
        <v>7640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2E-3</v>
      </c>
      <c r="AH196">
        <v>2</v>
      </c>
      <c r="AI196">
        <v>26914445</v>
      </c>
      <c r="AJ196">
        <v>200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ROW(Source!A90)</f>
        <v>90</v>
      </c>
      <c r="B197">
        <v>26914464</v>
      </c>
      <c r="C197">
        <v>26914454</v>
      </c>
      <c r="D197">
        <v>25413030</v>
      </c>
      <c r="E197">
        <v>1</v>
      </c>
      <c r="F197">
        <v>1</v>
      </c>
      <c r="G197">
        <v>1</v>
      </c>
      <c r="H197">
        <v>1</v>
      </c>
      <c r="I197" t="s">
        <v>461</v>
      </c>
      <c r="J197" t="s">
        <v>6</v>
      </c>
      <c r="K197" t="s">
        <v>462</v>
      </c>
      <c r="L197">
        <v>1191</v>
      </c>
      <c r="N197">
        <v>1013</v>
      </c>
      <c r="O197" t="s">
        <v>332</v>
      </c>
      <c r="P197" t="s">
        <v>332</v>
      </c>
      <c r="Q197">
        <v>1</v>
      </c>
      <c r="X197">
        <v>32.729999999999997</v>
      </c>
      <c r="Y197">
        <v>0</v>
      </c>
      <c r="Z197">
        <v>0</v>
      </c>
      <c r="AA197">
        <v>0</v>
      </c>
      <c r="AB197">
        <v>8.86</v>
      </c>
      <c r="AC197">
        <v>0</v>
      </c>
      <c r="AD197">
        <v>1</v>
      </c>
      <c r="AE197">
        <v>1</v>
      </c>
      <c r="AF197" t="s">
        <v>41</v>
      </c>
      <c r="AG197">
        <v>37.639499999999991</v>
      </c>
      <c r="AH197">
        <v>2</v>
      </c>
      <c r="AI197">
        <v>26914455</v>
      </c>
      <c r="AJ197">
        <v>201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ROW(Source!A90)</f>
        <v>90</v>
      </c>
      <c r="B198">
        <v>26914465</v>
      </c>
      <c r="C198">
        <v>26914454</v>
      </c>
      <c r="D198">
        <v>25412928</v>
      </c>
      <c r="E198">
        <v>1</v>
      </c>
      <c r="F198">
        <v>1</v>
      </c>
      <c r="G198">
        <v>1</v>
      </c>
      <c r="H198">
        <v>1</v>
      </c>
      <c r="I198" t="s">
        <v>333</v>
      </c>
      <c r="J198" t="s">
        <v>6</v>
      </c>
      <c r="K198" t="s">
        <v>334</v>
      </c>
      <c r="L198">
        <v>1191</v>
      </c>
      <c r="N198">
        <v>1013</v>
      </c>
      <c r="O198" t="s">
        <v>332</v>
      </c>
      <c r="P198" t="s">
        <v>332</v>
      </c>
      <c r="Q198">
        <v>1</v>
      </c>
      <c r="X198">
        <v>0.11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2</v>
      </c>
      <c r="AF198" t="s">
        <v>40</v>
      </c>
      <c r="AG198">
        <v>0.13750000000000001</v>
      </c>
      <c r="AH198">
        <v>2</v>
      </c>
      <c r="AI198">
        <v>26914456</v>
      </c>
      <c r="AJ198">
        <v>202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ROW(Source!A90)</f>
        <v>90</v>
      </c>
      <c r="B199">
        <v>26914466</v>
      </c>
      <c r="C199">
        <v>26914454</v>
      </c>
      <c r="D199">
        <v>25230510</v>
      </c>
      <c r="E199">
        <v>1</v>
      </c>
      <c r="F199">
        <v>1</v>
      </c>
      <c r="G199">
        <v>1</v>
      </c>
      <c r="H199">
        <v>2</v>
      </c>
      <c r="I199" t="s">
        <v>361</v>
      </c>
      <c r="J199" t="s">
        <v>362</v>
      </c>
      <c r="K199" t="s">
        <v>363</v>
      </c>
      <c r="L199">
        <v>1368</v>
      </c>
      <c r="N199">
        <v>1011</v>
      </c>
      <c r="O199" t="s">
        <v>338</v>
      </c>
      <c r="P199" t="s">
        <v>338</v>
      </c>
      <c r="Q199">
        <v>1</v>
      </c>
      <c r="X199">
        <v>0.01</v>
      </c>
      <c r="Y199">
        <v>0</v>
      </c>
      <c r="Z199">
        <v>27.66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40</v>
      </c>
      <c r="AG199">
        <v>1.2500000000000001E-2</v>
      </c>
      <c r="AH199">
        <v>2</v>
      </c>
      <c r="AI199">
        <v>26914457</v>
      </c>
      <c r="AJ199">
        <v>203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ROW(Source!A90)</f>
        <v>90</v>
      </c>
      <c r="B200">
        <v>26914467</v>
      </c>
      <c r="C200">
        <v>26914454</v>
      </c>
      <c r="D200">
        <v>25231607</v>
      </c>
      <c r="E200">
        <v>1</v>
      </c>
      <c r="F200">
        <v>1</v>
      </c>
      <c r="G200">
        <v>1</v>
      </c>
      <c r="H200">
        <v>2</v>
      </c>
      <c r="I200" t="s">
        <v>352</v>
      </c>
      <c r="J200" t="s">
        <v>353</v>
      </c>
      <c r="K200" t="s">
        <v>354</v>
      </c>
      <c r="L200">
        <v>1368</v>
      </c>
      <c r="N200">
        <v>1011</v>
      </c>
      <c r="O200" t="s">
        <v>338</v>
      </c>
      <c r="P200" t="s">
        <v>338</v>
      </c>
      <c r="Q200">
        <v>1</v>
      </c>
      <c r="X200">
        <v>0.1</v>
      </c>
      <c r="Y200">
        <v>0</v>
      </c>
      <c r="Z200">
        <v>65.709999999999994</v>
      </c>
      <c r="AA200">
        <v>11.6</v>
      </c>
      <c r="AB200">
        <v>0</v>
      </c>
      <c r="AC200">
        <v>0</v>
      </c>
      <c r="AD200">
        <v>1</v>
      </c>
      <c r="AE200">
        <v>0</v>
      </c>
      <c r="AF200" t="s">
        <v>40</v>
      </c>
      <c r="AG200">
        <v>0.125</v>
      </c>
      <c r="AH200">
        <v>2</v>
      </c>
      <c r="AI200">
        <v>26914458</v>
      </c>
      <c r="AJ200">
        <v>204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ROW(Source!A90)</f>
        <v>90</v>
      </c>
      <c r="B201">
        <v>26914468</v>
      </c>
      <c r="C201">
        <v>26914454</v>
      </c>
      <c r="D201">
        <v>25153356</v>
      </c>
      <c r="E201">
        <v>1</v>
      </c>
      <c r="F201">
        <v>1</v>
      </c>
      <c r="G201">
        <v>1</v>
      </c>
      <c r="H201">
        <v>3</v>
      </c>
      <c r="I201" t="s">
        <v>463</v>
      </c>
      <c r="J201" t="s">
        <v>464</v>
      </c>
      <c r="K201" t="s">
        <v>465</v>
      </c>
      <c r="L201">
        <v>1327</v>
      </c>
      <c r="N201">
        <v>1005</v>
      </c>
      <c r="O201" t="s">
        <v>92</v>
      </c>
      <c r="P201" t="s">
        <v>92</v>
      </c>
      <c r="Q201">
        <v>1</v>
      </c>
      <c r="X201">
        <v>0.84</v>
      </c>
      <c r="Y201">
        <v>72.319999999999993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0.84</v>
      </c>
      <c r="AH201">
        <v>2</v>
      </c>
      <c r="AI201">
        <v>26914459</v>
      </c>
      <c r="AJ201">
        <v>205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ROW(Source!A90)</f>
        <v>90</v>
      </c>
      <c r="B202">
        <v>26914469</v>
      </c>
      <c r="C202">
        <v>26914454</v>
      </c>
      <c r="D202">
        <v>25153690</v>
      </c>
      <c r="E202">
        <v>1</v>
      </c>
      <c r="F202">
        <v>1</v>
      </c>
      <c r="G202">
        <v>1</v>
      </c>
      <c r="H202">
        <v>3</v>
      </c>
      <c r="I202" t="s">
        <v>358</v>
      </c>
      <c r="J202" t="s">
        <v>359</v>
      </c>
      <c r="K202" t="s">
        <v>360</v>
      </c>
      <c r="L202">
        <v>1346</v>
      </c>
      <c r="N202">
        <v>1009</v>
      </c>
      <c r="O202" t="s">
        <v>50</v>
      </c>
      <c r="P202" t="s">
        <v>50</v>
      </c>
      <c r="Q202">
        <v>1</v>
      </c>
      <c r="X202">
        <v>0.31</v>
      </c>
      <c r="Y202">
        <v>1.82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0.31</v>
      </c>
      <c r="AH202">
        <v>2</v>
      </c>
      <c r="AI202">
        <v>26914460</v>
      </c>
      <c r="AJ202">
        <v>206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ROW(Source!A90)</f>
        <v>90</v>
      </c>
      <c r="B203">
        <v>26914470</v>
      </c>
      <c r="C203">
        <v>26914454</v>
      </c>
      <c r="D203">
        <v>25145730</v>
      </c>
      <c r="E203">
        <v>17</v>
      </c>
      <c r="F203">
        <v>1</v>
      </c>
      <c r="G203">
        <v>1</v>
      </c>
      <c r="H203">
        <v>3</v>
      </c>
      <c r="I203" t="s">
        <v>506</v>
      </c>
      <c r="J203" t="s">
        <v>6</v>
      </c>
      <c r="K203" t="s">
        <v>507</v>
      </c>
      <c r="L203">
        <v>1348</v>
      </c>
      <c r="N203">
        <v>1009</v>
      </c>
      <c r="O203" t="s">
        <v>24</v>
      </c>
      <c r="P203" t="s">
        <v>24</v>
      </c>
      <c r="Q203">
        <v>1000</v>
      </c>
      <c r="X203">
        <v>0.03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6</v>
      </c>
      <c r="AG203">
        <v>0.03</v>
      </c>
      <c r="AH203">
        <v>3</v>
      </c>
      <c r="AI203">
        <v>-1</v>
      </c>
      <c r="AJ203" t="s">
        <v>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ROW(Source!A90)</f>
        <v>90</v>
      </c>
      <c r="B204">
        <v>26914471</v>
      </c>
      <c r="C204">
        <v>26914454</v>
      </c>
      <c r="D204">
        <v>25145248</v>
      </c>
      <c r="E204">
        <v>17</v>
      </c>
      <c r="F204">
        <v>1</v>
      </c>
      <c r="G204">
        <v>1</v>
      </c>
      <c r="H204">
        <v>3</v>
      </c>
      <c r="I204" t="s">
        <v>493</v>
      </c>
      <c r="J204" t="s">
        <v>6</v>
      </c>
      <c r="K204" t="s">
        <v>494</v>
      </c>
      <c r="L204">
        <v>1348</v>
      </c>
      <c r="N204">
        <v>1009</v>
      </c>
      <c r="O204" t="s">
        <v>24</v>
      </c>
      <c r="P204" t="s">
        <v>24</v>
      </c>
      <c r="Q204">
        <v>1000</v>
      </c>
      <c r="X204">
        <v>0.02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 t="s">
        <v>6</v>
      </c>
      <c r="AG204">
        <v>0.02</v>
      </c>
      <c r="AH204">
        <v>3</v>
      </c>
      <c r="AI204">
        <v>-1</v>
      </c>
      <c r="AJ204" t="s">
        <v>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ROW(Source!A90)</f>
        <v>90</v>
      </c>
      <c r="B205">
        <v>26914472</v>
      </c>
      <c r="C205">
        <v>26914454</v>
      </c>
      <c r="D205">
        <v>25187360</v>
      </c>
      <c r="E205">
        <v>1</v>
      </c>
      <c r="F205">
        <v>1</v>
      </c>
      <c r="G205">
        <v>1</v>
      </c>
      <c r="H205">
        <v>3</v>
      </c>
      <c r="I205" t="s">
        <v>466</v>
      </c>
      <c r="J205" t="s">
        <v>467</v>
      </c>
      <c r="K205" t="s">
        <v>468</v>
      </c>
      <c r="L205">
        <v>1348</v>
      </c>
      <c r="N205">
        <v>1009</v>
      </c>
      <c r="O205" t="s">
        <v>24</v>
      </c>
      <c r="P205" t="s">
        <v>24</v>
      </c>
      <c r="Q205">
        <v>1000</v>
      </c>
      <c r="X205">
        <v>5.0000000000000001E-3</v>
      </c>
      <c r="Y205">
        <v>11397.1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5.0000000000000001E-3</v>
      </c>
      <c r="AH205">
        <v>2</v>
      </c>
      <c r="AI205">
        <v>26914461</v>
      </c>
      <c r="AJ205">
        <v>209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ROW(Source!A91)</f>
        <v>91</v>
      </c>
      <c r="B206">
        <v>26914464</v>
      </c>
      <c r="C206">
        <v>26914454</v>
      </c>
      <c r="D206">
        <v>25413030</v>
      </c>
      <c r="E206">
        <v>1</v>
      </c>
      <c r="F206">
        <v>1</v>
      </c>
      <c r="G206">
        <v>1</v>
      </c>
      <c r="H206">
        <v>1</v>
      </c>
      <c r="I206" t="s">
        <v>461</v>
      </c>
      <c r="J206" t="s">
        <v>6</v>
      </c>
      <c r="K206" t="s">
        <v>462</v>
      </c>
      <c r="L206">
        <v>1191</v>
      </c>
      <c r="N206">
        <v>1013</v>
      </c>
      <c r="O206" t="s">
        <v>332</v>
      </c>
      <c r="P206" t="s">
        <v>332</v>
      </c>
      <c r="Q206">
        <v>1</v>
      </c>
      <c r="X206">
        <v>32.729999999999997</v>
      </c>
      <c r="Y206">
        <v>0</v>
      </c>
      <c r="Z206">
        <v>0</v>
      </c>
      <c r="AA206">
        <v>0</v>
      </c>
      <c r="AB206">
        <v>8.86</v>
      </c>
      <c r="AC206">
        <v>0</v>
      </c>
      <c r="AD206">
        <v>1</v>
      </c>
      <c r="AE206">
        <v>1</v>
      </c>
      <c r="AF206" t="s">
        <v>41</v>
      </c>
      <c r="AG206">
        <v>37.639499999999991</v>
      </c>
      <c r="AH206">
        <v>2</v>
      </c>
      <c r="AI206">
        <v>26914455</v>
      </c>
      <c r="AJ206">
        <v>210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ROW(Source!A91)</f>
        <v>91</v>
      </c>
      <c r="B207">
        <v>26914465</v>
      </c>
      <c r="C207">
        <v>26914454</v>
      </c>
      <c r="D207">
        <v>25412928</v>
      </c>
      <c r="E207">
        <v>1</v>
      </c>
      <c r="F207">
        <v>1</v>
      </c>
      <c r="G207">
        <v>1</v>
      </c>
      <c r="H207">
        <v>1</v>
      </c>
      <c r="I207" t="s">
        <v>333</v>
      </c>
      <c r="J207" t="s">
        <v>6</v>
      </c>
      <c r="K207" t="s">
        <v>334</v>
      </c>
      <c r="L207">
        <v>1191</v>
      </c>
      <c r="N207">
        <v>1013</v>
      </c>
      <c r="O207" t="s">
        <v>332</v>
      </c>
      <c r="P207" t="s">
        <v>332</v>
      </c>
      <c r="Q207">
        <v>1</v>
      </c>
      <c r="X207">
        <v>0.11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2</v>
      </c>
      <c r="AF207" t="s">
        <v>40</v>
      </c>
      <c r="AG207">
        <v>0.13750000000000001</v>
      </c>
      <c r="AH207">
        <v>2</v>
      </c>
      <c r="AI207">
        <v>26914456</v>
      </c>
      <c r="AJ207">
        <v>211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ROW(Source!A91)</f>
        <v>91</v>
      </c>
      <c r="B208">
        <v>26914466</v>
      </c>
      <c r="C208">
        <v>26914454</v>
      </c>
      <c r="D208">
        <v>25230510</v>
      </c>
      <c r="E208">
        <v>1</v>
      </c>
      <c r="F208">
        <v>1</v>
      </c>
      <c r="G208">
        <v>1</v>
      </c>
      <c r="H208">
        <v>2</v>
      </c>
      <c r="I208" t="s">
        <v>361</v>
      </c>
      <c r="J208" t="s">
        <v>362</v>
      </c>
      <c r="K208" t="s">
        <v>363</v>
      </c>
      <c r="L208">
        <v>1368</v>
      </c>
      <c r="N208">
        <v>1011</v>
      </c>
      <c r="O208" t="s">
        <v>338</v>
      </c>
      <c r="P208" t="s">
        <v>338</v>
      </c>
      <c r="Q208">
        <v>1</v>
      </c>
      <c r="X208">
        <v>0.01</v>
      </c>
      <c r="Y208">
        <v>0</v>
      </c>
      <c r="Z208">
        <v>27.66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40</v>
      </c>
      <c r="AG208">
        <v>1.2500000000000001E-2</v>
      </c>
      <c r="AH208">
        <v>2</v>
      </c>
      <c r="AI208">
        <v>26914457</v>
      </c>
      <c r="AJ208">
        <v>212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ROW(Source!A91)</f>
        <v>91</v>
      </c>
      <c r="B209">
        <v>26914467</v>
      </c>
      <c r="C209">
        <v>26914454</v>
      </c>
      <c r="D209">
        <v>25231607</v>
      </c>
      <c r="E209">
        <v>1</v>
      </c>
      <c r="F209">
        <v>1</v>
      </c>
      <c r="G209">
        <v>1</v>
      </c>
      <c r="H209">
        <v>2</v>
      </c>
      <c r="I209" t="s">
        <v>352</v>
      </c>
      <c r="J209" t="s">
        <v>353</v>
      </c>
      <c r="K209" t="s">
        <v>354</v>
      </c>
      <c r="L209">
        <v>1368</v>
      </c>
      <c r="N209">
        <v>1011</v>
      </c>
      <c r="O209" t="s">
        <v>338</v>
      </c>
      <c r="P209" t="s">
        <v>338</v>
      </c>
      <c r="Q209">
        <v>1</v>
      </c>
      <c r="X209">
        <v>0.1</v>
      </c>
      <c r="Y209">
        <v>0</v>
      </c>
      <c r="Z209">
        <v>65.709999999999994</v>
      </c>
      <c r="AA209">
        <v>11.6</v>
      </c>
      <c r="AB209">
        <v>0</v>
      </c>
      <c r="AC209">
        <v>0</v>
      </c>
      <c r="AD209">
        <v>1</v>
      </c>
      <c r="AE209">
        <v>0</v>
      </c>
      <c r="AF209" t="s">
        <v>40</v>
      </c>
      <c r="AG209">
        <v>0.125</v>
      </c>
      <c r="AH209">
        <v>2</v>
      </c>
      <c r="AI209">
        <v>26914458</v>
      </c>
      <c r="AJ209">
        <v>213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ROW(Source!A91)</f>
        <v>91</v>
      </c>
      <c r="B210">
        <v>26914468</v>
      </c>
      <c r="C210">
        <v>26914454</v>
      </c>
      <c r="D210">
        <v>25153356</v>
      </c>
      <c r="E210">
        <v>1</v>
      </c>
      <c r="F210">
        <v>1</v>
      </c>
      <c r="G210">
        <v>1</v>
      </c>
      <c r="H210">
        <v>3</v>
      </c>
      <c r="I210" t="s">
        <v>463</v>
      </c>
      <c r="J210" t="s">
        <v>464</v>
      </c>
      <c r="K210" t="s">
        <v>465</v>
      </c>
      <c r="L210">
        <v>1327</v>
      </c>
      <c r="N210">
        <v>1005</v>
      </c>
      <c r="O210" t="s">
        <v>92</v>
      </c>
      <c r="P210" t="s">
        <v>92</v>
      </c>
      <c r="Q210">
        <v>1</v>
      </c>
      <c r="X210">
        <v>0.84</v>
      </c>
      <c r="Y210">
        <v>72.319999999999993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0.84</v>
      </c>
      <c r="AH210">
        <v>2</v>
      </c>
      <c r="AI210">
        <v>26914459</v>
      </c>
      <c r="AJ210">
        <v>214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ROW(Source!A91)</f>
        <v>91</v>
      </c>
      <c r="B211">
        <v>26914469</v>
      </c>
      <c r="C211">
        <v>26914454</v>
      </c>
      <c r="D211">
        <v>25153690</v>
      </c>
      <c r="E211">
        <v>1</v>
      </c>
      <c r="F211">
        <v>1</v>
      </c>
      <c r="G211">
        <v>1</v>
      </c>
      <c r="H211">
        <v>3</v>
      </c>
      <c r="I211" t="s">
        <v>358</v>
      </c>
      <c r="J211" t="s">
        <v>359</v>
      </c>
      <c r="K211" t="s">
        <v>360</v>
      </c>
      <c r="L211">
        <v>1346</v>
      </c>
      <c r="N211">
        <v>1009</v>
      </c>
      <c r="O211" t="s">
        <v>50</v>
      </c>
      <c r="P211" t="s">
        <v>50</v>
      </c>
      <c r="Q211">
        <v>1</v>
      </c>
      <c r="X211">
        <v>0.31</v>
      </c>
      <c r="Y211">
        <v>1.82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0.31</v>
      </c>
      <c r="AH211">
        <v>2</v>
      </c>
      <c r="AI211">
        <v>26914460</v>
      </c>
      <c r="AJ211">
        <v>215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ROW(Source!A91)</f>
        <v>91</v>
      </c>
      <c r="B212">
        <v>26914470</v>
      </c>
      <c r="C212">
        <v>26914454</v>
      </c>
      <c r="D212">
        <v>25145730</v>
      </c>
      <c r="E212">
        <v>17</v>
      </c>
      <c r="F212">
        <v>1</v>
      </c>
      <c r="G212">
        <v>1</v>
      </c>
      <c r="H212">
        <v>3</v>
      </c>
      <c r="I212" t="s">
        <v>506</v>
      </c>
      <c r="J212" t="s">
        <v>6</v>
      </c>
      <c r="K212" t="s">
        <v>507</v>
      </c>
      <c r="L212">
        <v>1348</v>
      </c>
      <c r="N212">
        <v>1009</v>
      </c>
      <c r="O212" t="s">
        <v>24</v>
      </c>
      <c r="P212" t="s">
        <v>24</v>
      </c>
      <c r="Q212">
        <v>1000</v>
      </c>
      <c r="X212">
        <v>0.03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0.03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ROW(Source!A91)</f>
        <v>91</v>
      </c>
      <c r="B213">
        <v>26914471</v>
      </c>
      <c r="C213">
        <v>26914454</v>
      </c>
      <c r="D213">
        <v>25145248</v>
      </c>
      <c r="E213">
        <v>17</v>
      </c>
      <c r="F213">
        <v>1</v>
      </c>
      <c r="G213">
        <v>1</v>
      </c>
      <c r="H213">
        <v>3</v>
      </c>
      <c r="I213" t="s">
        <v>493</v>
      </c>
      <c r="J213" t="s">
        <v>6</v>
      </c>
      <c r="K213" t="s">
        <v>494</v>
      </c>
      <c r="L213">
        <v>1348</v>
      </c>
      <c r="N213">
        <v>1009</v>
      </c>
      <c r="O213" t="s">
        <v>24</v>
      </c>
      <c r="P213" t="s">
        <v>24</v>
      </c>
      <c r="Q213">
        <v>1000</v>
      </c>
      <c r="X213">
        <v>0.02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 t="s">
        <v>6</v>
      </c>
      <c r="AG213">
        <v>0.02</v>
      </c>
      <c r="AH213">
        <v>3</v>
      </c>
      <c r="AI213">
        <v>-1</v>
      </c>
      <c r="AJ213" t="s">
        <v>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ROW(Source!A91)</f>
        <v>91</v>
      </c>
      <c r="B214">
        <v>26914472</v>
      </c>
      <c r="C214">
        <v>26914454</v>
      </c>
      <c r="D214">
        <v>25187360</v>
      </c>
      <c r="E214">
        <v>1</v>
      </c>
      <c r="F214">
        <v>1</v>
      </c>
      <c r="G214">
        <v>1</v>
      </c>
      <c r="H214">
        <v>3</v>
      </c>
      <c r="I214" t="s">
        <v>466</v>
      </c>
      <c r="J214" t="s">
        <v>467</v>
      </c>
      <c r="K214" t="s">
        <v>468</v>
      </c>
      <c r="L214">
        <v>1348</v>
      </c>
      <c r="N214">
        <v>1009</v>
      </c>
      <c r="O214" t="s">
        <v>24</v>
      </c>
      <c r="P214" t="s">
        <v>24</v>
      </c>
      <c r="Q214">
        <v>1000</v>
      </c>
      <c r="X214">
        <v>5.0000000000000001E-3</v>
      </c>
      <c r="Y214">
        <v>11397.1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5.0000000000000001E-3</v>
      </c>
      <c r="AH214">
        <v>2</v>
      </c>
      <c r="AI214">
        <v>26914461</v>
      </c>
      <c r="AJ214">
        <v>218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ROW(Source!A96)</f>
        <v>96</v>
      </c>
      <c r="B215">
        <v>26914486</v>
      </c>
      <c r="C215">
        <v>26914475</v>
      </c>
      <c r="D215">
        <v>25423580</v>
      </c>
      <c r="E215">
        <v>1</v>
      </c>
      <c r="F215">
        <v>1</v>
      </c>
      <c r="G215">
        <v>1</v>
      </c>
      <c r="H215">
        <v>1</v>
      </c>
      <c r="I215" t="s">
        <v>469</v>
      </c>
      <c r="J215" t="s">
        <v>6</v>
      </c>
      <c r="K215" t="s">
        <v>470</v>
      </c>
      <c r="L215">
        <v>1191</v>
      </c>
      <c r="N215">
        <v>1013</v>
      </c>
      <c r="O215" t="s">
        <v>332</v>
      </c>
      <c r="P215" t="s">
        <v>332</v>
      </c>
      <c r="Q215">
        <v>1</v>
      </c>
      <c r="X215">
        <v>2.36</v>
      </c>
      <c r="Y215">
        <v>0</v>
      </c>
      <c r="Z215">
        <v>0</v>
      </c>
      <c r="AA215">
        <v>0</v>
      </c>
      <c r="AB215">
        <v>10.06</v>
      </c>
      <c r="AC215">
        <v>0</v>
      </c>
      <c r="AD215">
        <v>1</v>
      </c>
      <c r="AE215">
        <v>1</v>
      </c>
      <c r="AF215" t="s">
        <v>41</v>
      </c>
      <c r="AG215">
        <v>2.7139999999999995</v>
      </c>
      <c r="AH215">
        <v>2</v>
      </c>
      <c r="AI215">
        <v>26914476</v>
      </c>
      <c r="AJ215">
        <v>219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ROW(Source!A96)</f>
        <v>96</v>
      </c>
      <c r="B216">
        <v>26914487</v>
      </c>
      <c r="C216">
        <v>26914475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333</v>
      </c>
      <c r="J216" t="s">
        <v>6</v>
      </c>
      <c r="K216" t="s">
        <v>334</v>
      </c>
      <c r="L216">
        <v>1191</v>
      </c>
      <c r="N216">
        <v>1013</v>
      </c>
      <c r="O216" t="s">
        <v>332</v>
      </c>
      <c r="P216" t="s">
        <v>332</v>
      </c>
      <c r="Q216">
        <v>1</v>
      </c>
      <c r="X216">
        <v>0.02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40</v>
      </c>
      <c r="AG216">
        <v>2.5000000000000001E-2</v>
      </c>
      <c r="AH216">
        <v>2</v>
      </c>
      <c r="AI216">
        <v>26914477</v>
      </c>
      <c r="AJ216">
        <v>220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ROW(Source!A96)</f>
        <v>96</v>
      </c>
      <c r="B217">
        <v>26914488</v>
      </c>
      <c r="C217">
        <v>26914475</v>
      </c>
      <c r="D217">
        <v>25231607</v>
      </c>
      <c r="E217">
        <v>1</v>
      </c>
      <c r="F217">
        <v>1</v>
      </c>
      <c r="G217">
        <v>1</v>
      </c>
      <c r="H217">
        <v>2</v>
      </c>
      <c r="I217" t="s">
        <v>352</v>
      </c>
      <c r="J217" t="s">
        <v>353</v>
      </c>
      <c r="K217" t="s">
        <v>354</v>
      </c>
      <c r="L217">
        <v>1368</v>
      </c>
      <c r="N217">
        <v>1011</v>
      </c>
      <c r="O217" t="s">
        <v>338</v>
      </c>
      <c r="P217" t="s">
        <v>338</v>
      </c>
      <c r="Q217">
        <v>1</v>
      </c>
      <c r="X217">
        <v>0.02</v>
      </c>
      <c r="Y217">
        <v>0</v>
      </c>
      <c r="Z217">
        <v>65.709999999999994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40</v>
      </c>
      <c r="AG217">
        <v>2.5000000000000001E-2</v>
      </c>
      <c r="AH217">
        <v>2</v>
      </c>
      <c r="AI217">
        <v>26914478</v>
      </c>
      <c r="AJ217">
        <v>221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ROW(Source!A96)</f>
        <v>96</v>
      </c>
      <c r="B218">
        <v>26914489</v>
      </c>
      <c r="C218">
        <v>26914475</v>
      </c>
      <c r="D218">
        <v>25231911</v>
      </c>
      <c r="E218">
        <v>1</v>
      </c>
      <c r="F218">
        <v>1</v>
      </c>
      <c r="G218">
        <v>1</v>
      </c>
      <c r="H218">
        <v>2</v>
      </c>
      <c r="I218" t="s">
        <v>435</v>
      </c>
      <c r="J218" t="s">
        <v>436</v>
      </c>
      <c r="K218" t="s">
        <v>437</v>
      </c>
      <c r="L218">
        <v>1368</v>
      </c>
      <c r="N218">
        <v>1011</v>
      </c>
      <c r="O218" t="s">
        <v>338</v>
      </c>
      <c r="P218" t="s">
        <v>338</v>
      </c>
      <c r="Q218">
        <v>1</v>
      </c>
      <c r="X218">
        <v>0.53</v>
      </c>
      <c r="Y218">
        <v>0</v>
      </c>
      <c r="Z218">
        <v>8.1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40</v>
      </c>
      <c r="AG218">
        <v>0.66250000000000009</v>
      </c>
      <c r="AH218">
        <v>2</v>
      </c>
      <c r="AI218">
        <v>26914479</v>
      </c>
      <c r="AJ218">
        <v>222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ROW(Source!A96)</f>
        <v>96</v>
      </c>
      <c r="B219">
        <v>26914490</v>
      </c>
      <c r="C219">
        <v>26914475</v>
      </c>
      <c r="D219">
        <v>25151425</v>
      </c>
      <c r="E219">
        <v>1</v>
      </c>
      <c r="F219">
        <v>1</v>
      </c>
      <c r="G219">
        <v>1</v>
      </c>
      <c r="H219">
        <v>3</v>
      </c>
      <c r="I219" t="s">
        <v>471</v>
      </c>
      <c r="J219" t="s">
        <v>472</v>
      </c>
      <c r="K219" t="s">
        <v>473</v>
      </c>
      <c r="L219">
        <v>1348</v>
      </c>
      <c r="N219">
        <v>1009</v>
      </c>
      <c r="O219" t="s">
        <v>24</v>
      </c>
      <c r="P219" t="s">
        <v>24</v>
      </c>
      <c r="Q219">
        <v>1000</v>
      </c>
      <c r="X219">
        <v>8.0000000000000007E-5</v>
      </c>
      <c r="Y219">
        <v>10315.01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8.0000000000000007E-5</v>
      </c>
      <c r="AH219">
        <v>2</v>
      </c>
      <c r="AI219">
        <v>26914480</v>
      </c>
      <c r="AJ219">
        <v>225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ROW(Source!A96)</f>
        <v>96</v>
      </c>
      <c r="B220">
        <v>26914491</v>
      </c>
      <c r="C220">
        <v>26914475</v>
      </c>
      <c r="D220">
        <v>25152569</v>
      </c>
      <c r="E220">
        <v>1</v>
      </c>
      <c r="F220">
        <v>1</v>
      </c>
      <c r="G220">
        <v>1</v>
      </c>
      <c r="H220">
        <v>3</v>
      </c>
      <c r="I220" t="s">
        <v>474</v>
      </c>
      <c r="J220" t="s">
        <v>475</v>
      </c>
      <c r="K220" t="s">
        <v>476</v>
      </c>
      <c r="L220">
        <v>1348</v>
      </c>
      <c r="N220">
        <v>1009</v>
      </c>
      <c r="O220" t="s">
        <v>24</v>
      </c>
      <c r="P220" t="s">
        <v>24</v>
      </c>
      <c r="Q220">
        <v>1000</v>
      </c>
      <c r="X220">
        <v>3.0000000000000001E-3</v>
      </c>
      <c r="Y220">
        <v>10068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3.0000000000000001E-3</v>
      </c>
      <c r="AH220">
        <v>2</v>
      </c>
      <c r="AI220">
        <v>26914481</v>
      </c>
      <c r="AJ220">
        <v>226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ROW(Source!A96)</f>
        <v>96</v>
      </c>
      <c r="B221">
        <v>26914492</v>
      </c>
      <c r="C221">
        <v>26914475</v>
      </c>
      <c r="D221">
        <v>25145065</v>
      </c>
      <c r="E221">
        <v>17</v>
      </c>
      <c r="F221">
        <v>1</v>
      </c>
      <c r="G221">
        <v>1</v>
      </c>
      <c r="H221">
        <v>3</v>
      </c>
      <c r="I221" t="s">
        <v>508</v>
      </c>
      <c r="J221" t="s">
        <v>6</v>
      </c>
      <c r="K221" t="s">
        <v>509</v>
      </c>
      <c r="L221">
        <v>1354</v>
      </c>
      <c r="N221">
        <v>1010</v>
      </c>
      <c r="O221" t="s">
        <v>176</v>
      </c>
      <c r="P221" t="s">
        <v>176</v>
      </c>
      <c r="Q221">
        <v>1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1</v>
      </c>
      <c r="AD221">
        <v>0</v>
      </c>
      <c r="AE221">
        <v>0</v>
      </c>
      <c r="AF221" t="s">
        <v>6</v>
      </c>
      <c r="AG221">
        <v>0</v>
      </c>
      <c r="AH221">
        <v>3</v>
      </c>
      <c r="AI221">
        <v>-1</v>
      </c>
      <c r="AJ221" t="s">
        <v>6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ROW(Source!A96)</f>
        <v>96</v>
      </c>
      <c r="B222">
        <v>26914493</v>
      </c>
      <c r="C222">
        <v>26914475</v>
      </c>
      <c r="D222">
        <v>25186957</v>
      </c>
      <c r="E222">
        <v>1</v>
      </c>
      <c r="F222">
        <v>1</v>
      </c>
      <c r="G222">
        <v>1</v>
      </c>
      <c r="H222">
        <v>3</v>
      </c>
      <c r="I222" t="s">
        <v>477</v>
      </c>
      <c r="J222" t="s">
        <v>478</v>
      </c>
      <c r="K222" t="s">
        <v>479</v>
      </c>
      <c r="L222">
        <v>1354</v>
      </c>
      <c r="N222">
        <v>1010</v>
      </c>
      <c r="O222" t="s">
        <v>176</v>
      </c>
      <c r="P222" t="s">
        <v>176</v>
      </c>
      <c r="Q222">
        <v>1</v>
      </c>
      <c r="X222">
        <v>0.19</v>
      </c>
      <c r="Y222">
        <v>110.11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0.19</v>
      </c>
      <c r="AH222">
        <v>2</v>
      </c>
      <c r="AI222">
        <v>26914482</v>
      </c>
      <c r="AJ222">
        <v>228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ROW(Source!A97)</f>
        <v>97</v>
      </c>
      <c r="B223">
        <v>26914486</v>
      </c>
      <c r="C223">
        <v>26914475</v>
      </c>
      <c r="D223">
        <v>25423580</v>
      </c>
      <c r="E223">
        <v>1</v>
      </c>
      <c r="F223">
        <v>1</v>
      </c>
      <c r="G223">
        <v>1</v>
      </c>
      <c r="H223">
        <v>1</v>
      </c>
      <c r="I223" t="s">
        <v>469</v>
      </c>
      <c r="J223" t="s">
        <v>6</v>
      </c>
      <c r="K223" t="s">
        <v>470</v>
      </c>
      <c r="L223">
        <v>1191</v>
      </c>
      <c r="N223">
        <v>1013</v>
      </c>
      <c r="O223" t="s">
        <v>332</v>
      </c>
      <c r="P223" t="s">
        <v>332</v>
      </c>
      <c r="Q223">
        <v>1</v>
      </c>
      <c r="X223">
        <v>2.36</v>
      </c>
      <c r="Y223">
        <v>0</v>
      </c>
      <c r="Z223">
        <v>0</v>
      </c>
      <c r="AA223">
        <v>0</v>
      </c>
      <c r="AB223">
        <v>10.06</v>
      </c>
      <c r="AC223">
        <v>0</v>
      </c>
      <c r="AD223">
        <v>1</v>
      </c>
      <c r="AE223">
        <v>1</v>
      </c>
      <c r="AF223" t="s">
        <v>41</v>
      </c>
      <c r="AG223">
        <v>2.7139999999999995</v>
      </c>
      <c r="AH223">
        <v>2</v>
      </c>
      <c r="AI223">
        <v>26914476</v>
      </c>
      <c r="AJ223">
        <v>229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ROW(Source!A97)</f>
        <v>97</v>
      </c>
      <c r="B224">
        <v>26914487</v>
      </c>
      <c r="C224">
        <v>26914475</v>
      </c>
      <c r="D224">
        <v>25412928</v>
      </c>
      <c r="E224">
        <v>1</v>
      </c>
      <c r="F224">
        <v>1</v>
      </c>
      <c r="G224">
        <v>1</v>
      </c>
      <c r="H224">
        <v>1</v>
      </c>
      <c r="I224" t="s">
        <v>333</v>
      </c>
      <c r="J224" t="s">
        <v>6</v>
      </c>
      <c r="K224" t="s">
        <v>334</v>
      </c>
      <c r="L224">
        <v>1191</v>
      </c>
      <c r="N224">
        <v>1013</v>
      </c>
      <c r="O224" t="s">
        <v>332</v>
      </c>
      <c r="P224" t="s">
        <v>332</v>
      </c>
      <c r="Q224">
        <v>1</v>
      </c>
      <c r="X224">
        <v>0.02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40</v>
      </c>
      <c r="AG224">
        <v>2.5000000000000001E-2</v>
      </c>
      <c r="AH224">
        <v>2</v>
      </c>
      <c r="AI224">
        <v>26914477</v>
      </c>
      <c r="AJ224">
        <v>230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ROW(Source!A97)</f>
        <v>97</v>
      </c>
      <c r="B225">
        <v>26914488</v>
      </c>
      <c r="C225">
        <v>26914475</v>
      </c>
      <c r="D225">
        <v>25231607</v>
      </c>
      <c r="E225">
        <v>1</v>
      </c>
      <c r="F225">
        <v>1</v>
      </c>
      <c r="G225">
        <v>1</v>
      </c>
      <c r="H225">
        <v>2</v>
      </c>
      <c r="I225" t="s">
        <v>352</v>
      </c>
      <c r="J225" t="s">
        <v>353</v>
      </c>
      <c r="K225" t="s">
        <v>354</v>
      </c>
      <c r="L225">
        <v>1368</v>
      </c>
      <c r="N225">
        <v>1011</v>
      </c>
      <c r="O225" t="s">
        <v>338</v>
      </c>
      <c r="P225" t="s">
        <v>338</v>
      </c>
      <c r="Q225">
        <v>1</v>
      </c>
      <c r="X225">
        <v>0.02</v>
      </c>
      <c r="Y225">
        <v>0</v>
      </c>
      <c r="Z225">
        <v>65.709999999999994</v>
      </c>
      <c r="AA225">
        <v>11.6</v>
      </c>
      <c r="AB225">
        <v>0</v>
      </c>
      <c r="AC225">
        <v>0</v>
      </c>
      <c r="AD225">
        <v>1</v>
      </c>
      <c r="AE225">
        <v>0</v>
      </c>
      <c r="AF225" t="s">
        <v>40</v>
      </c>
      <c r="AG225">
        <v>2.5000000000000001E-2</v>
      </c>
      <c r="AH225">
        <v>2</v>
      </c>
      <c r="AI225">
        <v>26914478</v>
      </c>
      <c r="AJ225">
        <v>231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ROW(Source!A97)</f>
        <v>97</v>
      </c>
      <c r="B226">
        <v>26914489</v>
      </c>
      <c r="C226">
        <v>26914475</v>
      </c>
      <c r="D226">
        <v>25231911</v>
      </c>
      <c r="E226">
        <v>1</v>
      </c>
      <c r="F226">
        <v>1</v>
      </c>
      <c r="G226">
        <v>1</v>
      </c>
      <c r="H226">
        <v>2</v>
      </c>
      <c r="I226" t="s">
        <v>435</v>
      </c>
      <c r="J226" t="s">
        <v>436</v>
      </c>
      <c r="K226" t="s">
        <v>437</v>
      </c>
      <c r="L226">
        <v>1368</v>
      </c>
      <c r="N226">
        <v>1011</v>
      </c>
      <c r="O226" t="s">
        <v>338</v>
      </c>
      <c r="P226" t="s">
        <v>338</v>
      </c>
      <c r="Q226">
        <v>1</v>
      </c>
      <c r="X226">
        <v>0.53</v>
      </c>
      <c r="Y226">
        <v>0</v>
      </c>
      <c r="Z226">
        <v>8.1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40</v>
      </c>
      <c r="AG226">
        <v>0.66250000000000009</v>
      </c>
      <c r="AH226">
        <v>2</v>
      </c>
      <c r="AI226">
        <v>26914479</v>
      </c>
      <c r="AJ226">
        <v>232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ROW(Source!A97)</f>
        <v>97</v>
      </c>
      <c r="B227">
        <v>26914490</v>
      </c>
      <c r="C227">
        <v>26914475</v>
      </c>
      <c r="D227">
        <v>25151425</v>
      </c>
      <c r="E227">
        <v>1</v>
      </c>
      <c r="F227">
        <v>1</v>
      </c>
      <c r="G227">
        <v>1</v>
      </c>
      <c r="H227">
        <v>3</v>
      </c>
      <c r="I227" t="s">
        <v>471</v>
      </c>
      <c r="J227" t="s">
        <v>472</v>
      </c>
      <c r="K227" t="s">
        <v>473</v>
      </c>
      <c r="L227">
        <v>1348</v>
      </c>
      <c r="N227">
        <v>1009</v>
      </c>
      <c r="O227" t="s">
        <v>24</v>
      </c>
      <c r="P227" t="s">
        <v>24</v>
      </c>
      <c r="Q227">
        <v>1000</v>
      </c>
      <c r="X227">
        <v>8.0000000000000007E-5</v>
      </c>
      <c r="Y227">
        <v>10315.01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8.0000000000000007E-5</v>
      </c>
      <c r="AH227">
        <v>2</v>
      </c>
      <c r="AI227">
        <v>26914480</v>
      </c>
      <c r="AJ227">
        <v>235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ROW(Source!A97)</f>
        <v>97</v>
      </c>
      <c r="B228">
        <v>26914491</v>
      </c>
      <c r="C228">
        <v>26914475</v>
      </c>
      <c r="D228">
        <v>25152569</v>
      </c>
      <c r="E228">
        <v>1</v>
      </c>
      <c r="F228">
        <v>1</v>
      </c>
      <c r="G228">
        <v>1</v>
      </c>
      <c r="H228">
        <v>3</v>
      </c>
      <c r="I228" t="s">
        <v>474</v>
      </c>
      <c r="J228" t="s">
        <v>475</v>
      </c>
      <c r="K228" t="s">
        <v>476</v>
      </c>
      <c r="L228">
        <v>1348</v>
      </c>
      <c r="N228">
        <v>1009</v>
      </c>
      <c r="O228" t="s">
        <v>24</v>
      </c>
      <c r="P228" t="s">
        <v>24</v>
      </c>
      <c r="Q228">
        <v>1000</v>
      </c>
      <c r="X228">
        <v>3.0000000000000001E-3</v>
      </c>
      <c r="Y228">
        <v>10068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3.0000000000000001E-3</v>
      </c>
      <c r="AH228">
        <v>2</v>
      </c>
      <c r="AI228">
        <v>26914481</v>
      </c>
      <c r="AJ228">
        <v>236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ROW(Source!A97)</f>
        <v>97</v>
      </c>
      <c r="B229">
        <v>26914492</v>
      </c>
      <c r="C229">
        <v>26914475</v>
      </c>
      <c r="D229">
        <v>25145065</v>
      </c>
      <c r="E229">
        <v>17</v>
      </c>
      <c r="F229">
        <v>1</v>
      </c>
      <c r="G229">
        <v>1</v>
      </c>
      <c r="H229">
        <v>3</v>
      </c>
      <c r="I229" t="s">
        <v>508</v>
      </c>
      <c r="J229" t="s">
        <v>6</v>
      </c>
      <c r="K229" t="s">
        <v>509</v>
      </c>
      <c r="L229">
        <v>1354</v>
      </c>
      <c r="N229">
        <v>1010</v>
      </c>
      <c r="O229" t="s">
        <v>176</v>
      </c>
      <c r="P229" t="s">
        <v>176</v>
      </c>
      <c r="Q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1</v>
      </c>
      <c r="AD229">
        <v>0</v>
      </c>
      <c r="AE229">
        <v>0</v>
      </c>
      <c r="AF229" t="s">
        <v>6</v>
      </c>
      <c r="AG229">
        <v>0</v>
      </c>
      <c r="AH229">
        <v>3</v>
      </c>
      <c r="AI229">
        <v>-1</v>
      </c>
      <c r="AJ229" t="s">
        <v>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ROW(Source!A97)</f>
        <v>97</v>
      </c>
      <c r="B230">
        <v>26914493</v>
      </c>
      <c r="C230">
        <v>26914475</v>
      </c>
      <c r="D230">
        <v>25186957</v>
      </c>
      <c r="E230">
        <v>1</v>
      </c>
      <c r="F230">
        <v>1</v>
      </c>
      <c r="G230">
        <v>1</v>
      </c>
      <c r="H230">
        <v>3</v>
      </c>
      <c r="I230" t="s">
        <v>477</v>
      </c>
      <c r="J230" t="s">
        <v>478</v>
      </c>
      <c r="K230" t="s">
        <v>479</v>
      </c>
      <c r="L230">
        <v>1354</v>
      </c>
      <c r="N230">
        <v>1010</v>
      </c>
      <c r="O230" t="s">
        <v>176</v>
      </c>
      <c r="P230" t="s">
        <v>176</v>
      </c>
      <c r="Q230">
        <v>1</v>
      </c>
      <c r="X230">
        <v>0.19</v>
      </c>
      <c r="Y230">
        <v>110.11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0.19</v>
      </c>
      <c r="AH230">
        <v>2</v>
      </c>
      <c r="AI230">
        <v>26914482</v>
      </c>
      <c r="AJ230">
        <v>238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ROW(Source!A104)</f>
        <v>104</v>
      </c>
      <c r="B231">
        <v>26914500</v>
      </c>
      <c r="C231">
        <v>26914497</v>
      </c>
      <c r="D231">
        <v>25416162</v>
      </c>
      <c r="E231">
        <v>1</v>
      </c>
      <c r="F231">
        <v>1</v>
      </c>
      <c r="G231">
        <v>1</v>
      </c>
      <c r="H231">
        <v>1</v>
      </c>
      <c r="I231" t="s">
        <v>480</v>
      </c>
      <c r="J231" t="s">
        <v>6</v>
      </c>
      <c r="K231" t="s">
        <v>481</v>
      </c>
      <c r="L231">
        <v>1191</v>
      </c>
      <c r="N231">
        <v>1013</v>
      </c>
      <c r="O231" t="s">
        <v>332</v>
      </c>
      <c r="P231" t="s">
        <v>332</v>
      </c>
      <c r="Q231">
        <v>1</v>
      </c>
      <c r="X231">
        <v>1.03</v>
      </c>
      <c r="Y231">
        <v>0</v>
      </c>
      <c r="Z231">
        <v>0</v>
      </c>
      <c r="AA231">
        <v>0</v>
      </c>
      <c r="AB231">
        <v>7.19</v>
      </c>
      <c r="AC231">
        <v>0</v>
      </c>
      <c r="AD231">
        <v>1</v>
      </c>
      <c r="AE231">
        <v>1</v>
      </c>
      <c r="AF231" t="s">
        <v>6</v>
      </c>
      <c r="AG231">
        <v>1.03</v>
      </c>
      <c r="AH231">
        <v>2</v>
      </c>
      <c r="AI231">
        <v>26914498</v>
      </c>
      <c r="AJ231">
        <v>239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ROW(Source!A104)</f>
        <v>104</v>
      </c>
      <c r="B232">
        <v>26914501</v>
      </c>
      <c r="C232">
        <v>26914497</v>
      </c>
      <c r="D232">
        <v>25153656</v>
      </c>
      <c r="E232">
        <v>1</v>
      </c>
      <c r="F232">
        <v>1</v>
      </c>
      <c r="G232">
        <v>1</v>
      </c>
      <c r="H232">
        <v>3</v>
      </c>
      <c r="I232" t="s">
        <v>482</v>
      </c>
      <c r="J232" t="s">
        <v>483</v>
      </c>
      <c r="K232" t="s">
        <v>484</v>
      </c>
      <c r="L232">
        <v>1355</v>
      </c>
      <c r="N232">
        <v>1010</v>
      </c>
      <c r="O232" t="s">
        <v>411</v>
      </c>
      <c r="P232" t="s">
        <v>411</v>
      </c>
      <c r="Q232">
        <v>100</v>
      </c>
      <c r="X232">
        <v>0.2</v>
      </c>
      <c r="Y232">
        <v>82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0.2</v>
      </c>
      <c r="AH232">
        <v>2</v>
      </c>
      <c r="AI232">
        <v>26914499</v>
      </c>
      <c r="AJ232">
        <v>240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ROW(Source!A105)</f>
        <v>105</v>
      </c>
      <c r="B233">
        <v>26914500</v>
      </c>
      <c r="C233">
        <v>26914497</v>
      </c>
      <c r="D233">
        <v>25416162</v>
      </c>
      <c r="E233">
        <v>1</v>
      </c>
      <c r="F233">
        <v>1</v>
      </c>
      <c r="G233">
        <v>1</v>
      </c>
      <c r="H233">
        <v>1</v>
      </c>
      <c r="I233" t="s">
        <v>480</v>
      </c>
      <c r="J233" t="s">
        <v>6</v>
      </c>
      <c r="K233" t="s">
        <v>481</v>
      </c>
      <c r="L233">
        <v>1191</v>
      </c>
      <c r="N233">
        <v>1013</v>
      </c>
      <c r="O233" t="s">
        <v>332</v>
      </c>
      <c r="P233" t="s">
        <v>332</v>
      </c>
      <c r="Q233">
        <v>1</v>
      </c>
      <c r="X233">
        <v>1.03</v>
      </c>
      <c r="Y233">
        <v>0</v>
      </c>
      <c r="Z233">
        <v>0</v>
      </c>
      <c r="AA233">
        <v>0</v>
      </c>
      <c r="AB233">
        <v>7.19</v>
      </c>
      <c r="AC233">
        <v>0</v>
      </c>
      <c r="AD233">
        <v>1</v>
      </c>
      <c r="AE233">
        <v>1</v>
      </c>
      <c r="AF233" t="s">
        <v>6</v>
      </c>
      <c r="AG233">
        <v>1.03</v>
      </c>
      <c r="AH233">
        <v>2</v>
      </c>
      <c r="AI233">
        <v>26914498</v>
      </c>
      <c r="AJ233">
        <v>241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ROW(Source!A105)</f>
        <v>105</v>
      </c>
      <c r="B234">
        <v>26914501</v>
      </c>
      <c r="C234">
        <v>26914497</v>
      </c>
      <c r="D234">
        <v>25153656</v>
      </c>
      <c r="E234">
        <v>1</v>
      </c>
      <c r="F234">
        <v>1</v>
      </c>
      <c r="G234">
        <v>1</v>
      </c>
      <c r="H234">
        <v>3</v>
      </c>
      <c r="I234" t="s">
        <v>482</v>
      </c>
      <c r="J234" t="s">
        <v>483</v>
      </c>
      <c r="K234" t="s">
        <v>484</v>
      </c>
      <c r="L234">
        <v>1355</v>
      </c>
      <c r="N234">
        <v>1010</v>
      </c>
      <c r="O234" t="s">
        <v>411</v>
      </c>
      <c r="P234" t="s">
        <v>411</v>
      </c>
      <c r="Q234">
        <v>100</v>
      </c>
      <c r="X234">
        <v>0.2</v>
      </c>
      <c r="Y234">
        <v>82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0.2</v>
      </c>
      <c r="AH234">
        <v>2</v>
      </c>
      <c r="AI234">
        <v>26914499</v>
      </c>
      <c r="AJ234">
        <v>242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ROW(Source!A106)</f>
        <v>106</v>
      </c>
      <c r="B235">
        <v>26914505</v>
      </c>
      <c r="C235">
        <v>26914502</v>
      </c>
      <c r="D235">
        <v>9670109</v>
      </c>
      <c r="E235">
        <v>1</v>
      </c>
      <c r="F235">
        <v>1</v>
      </c>
      <c r="G235">
        <v>1</v>
      </c>
      <c r="H235">
        <v>1</v>
      </c>
      <c r="I235" t="s">
        <v>485</v>
      </c>
      <c r="J235" t="s">
        <v>6</v>
      </c>
      <c r="K235" t="s">
        <v>486</v>
      </c>
      <c r="L235">
        <v>1369</v>
      </c>
      <c r="N235">
        <v>1013</v>
      </c>
      <c r="O235" t="s">
        <v>487</v>
      </c>
      <c r="P235" t="s">
        <v>487</v>
      </c>
      <c r="Q235">
        <v>1</v>
      </c>
      <c r="X235">
        <v>0.57769999999999999</v>
      </c>
      <c r="Y235">
        <v>0</v>
      </c>
      <c r="Z235">
        <v>0</v>
      </c>
      <c r="AA235">
        <v>0</v>
      </c>
      <c r="AB235">
        <v>7.19</v>
      </c>
      <c r="AC235">
        <v>0</v>
      </c>
      <c r="AD235">
        <v>1</v>
      </c>
      <c r="AE235">
        <v>1</v>
      </c>
      <c r="AF235" t="s">
        <v>6</v>
      </c>
      <c r="AG235">
        <v>0.57769999999999999</v>
      </c>
      <c r="AH235">
        <v>2</v>
      </c>
      <c r="AI235">
        <v>26914503</v>
      </c>
      <c r="AJ235">
        <v>243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ROW(Source!A106)</f>
        <v>106</v>
      </c>
      <c r="B236">
        <v>26914506</v>
      </c>
      <c r="C236">
        <v>26914502</v>
      </c>
      <c r="D236">
        <v>21132480</v>
      </c>
      <c r="E236">
        <v>1</v>
      </c>
      <c r="F236">
        <v>1</v>
      </c>
      <c r="G236">
        <v>1</v>
      </c>
      <c r="H236">
        <v>2</v>
      </c>
      <c r="I236" t="s">
        <v>488</v>
      </c>
      <c r="J236" t="s">
        <v>489</v>
      </c>
      <c r="K236" t="s">
        <v>490</v>
      </c>
      <c r="L236">
        <v>1368</v>
      </c>
      <c r="N236">
        <v>1011</v>
      </c>
      <c r="O236" t="s">
        <v>338</v>
      </c>
      <c r="P236" t="s">
        <v>338</v>
      </c>
      <c r="Q236">
        <v>1</v>
      </c>
      <c r="X236">
        <v>0.28999999999999998</v>
      </c>
      <c r="Y236">
        <v>0</v>
      </c>
      <c r="Z236">
        <v>111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0.28999999999999998</v>
      </c>
      <c r="AH236">
        <v>2</v>
      </c>
      <c r="AI236">
        <v>26914504</v>
      </c>
      <c r="AJ236">
        <v>244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ROW(Source!A107)</f>
        <v>107</v>
      </c>
      <c r="B237">
        <v>26914505</v>
      </c>
      <c r="C237">
        <v>26914502</v>
      </c>
      <c r="D237">
        <v>9670109</v>
      </c>
      <c r="E237">
        <v>1</v>
      </c>
      <c r="F237">
        <v>1</v>
      </c>
      <c r="G237">
        <v>1</v>
      </c>
      <c r="H237">
        <v>1</v>
      </c>
      <c r="I237" t="s">
        <v>485</v>
      </c>
      <c r="J237" t="s">
        <v>6</v>
      </c>
      <c r="K237" t="s">
        <v>486</v>
      </c>
      <c r="L237">
        <v>1369</v>
      </c>
      <c r="N237">
        <v>1013</v>
      </c>
      <c r="O237" t="s">
        <v>487</v>
      </c>
      <c r="P237" t="s">
        <v>487</v>
      </c>
      <c r="Q237">
        <v>1</v>
      </c>
      <c r="X237">
        <v>0.57769999999999999</v>
      </c>
      <c r="Y237">
        <v>0</v>
      </c>
      <c r="Z237">
        <v>0</v>
      </c>
      <c r="AA237">
        <v>0</v>
      </c>
      <c r="AB237">
        <v>7.19</v>
      </c>
      <c r="AC237">
        <v>0</v>
      </c>
      <c r="AD237">
        <v>1</v>
      </c>
      <c r="AE237">
        <v>1</v>
      </c>
      <c r="AF237" t="s">
        <v>6</v>
      </c>
      <c r="AG237">
        <v>0.57769999999999999</v>
      </c>
      <c r="AH237">
        <v>2</v>
      </c>
      <c r="AI237">
        <v>26914503</v>
      </c>
      <c r="AJ237">
        <v>245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ROW(Source!A107)</f>
        <v>107</v>
      </c>
      <c r="B238">
        <v>26914506</v>
      </c>
      <c r="C238">
        <v>26914502</v>
      </c>
      <c r="D238">
        <v>21132480</v>
      </c>
      <c r="E238">
        <v>1</v>
      </c>
      <c r="F238">
        <v>1</v>
      </c>
      <c r="G238">
        <v>1</v>
      </c>
      <c r="H238">
        <v>2</v>
      </c>
      <c r="I238" t="s">
        <v>488</v>
      </c>
      <c r="J238" t="s">
        <v>489</v>
      </c>
      <c r="K238" t="s">
        <v>490</v>
      </c>
      <c r="L238">
        <v>1368</v>
      </c>
      <c r="N238">
        <v>1011</v>
      </c>
      <c r="O238" t="s">
        <v>338</v>
      </c>
      <c r="P238" t="s">
        <v>338</v>
      </c>
      <c r="Q238">
        <v>1</v>
      </c>
      <c r="X238">
        <v>0.28999999999999998</v>
      </c>
      <c r="Y238">
        <v>0</v>
      </c>
      <c r="Z238">
        <v>111</v>
      </c>
      <c r="AA238">
        <v>11.6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0.28999999999999998</v>
      </c>
      <c r="AH238">
        <v>2</v>
      </c>
      <c r="AI238">
        <v>26914504</v>
      </c>
      <c r="AJ238">
        <v>246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U45341</dc:creator>
  <cp:lastModifiedBy>Бюро</cp:lastModifiedBy>
  <cp:lastPrinted>2018-01-31T14:15:39Z</cp:lastPrinted>
  <dcterms:created xsi:type="dcterms:W3CDTF">2018-01-24T14:24:25Z</dcterms:created>
  <dcterms:modified xsi:type="dcterms:W3CDTF">2018-06-01T07:06:34Z</dcterms:modified>
</cp:coreProperties>
</file>