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Акт КС-2 10 граф" sheetId="7" r:id="rId3"/>
    <sheet name="Макет форма-3" sheetId="8" r:id="rId4"/>
    <sheet name="Source" sheetId="1" r:id="rId5"/>
    <sheet name="SourceObSm" sheetId="2" r:id="rId6"/>
    <sheet name="SmtRes" sheetId="3" r:id="rId7"/>
    <sheet name="EtalonRes" sheetId="4" r:id="rId8"/>
  </sheets>
  <definedNames>
    <definedName name="_xlnm.Print_Titles" localSheetId="2">'Акт КС-2 10 граф'!$33:$33</definedName>
    <definedName name="_xlnm.Print_Titles" localSheetId="1">'Акт КС-2 c НР и СП'!$35:$35</definedName>
    <definedName name="_xlnm.Print_Titles" localSheetId="0">'Смета 12 гр. по ФЕР'!$21:$21</definedName>
    <definedName name="_xlnm.Print_Area" localSheetId="2">'Акт КС-2 10 граф'!$A$1:$J$177</definedName>
    <definedName name="_xlnm.Print_Area" localSheetId="1">'Акт КС-2 c НР и СП'!$A$1:$H$196</definedName>
    <definedName name="_xlnm.Print_Area" localSheetId="0">'Смета 12 гр. по ФЕР'!$A$1:$L$146</definedName>
  </definedNames>
  <calcPr calcId="145621"/>
</workbook>
</file>

<file path=xl/calcChain.xml><?xml version="1.0" encoding="utf-8"?>
<calcChain xmlns="http://schemas.openxmlformats.org/spreadsheetml/2006/main">
  <c r="A1" i="8" l="1"/>
  <c r="H167" i="7"/>
  <c r="H162" i="7"/>
  <c r="D167" i="7"/>
  <c r="D162" i="7"/>
  <c r="I159" i="7"/>
  <c r="G159" i="7"/>
  <c r="A159" i="7"/>
  <c r="I158" i="7"/>
  <c r="G158" i="7"/>
  <c r="A158" i="7"/>
  <c r="I157" i="7"/>
  <c r="G157" i="7"/>
  <c r="A157" i="7"/>
  <c r="AF155" i="7"/>
  <c r="I155" i="7"/>
  <c r="G155" i="7"/>
  <c r="A155" i="7"/>
  <c r="I153" i="7"/>
  <c r="G153" i="7"/>
  <c r="A153" i="7"/>
  <c r="I152" i="7"/>
  <c r="G152" i="7"/>
  <c r="A152" i="7"/>
  <c r="I151" i="7"/>
  <c r="G151" i="7"/>
  <c r="A151" i="7"/>
  <c r="I148" i="7"/>
  <c r="G148" i="7"/>
  <c r="A148" i="7"/>
  <c r="P146" i="7"/>
  <c r="O146" i="7"/>
  <c r="I146" i="7"/>
  <c r="G146" i="7"/>
  <c r="J145" i="7"/>
  <c r="H145" i="7"/>
  <c r="I145" i="7"/>
  <c r="G145" i="7"/>
  <c r="V145" i="7"/>
  <c r="T145" i="7"/>
  <c r="U145" i="7"/>
  <c r="S145" i="7"/>
  <c r="F145" i="7"/>
  <c r="E145" i="7"/>
  <c r="D145" i="7"/>
  <c r="C145" i="7"/>
  <c r="B145" i="7"/>
  <c r="P144" i="7"/>
  <c r="O144" i="7"/>
  <c r="I144" i="7"/>
  <c r="G144" i="7"/>
  <c r="J143" i="7"/>
  <c r="H143" i="7"/>
  <c r="I143" i="7"/>
  <c r="G143" i="7"/>
  <c r="V143" i="7"/>
  <c r="T143" i="7"/>
  <c r="U143" i="7"/>
  <c r="S143" i="7"/>
  <c r="F143" i="7"/>
  <c r="E143" i="7"/>
  <c r="D143" i="7"/>
  <c r="C143" i="7"/>
  <c r="B143" i="7"/>
  <c r="P142" i="7"/>
  <c r="O142" i="7"/>
  <c r="I142" i="7"/>
  <c r="G142" i="7"/>
  <c r="H141" i="7"/>
  <c r="F141" i="7"/>
  <c r="J140" i="7"/>
  <c r="H140" i="7"/>
  <c r="G140" i="7"/>
  <c r="J139" i="7"/>
  <c r="H139" i="7"/>
  <c r="G139" i="7"/>
  <c r="J138" i="7"/>
  <c r="I138" i="7"/>
  <c r="H138" i="7"/>
  <c r="G138" i="7"/>
  <c r="V138" i="7"/>
  <c r="T138" i="7"/>
  <c r="U138" i="7"/>
  <c r="S138" i="7"/>
  <c r="F138" i="7"/>
  <c r="E138" i="7"/>
  <c r="D138" i="7"/>
  <c r="C138" i="7"/>
  <c r="B138" i="7"/>
  <c r="J137" i="7"/>
  <c r="I137" i="7"/>
  <c r="H137" i="7"/>
  <c r="G137" i="7"/>
  <c r="V137" i="7"/>
  <c r="T137" i="7"/>
  <c r="U137" i="7"/>
  <c r="S137" i="7"/>
  <c r="F137" i="7"/>
  <c r="E137" i="7"/>
  <c r="D137" i="7"/>
  <c r="C137" i="7"/>
  <c r="B137" i="7"/>
  <c r="J136" i="7"/>
  <c r="I136" i="7"/>
  <c r="H136" i="7"/>
  <c r="G136" i="7"/>
  <c r="J135" i="7"/>
  <c r="I135" i="7"/>
  <c r="R135" i="7"/>
  <c r="H135" i="7"/>
  <c r="G135" i="7"/>
  <c r="J134" i="7"/>
  <c r="I134" i="7"/>
  <c r="H134" i="7"/>
  <c r="G134" i="7"/>
  <c r="J133" i="7"/>
  <c r="I133" i="7"/>
  <c r="R133" i="7"/>
  <c r="H133" i="7"/>
  <c r="G133" i="7"/>
  <c r="D132" i="7"/>
  <c r="V131" i="7"/>
  <c r="T131" i="7"/>
  <c r="U131" i="7"/>
  <c r="S131" i="7"/>
  <c r="G131" i="7"/>
  <c r="F131" i="7"/>
  <c r="E131" i="7"/>
  <c r="I131" i="7"/>
  <c r="D131" i="7"/>
  <c r="C131" i="7"/>
  <c r="B131" i="7"/>
  <c r="P130" i="7"/>
  <c r="O130" i="7"/>
  <c r="I130" i="7"/>
  <c r="G130" i="7"/>
  <c r="H129" i="7"/>
  <c r="F129" i="7"/>
  <c r="J128" i="7"/>
  <c r="H128" i="7"/>
  <c r="G128" i="7"/>
  <c r="J127" i="7"/>
  <c r="H127" i="7"/>
  <c r="G127" i="7"/>
  <c r="J126" i="7"/>
  <c r="I126" i="7"/>
  <c r="H126" i="7"/>
  <c r="G126" i="7"/>
  <c r="V126" i="7"/>
  <c r="T126" i="7"/>
  <c r="U126" i="7"/>
  <c r="S126" i="7"/>
  <c r="F126" i="7"/>
  <c r="E126" i="7"/>
  <c r="D126" i="7"/>
  <c r="C126" i="7"/>
  <c r="B126" i="7"/>
  <c r="J125" i="7"/>
  <c r="I125" i="7"/>
  <c r="H125" i="7"/>
  <c r="G125" i="7"/>
  <c r="J124" i="7"/>
  <c r="I124" i="7"/>
  <c r="H124" i="7"/>
  <c r="G124" i="7"/>
  <c r="J123" i="7"/>
  <c r="I123" i="7"/>
  <c r="R123" i="7"/>
  <c r="H123" i="7"/>
  <c r="G123" i="7"/>
  <c r="D122" i="7"/>
  <c r="V121" i="7"/>
  <c r="T121" i="7"/>
  <c r="U121" i="7"/>
  <c r="S121" i="7"/>
  <c r="G121" i="7"/>
  <c r="F121" i="7"/>
  <c r="E121" i="7"/>
  <c r="I121" i="7"/>
  <c r="D121" i="7"/>
  <c r="C121" i="7"/>
  <c r="B121" i="7"/>
  <c r="P120" i="7"/>
  <c r="O120" i="7"/>
  <c r="I120" i="7"/>
  <c r="G120" i="7"/>
  <c r="H119" i="7"/>
  <c r="F119" i="7"/>
  <c r="J118" i="7"/>
  <c r="H118" i="7"/>
  <c r="G118" i="7"/>
  <c r="J117" i="7"/>
  <c r="H117" i="7"/>
  <c r="G117" i="7"/>
  <c r="J116" i="7"/>
  <c r="I116" i="7"/>
  <c r="H116" i="7"/>
  <c r="G116" i="7"/>
  <c r="V116" i="7"/>
  <c r="T116" i="7"/>
  <c r="U116" i="7"/>
  <c r="S116" i="7"/>
  <c r="F116" i="7"/>
  <c r="E116" i="7"/>
  <c r="D116" i="7"/>
  <c r="C116" i="7"/>
  <c r="B116" i="7"/>
  <c r="J115" i="7"/>
  <c r="I115" i="7"/>
  <c r="H115" i="7"/>
  <c r="G115" i="7"/>
  <c r="V115" i="7"/>
  <c r="T115" i="7"/>
  <c r="U115" i="7"/>
  <c r="S115" i="7"/>
  <c r="F115" i="7"/>
  <c r="E115" i="7"/>
  <c r="D115" i="7"/>
  <c r="C115" i="7"/>
  <c r="B115" i="7"/>
  <c r="J114" i="7"/>
  <c r="I114" i="7"/>
  <c r="H114" i="7"/>
  <c r="G114" i="7"/>
  <c r="J113" i="7"/>
  <c r="I113" i="7"/>
  <c r="R113" i="7"/>
  <c r="H113" i="7"/>
  <c r="G113" i="7"/>
  <c r="J112" i="7"/>
  <c r="I112" i="7"/>
  <c r="H112" i="7"/>
  <c r="G112" i="7"/>
  <c r="J111" i="7"/>
  <c r="I111" i="7"/>
  <c r="R111" i="7"/>
  <c r="H111" i="7"/>
  <c r="G111" i="7"/>
  <c r="D110" i="7"/>
  <c r="V109" i="7"/>
  <c r="T109" i="7"/>
  <c r="U109" i="7"/>
  <c r="S109" i="7"/>
  <c r="G109" i="7"/>
  <c r="F109" i="7"/>
  <c r="E109" i="7"/>
  <c r="I109" i="7"/>
  <c r="D109" i="7"/>
  <c r="C109" i="7"/>
  <c r="B109" i="7"/>
  <c r="P108" i="7"/>
  <c r="O108" i="7"/>
  <c r="I108" i="7"/>
  <c r="G108" i="7"/>
  <c r="H107" i="7"/>
  <c r="F107" i="7"/>
  <c r="J106" i="7"/>
  <c r="H106" i="7"/>
  <c r="G106" i="7"/>
  <c r="J105" i="7"/>
  <c r="H105" i="7"/>
  <c r="G105" i="7"/>
  <c r="J104" i="7"/>
  <c r="I104" i="7"/>
  <c r="H104" i="7"/>
  <c r="G104" i="7"/>
  <c r="V104" i="7"/>
  <c r="T104" i="7"/>
  <c r="U104" i="7"/>
  <c r="S104" i="7"/>
  <c r="F104" i="7"/>
  <c r="E104" i="7"/>
  <c r="D104" i="7"/>
  <c r="C104" i="7"/>
  <c r="B104" i="7"/>
  <c r="J103" i="7"/>
  <c r="I103" i="7"/>
  <c r="H103" i="7"/>
  <c r="G103" i="7"/>
  <c r="J102" i="7"/>
  <c r="I102" i="7"/>
  <c r="R102" i="7"/>
  <c r="H102" i="7"/>
  <c r="G102" i="7"/>
  <c r="J101" i="7"/>
  <c r="I101" i="7"/>
  <c r="H101" i="7"/>
  <c r="G101" i="7"/>
  <c r="J100" i="7"/>
  <c r="I100" i="7"/>
  <c r="R100" i="7"/>
  <c r="H100" i="7"/>
  <c r="G100" i="7"/>
  <c r="D99" i="7"/>
  <c r="V98" i="7"/>
  <c r="T98" i="7"/>
  <c r="U98" i="7"/>
  <c r="S98" i="7"/>
  <c r="G98" i="7"/>
  <c r="F98" i="7"/>
  <c r="E98" i="7"/>
  <c r="I98" i="7"/>
  <c r="D98" i="7"/>
  <c r="C98" i="7"/>
  <c r="B98" i="7"/>
  <c r="P97" i="7"/>
  <c r="O97" i="7"/>
  <c r="I97" i="7"/>
  <c r="G97" i="7"/>
  <c r="H96" i="7"/>
  <c r="F96" i="7"/>
  <c r="J95" i="7"/>
  <c r="H95" i="7"/>
  <c r="G95" i="7"/>
  <c r="J94" i="7"/>
  <c r="H94" i="7"/>
  <c r="G94" i="7"/>
  <c r="J93" i="7"/>
  <c r="I93" i="7"/>
  <c r="H93" i="7"/>
  <c r="G93" i="7"/>
  <c r="V93" i="7"/>
  <c r="T93" i="7"/>
  <c r="U93" i="7"/>
  <c r="S93" i="7"/>
  <c r="F93" i="7"/>
  <c r="E93" i="7"/>
  <c r="D93" i="7"/>
  <c r="C93" i="7"/>
  <c r="B93" i="7"/>
  <c r="J92" i="7"/>
  <c r="I92" i="7"/>
  <c r="H92" i="7"/>
  <c r="G92" i="7"/>
  <c r="V92" i="7"/>
  <c r="T92" i="7"/>
  <c r="U92" i="7"/>
  <c r="S92" i="7"/>
  <c r="F92" i="7"/>
  <c r="E92" i="7"/>
  <c r="D92" i="7"/>
  <c r="C92" i="7"/>
  <c r="B92" i="7"/>
  <c r="J91" i="7"/>
  <c r="I91" i="7"/>
  <c r="H91" i="7"/>
  <c r="G91" i="7"/>
  <c r="V91" i="7"/>
  <c r="T91" i="7"/>
  <c r="U91" i="7"/>
  <c r="S91" i="7"/>
  <c r="F91" i="7"/>
  <c r="E91" i="7"/>
  <c r="D91" i="7"/>
  <c r="C91" i="7"/>
  <c r="B91" i="7"/>
  <c r="J90" i="7"/>
  <c r="I90" i="7"/>
  <c r="H90" i="7"/>
  <c r="G90" i="7"/>
  <c r="V90" i="7"/>
  <c r="T90" i="7"/>
  <c r="U90" i="7"/>
  <c r="S90" i="7"/>
  <c r="F90" i="7"/>
  <c r="E90" i="7"/>
  <c r="D90" i="7"/>
  <c r="C90" i="7"/>
  <c r="B90" i="7"/>
  <c r="J89" i="7"/>
  <c r="I89" i="7"/>
  <c r="H89" i="7"/>
  <c r="G89" i="7"/>
  <c r="V89" i="7"/>
  <c r="T89" i="7"/>
  <c r="U89" i="7"/>
  <c r="S89" i="7"/>
  <c r="F89" i="7"/>
  <c r="E89" i="7"/>
  <c r="D89" i="7"/>
  <c r="C89" i="7"/>
  <c r="B89" i="7"/>
  <c r="J88" i="7"/>
  <c r="I88" i="7"/>
  <c r="H88" i="7"/>
  <c r="G88" i="7"/>
  <c r="V88" i="7"/>
  <c r="T88" i="7"/>
  <c r="U88" i="7"/>
  <c r="S88" i="7"/>
  <c r="F88" i="7"/>
  <c r="E88" i="7"/>
  <c r="D88" i="7"/>
  <c r="C88" i="7"/>
  <c r="B88" i="7"/>
  <c r="J87" i="7"/>
  <c r="I87" i="7"/>
  <c r="H87" i="7"/>
  <c r="G87" i="7"/>
  <c r="J86" i="7"/>
  <c r="I86" i="7"/>
  <c r="R86" i="7"/>
  <c r="H86" i="7"/>
  <c r="G86" i="7"/>
  <c r="J85" i="7"/>
  <c r="I85" i="7"/>
  <c r="H85" i="7"/>
  <c r="G85" i="7"/>
  <c r="J84" i="7"/>
  <c r="I84" i="7"/>
  <c r="R84" i="7"/>
  <c r="H84" i="7"/>
  <c r="G84" i="7"/>
  <c r="D83" i="7"/>
  <c r="V82" i="7"/>
  <c r="T82" i="7"/>
  <c r="U82" i="7"/>
  <c r="S82" i="7"/>
  <c r="G82" i="7"/>
  <c r="F82" i="7"/>
  <c r="E82" i="7"/>
  <c r="I82" i="7"/>
  <c r="D82" i="7"/>
  <c r="C82" i="7"/>
  <c r="B82" i="7"/>
  <c r="P81" i="7"/>
  <c r="O81" i="7"/>
  <c r="I81" i="7"/>
  <c r="G81" i="7"/>
  <c r="H80" i="7"/>
  <c r="F80" i="7"/>
  <c r="J79" i="7"/>
  <c r="H79" i="7"/>
  <c r="G79" i="7"/>
  <c r="J78" i="7"/>
  <c r="H78" i="7"/>
  <c r="G78" i="7"/>
  <c r="J77" i="7"/>
  <c r="I77" i="7"/>
  <c r="H77" i="7"/>
  <c r="G77" i="7"/>
  <c r="V77" i="7"/>
  <c r="T77" i="7"/>
  <c r="U77" i="7"/>
  <c r="S77" i="7"/>
  <c r="F77" i="7"/>
  <c r="E77" i="7"/>
  <c r="D77" i="7"/>
  <c r="C77" i="7"/>
  <c r="B77" i="7"/>
  <c r="J76" i="7"/>
  <c r="I76" i="7"/>
  <c r="H76" i="7"/>
  <c r="G76" i="7"/>
  <c r="V76" i="7"/>
  <c r="T76" i="7"/>
  <c r="U76" i="7"/>
  <c r="S76" i="7"/>
  <c r="F76" i="7"/>
  <c r="E76" i="7"/>
  <c r="D76" i="7"/>
  <c r="C76" i="7"/>
  <c r="B76" i="7"/>
  <c r="J75" i="7"/>
  <c r="I75" i="7"/>
  <c r="H75" i="7"/>
  <c r="G75" i="7"/>
  <c r="V75" i="7"/>
  <c r="T75" i="7"/>
  <c r="U75" i="7"/>
  <c r="S75" i="7"/>
  <c r="F75" i="7"/>
  <c r="E75" i="7"/>
  <c r="D75" i="7"/>
  <c r="C75" i="7"/>
  <c r="B75" i="7"/>
  <c r="J74" i="7"/>
  <c r="I74" i="7"/>
  <c r="H74" i="7"/>
  <c r="G74" i="7"/>
  <c r="V74" i="7"/>
  <c r="T74" i="7"/>
  <c r="U74" i="7"/>
  <c r="S74" i="7"/>
  <c r="F74" i="7"/>
  <c r="E74" i="7"/>
  <c r="D74" i="7"/>
  <c r="C74" i="7"/>
  <c r="B74" i="7"/>
  <c r="J73" i="7"/>
  <c r="I73" i="7"/>
  <c r="H73" i="7"/>
  <c r="G73" i="7"/>
  <c r="J72" i="7"/>
  <c r="I72" i="7"/>
  <c r="R72" i="7"/>
  <c r="H72" i="7"/>
  <c r="G72" i="7"/>
  <c r="J71" i="7"/>
  <c r="I71" i="7"/>
  <c r="H71" i="7"/>
  <c r="G71" i="7"/>
  <c r="J70" i="7"/>
  <c r="I70" i="7"/>
  <c r="R70" i="7"/>
  <c r="H70" i="7"/>
  <c r="G70" i="7"/>
  <c r="D69" i="7"/>
  <c r="V68" i="7"/>
  <c r="T68" i="7"/>
  <c r="U68" i="7"/>
  <c r="S68" i="7"/>
  <c r="G68" i="7"/>
  <c r="F68" i="7"/>
  <c r="E68" i="7"/>
  <c r="I68" i="7"/>
  <c r="D68" i="7"/>
  <c r="C68" i="7"/>
  <c r="B68" i="7"/>
  <c r="P67" i="7"/>
  <c r="O67" i="7"/>
  <c r="I67" i="7"/>
  <c r="G67" i="7"/>
  <c r="H66" i="7"/>
  <c r="F66" i="7"/>
  <c r="J65" i="7"/>
  <c r="H65" i="7"/>
  <c r="G65" i="7"/>
  <c r="J64" i="7"/>
  <c r="H64" i="7"/>
  <c r="G64" i="7"/>
  <c r="J63" i="7"/>
  <c r="I63" i="7"/>
  <c r="H63" i="7"/>
  <c r="G63" i="7"/>
  <c r="V63" i="7"/>
  <c r="T63" i="7"/>
  <c r="U63" i="7"/>
  <c r="S63" i="7"/>
  <c r="F63" i="7"/>
  <c r="E63" i="7"/>
  <c r="D63" i="7"/>
  <c r="C63" i="7"/>
  <c r="B63" i="7"/>
  <c r="J62" i="7"/>
  <c r="I62" i="7"/>
  <c r="H62" i="7"/>
  <c r="G62" i="7"/>
  <c r="J61" i="7"/>
  <c r="I61" i="7"/>
  <c r="R61" i="7"/>
  <c r="H61" i="7"/>
  <c r="G61" i="7"/>
  <c r="J60" i="7"/>
  <c r="I60" i="7"/>
  <c r="H60" i="7"/>
  <c r="G60" i="7"/>
  <c r="J59" i="7"/>
  <c r="I59" i="7"/>
  <c r="R59" i="7"/>
  <c r="H59" i="7"/>
  <c r="G59" i="7"/>
  <c r="D58" i="7"/>
  <c r="V57" i="7"/>
  <c r="T57" i="7"/>
  <c r="U57" i="7"/>
  <c r="S57" i="7"/>
  <c r="G57" i="7"/>
  <c r="F57" i="7"/>
  <c r="E57" i="7"/>
  <c r="I57" i="7"/>
  <c r="D57" i="7"/>
  <c r="C57" i="7"/>
  <c r="B57" i="7"/>
  <c r="P56" i="7"/>
  <c r="O56" i="7"/>
  <c r="I56" i="7"/>
  <c r="G56" i="7"/>
  <c r="H55" i="7"/>
  <c r="F55" i="7"/>
  <c r="J54" i="7"/>
  <c r="H54" i="7"/>
  <c r="G54" i="7"/>
  <c r="J53" i="7"/>
  <c r="H53" i="7"/>
  <c r="G53" i="7"/>
  <c r="J52" i="7"/>
  <c r="I52" i="7"/>
  <c r="H52" i="7"/>
  <c r="G52" i="7"/>
  <c r="V52" i="7"/>
  <c r="T52" i="7"/>
  <c r="U52" i="7"/>
  <c r="S52" i="7"/>
  <c r="F52" i="7"/>
  <c r="E52" i="7"/>
  <c r="D52" i="7"/>
  <c r="C52" i="7"/>
  <c r="B52" i="7"/>
  <c r="J51" i="7"/>
  <c r="I51" i="7"/>
  <c r="H51" i="7"/>
  <c r="G51" i="7"/>
  <c r="V51" i="7"/>
  <c r="T51" i="7"/>
  <c r="U51" i="7"/>
  <c r="S51" i="7"/>
  <c r="F51" i="7"/>
  <c r="E51" i="7"/>
  <c r="D51" i="7"/>
  <c r="C51" i="7"/>
  <c r="B51" i="7"/>
  <c r="J50" i="7"/>
  <c r="I50" i="7"/>
  <c r="H50" i="7"/>
  <c r="G50" i="7"/>
  <c r="J49" i="7"/>
  <c r="I49" i="7"/>
  <c r="R49" i="7"/>
  <c r="H49" i="7"/>
  <c r="G49" i="7"/>
  <c r="J48" i="7"/>
  <c r="I48" i="7"/>
  <c r="H48" i="7"/>
  <c r="G48" i="7"/>
  <c r="J47" i="7"/>
  <c r="I47" i="7"/>
  <c r="R47" i="7"/>
  <c r="H47" i="7"/>
  <c r="G47" i="7"/>
  <c r="D46" i="7"/>
  <c r="V45" i="7"/>
  <c r="T45" i="7"/>
  <c r="U45" i="7"/>
  <c r="S45" i="7"/>
  <c r="G45" i="7"/>
  <c r="F45" i="7"/>
  <c r="E45" i="7"/>
  <c r="I45" i="7"/>
  <c r="D45" i="7"/>
  <c r="C45" i="7"/>
  <c r="B45" i="7"/>
  <c r="P44" i="7"/>
  <c r="O44" i="7"/>
  <c r="I44" i="7"/>
  <c r="G44" i="7"/>
  <c r="H43" i="7"/>
  <c r="F43" i="7"/>
  <c r="J42" i="7"/>
  <c r="H42" i="7"/>
  <c r="G42" i="7"/>
  <c r="J41" i="7"/>
  <c r="H41" i="7"/>
  <c r="G41" i="7"/>
  <c r="J40" i="7"/>
  <c r="I40" i="7"/>
  <c r="R40" i="7"/>
  <c r="H40" i="7"/>
  <c r="G40" i="7"/>
  <c r="J39" i="7"/>
  <c r="I39" i="7"/>
  <c r="H39" i="7"/>
  <c r="G39" i="7"/>
  <c r="J38" i="7"/>
  <c r="I38" i="7"/>
  <c r="R38" i="7"/>
  <c r="H38" i="7"/>
  <c r="G38" i="7"/>
  <c r="D37" i="7"/>
  <c r="V36" i="7"/>
  <c r="T36" i="7"/>
  <c r="U36" i="7"/>
  <c r="S36" i="7"/>
  <c r="G36" i="7"/>
  <c r="F36" i="7"/>
  <c r="E36" i="7"/>
  <c r="I36" i="7"/>
  <c r="D36" i="7"/>
  <c r="C36" i="7"/>
  <c r="B36" i="7"/>
  <c r="A35" i="7"/>
  <c r="G30" i="7"/>
  <c r="G29" i="7"/>
  <c r="F24" i="7"/>
  <c r="I20" i="7"/>
  <c r="I19" i="7"/>
  <c r="I18" i="7"/>
  <c r="I17" i="7"/>
  <c r="I15" i="7"/>
  <c r="AC16" i="7"/>
  <c r="C16" i="7"/>
  <c r="I13" i="7"/>
  <c r="I11" i="7"/>
  <c r="D12" i="7"/>
  <c r="I9" i="7"/>
  <c r="D10" i="7"/>
  <c r="I7" i="7"/>
  <c r="C8" i="7"/>
  <c r="A1" i="7"/>
  <c r="G191" i="6"/>
  <c r="G186" i="6"/>
  <c r="C191" i="6"/>
  <c r="C186" i="6"/>
  <c r="G183" i="6"/>
  <c r="C183" i="6"/>
  <c r="G182" i="6"/>
  <c r="C182" i="6"/>
  <c r="G181" i="6"/>
  <c r="C181" i="6"/>
  <c r="AG179" i="6"/>
  <c r="H179" i="6"/>
  <c r="C179" i="6"/>
  <c r="G177" i="6"/>
  <c r="C177" i="6"/>
  <c r="G176" i="6"/>
  <c r="C176" i="6"/>
  <c r="G175" i="6"/>
  <c r="C175" i="6"/>
  <c r="H172" i="6"/>
  <c r="C172" i="6"/>
  <c r="D170" i="6"/>
  <c r="AB169" i="6"/>
  <c r="AA169" i="6"/>
  <c r="Z169" i="6"/>
  <c r="Y169" i="6"/>
  <c r="X169" i="6"/>
  <c r="W169" i="6"/>
  <c r="V169" i="6"/>
  <c r="U169" i="6"/>
  <c r="T169" i="6"/>
  <c r="H169" i="6"/>
  <c r="G169" i="6"/>
  <c r="F169" i="6"/>
  <c r="E169" i="6"/>
  <c r="C169" i="6"/>
  <c r="D169" i="6"/>
  <c r="B169" i="6"/>
  <c r="D168" i="6"/>
  <c r="AB167" i="6"/>
  <c r="AA167" i="6"/>
  <c r="Z167" i="6"/>
  <c r="Y167" i="6"/>
  <c r="X167" i="6"/>
  <c r="W167" i="6"/>
  <c r="V167" i="6"/>
  <c r="U167" i="6"/>
  <c r="T167" i="6"/>
  <c r="H167" i="6"/>
  <c r="G167" i="6"/>
  <c r="F167" i="6"/>
  <c r="E167" i="6"/>
  <c r="C167" i="6"/>
  <c r="D167" i="6"/>
  <c r="B167" i="6"/>
  <c r="D166" i="6"/>
  <c r="AB165" i="6"/>
  <c r="AA165" i="6"/>
  <c r="Z165" i="6"/>
  <c r="Y165" i="6"/>
  <c r="X165" i="6"/>
  <c r="W165" i="6"/>
  <c r="V165" i="6"/>
  <c r="U165" i="6"/>
  <c r="T165" i="6"/>
  <c r="H165" i="6"/>
  <c r="G165" i="6"/>
  <c r="F165" i="6"/>
  <c r="E165" i="6"/>
  <c r="C165" i="6"/>
  <c r="D165" i="6"/>
  <c r="B165" i="6"/>
  <c r="D164" i="6"/>
  <c r="AB163" i="6"/>
  <c r="AA163" i="6"/>
  <c r="Z163" i="6"/>
  <c r="Y163" i="6"/>
  <c r="X163" i="6"/>
  <c r="W163" i="6"/>
  <c r="V163" i="6"/>
  <c r="U163" i="6"/>
  <c r="T163" i="6"/>
  <c r="H163" i="6"/>
  <c r="G163" i="6"/>
  <c r="F163" i="6"/>
  <c r="E163" i="6"/>
  <c r="C163" i="6"/>
  <c r="D163" i="6"/>
  <c r="B163" i="6"/>
  <c r="H162" i="6"/>
  <c r="G162" i="6"/>
  <c r="H161" i="6"/>
  <c r="G161" i="6"/>
  <c r="H160" i="6"/>
  <c r="G160" i="6"/>
  <c r="F160" i="6"/>
  <c r="H159" i="6"/>
  <c r="G159" i="6"/>
  <c r="H158" i="6"/>
  <c r="G158" i="6"/>
  <c r="F158" i="6"/>
  <c r="D157" i="6"/>
  <c r="D156" i="6"/>
  <c r="D155" i="6"/>
  <c r="D154" i="6"/>
  <c r="C153" i="6"/>
  <c r="AB152" i="6"/>
  <c r="AA152" i="6"/>
  <c r="Z152" i="6"/>
  <c r="Y152" i="6"/>
  <c r="X152" i="6"/>
  <c r="W152" i="6"/>
  <c r="V152" i="6"/>
  <c r="U152" i="6"/>
  <c r="T152" i="6"/>
  <c r="H152" i="6"/>
  <c r="G152" i="6"/>
  <c r="F152" i="6"/>
  <c r="E152" i="6"/>
  <c r="C152" i="6"/>
  <c r="D152" i="6"/>
  <c r="B152" i="6"/>
  <c r="D151" i="6"/>
  <c r="AB150" i="6"/>
  <c r="AA150" i="6"/>
  <c r="Z150" i="6"/>
  <c r="Y150" i="6"/>
  <c r="X150" i="6"/>
  <c r="W150" i="6"/>
  <c r="V150" i="6"/>
  <c r="U150" i="6"/>
  <c r="T150" i="6"/>
  <c r="H150" i="6"/>
  <c r="G150" i="6"/>
  <c r="F150" i="6"/>
  <c r="E150" i="6"/>
  <c r="C150" i="6"/>
  <c r="D150" i="6"/>
  <c r="B150" i="6"/>
  <c r="H149" i="6"/>
  <c r="G149" i="6"/>
  <c r="H148" i="6"/>
  <c r="G148" i="6"/>
  <c r="F148" i="6"/>
  <c r="H147" i="6"/>
  <c r="G147" i="6"/>
  <c r="F147" i="6"/>
  <c r="D146" i="6"/>
  <c r="D145" i="6"/>
  <c r="D144" i="6"/>
  <c r="D143" i="6"/>
  <c r="C142" i="6"/>
  <c r="AB141" i="6"/>
  <c r="AA141" i="6"/>
  <c r="Z141" i="6"/>
  <c r="Y141" i="6"/>
  <c r="X141" i="6"/>
  <c r="W141" i="6"/>
  <c r="V141" i="6"/>
  <c r="U141" i="6"/>
  <c r="T141" i="6"/>
  <c r="H141" i="6"/>
  <c r="G141" i="6"/>
  <c r="F141" i="6"/>
  <c r="E141" i="6"/>
  <c r="C141" i="6"/>
  <c r="D141" i="6"/>
  <c r="B141" i="6"/>
  <c r="D140" i="6"/>
  <c r="AB139" i="6"/>
  <c r="AA139" i="6"/>
  <c r="Z139" i="6"/>
  <c r="Y139" i="6"/>
  <c r="X139" i="6"/>
  <c r="W139" i="6"/>
  <c r="V139" i="6"/>
  <c r="U139" i="6"/>
  <c r="T139" i="6"/>
  <c r="H139" i="6"/>
  <c r="G139" i="6"/>
  <c r="F139" i="6"/>
  <c r="E139" i="6"/>
  <c r="C139" i="6"/>
  <c r="D139" i="6"/>
  <c r="B139" i="6"/>
  <c r="D138" i="6"/>
  <c r="AB137" i="6"/>
  <c r="AA137" i="6"/>
  <c r="Z137" i="6"/>
  <c r="Y137" i="6"/>
  <c r="X137" i="6"/>
  <c r="W137" i="6"/>
  <c r="V137" i="6"/>
  <c r="U137" i="6"/>
  <c r="T137" i="6"/>
  <c r="H137" i="6"/>
  <c r="G137" i="6"/>
  <c r="F137" i="6"/>
  <c r="E137" i="6"/>
  <c r="C137" i="6"/>
  <c r="D137" i="6"/>
  <c r="B137" i="6"/>
  <c r="H136" i="6"/>
  <c r="G136" i="6"/>
  <c r="H135" i="6"/>
  <c r="G135" i="6"/>
  <c r="F135" i="6"/>
  <c r="H134" i="6"/>
  <c r="G134" i="6"/>
  <c r="F134" i="6"/>
  <c r="D133" i="6"/>
  <c r="D132" i="6"/>
  <c r="D131" i="6"/>
  <c r="D130" i="6"/>
  <c r="C129" i="6"/>
  <c r="AB128" i="6"/>
  <c r="AA128" i="6"/>
  <c r="Z128" i="6"/>
  <c r="Y128" i="6"/>
  <c r="X128" i="6"/>
  <c r="W128" i="6"/>
  <c r="V128" i="6"/>
  <c r="U128" i="6"/>
  <c r="T128" i="6"/>
  <c r="H128" i="6"/>
  <c r="G128" i="6"/>
  <c r="F128" i="6"/>
  <c r="E128" i="6"/>
  <c r="C128" i="6"/>
  <c r="D128" i="6"/>
  <c r="B128" i="6"/>
  <c r="D127" i="6"/>
  <c r="AB126" i="6"/>
  <c r="AA126" i="6"/>
  <c r="Z126" i="6"/>
  <c r="Y126" i="6"/>
  <c r="X126" i="6"/>
  <c r="W126" i="6"/>
  <c r="V126" i="6"/>
  <c r="U126" i="6"/>
  <c r="T126" i="6"/>
  <c r="H126" i="6"/>
  <c r="G126" i="6"/>
  <c r="F126" i="6"/>
  <c r="E126" i="6"/>
  <c r="C126" i="6"/>
  <c r="D126" i="6"/>
  <c r="B126" i="6"/>
  <c r="H125" i="6"/>
  <c r="G125" i="6"/>
  <c r="H124" i="6"/>
  <c r="G124" i="6"/>
  <c r="F124" i="6"/>
  <c r="H123" i="6"/>
  <c r="G123" i="6"/>
  <c r="F123" i="6"/>
  <c r="D122" i="6"/>
  <c r="D121" i="6"/>
  <c r="D120" i="6"/>
  <c r="D119" i="6"/>
  <c r="C118" i="6"/>
  <c r="AB117" i="6"/>
  <c r="AA117" i="6"/>
  <c r="Z117" i="6"/>
  <c r="Y117" i="6"/>
  <c r="X117" i="6"/>
  <c r="W117" i="6"/>
  <c r="V117" i="6"/>
  <c r="U117" i="6"/>
  <c r="T117" i="6"/>
  <c r="H117" i="6"/>
  <c r="G117" i="6"/>
  <c r="F117" i="6"/>
  <c r="E117" i="6"/>
  <c r="C117" i="6"/>
  <c r="D117" i="6"/>
  <c r="B117" i="6"/>
  <c r="D116" i="6"/>
  <c r="AB115" i="6"/>
  <c r="AA115" i="6"/>
  <c r="Z115" i="6"/>
  <c r="Y115" i="6"/>
  <c r="X115" i="6"/>
  <c r="W115" i="6"/>
  <c r="V115" i="6"/>
  <c r="U115" i="6"/>
  <c r="T115" i="6"/>
  <c r="H115" i="6"/>
  <c r="G115" i="6"/>
  <c r="F115" i="6"/>
  <c r="E115" i="6"/>
  <c r="C115" i="6"/>
  <c r="D115" i="6"/>
  <c r="B115" i="6"/>
  <c r="D114" i="6"/>
  <c r="AB113" i="6"/>
  <c r="AA113" i="6"/>
  <c r="Z113" i="6"/>
  <c r="Y113" i="6"/>
  <c r="X113" i="6"/>
  <c r="W113" i="6"/>
  <c r="V113" i="6"/>
  <c r="U113" i="6"/>
  <c r="T113" i="6"/>
  <c r="H113" i="6"/>
  <c r="G113" i="6"/>
  <c r="F113" i="6"/>
  <c r="E113" i="6"/>
  <c r="C113" i="6"/>
  <c r="D113" i="6"/>
  <c r="B113" i="6"/>
  <c r="D112" i="6"/>
  <c r="AB111" i="6"/>
  <c r="AA111" i="6"/>
  <c r="Z111" i="6"/>
  <c r="Y111" i="6"/>
  <c r="X111" i="6"/>
  <c r="W111" i="6"/>
  <c r="V111" i="6"/>
  <c r="U111" i="6"/>
  <c r="T111" i="6"/>
  <c r="H111" i="6"/>
  <c r="G111" i="6"/>
  <c r="F111" i="6"/>
  <c r="E111" i="6"/>
  <c r="C111" i="6"/>
  <c r="D111" i="6"/>
  <c r="B111" i="6"/>
  <c r="D110" i="6"/>
  <c r="AB109" i="6"/>
  <c r="AA109" i="6"/>
  <c r="Z109" i="6"/>
  <c r="Y109" i="6"/>
  <c r="X109" i="6"/>
  <c r="W109" i="6"/>
  <c r="V109" i="6"/>
  <c r="U109" i="6"/>
  <c r="T109" i="6"/>
  <c r="H109" i="6"/>
  <c r="G109" i="6"/>
  <c r="F109" i="6"/>
  <c r="E109" i="6"/>
  <c r="C109" i="6"/>
  <c r="D109" i="6"/>
  <c r="B109" i="6"/>
  <c r="D108" i="6"/>
  <c r="AB107" i="6"/>
  <c r="AA107" i="6"/>
  <c r="Z107" i="6"/>
  <c r="Y107" i="6"/>
  <c r="X107" i="6"/>
  <c r="W107" i="6"/>
  <c r="V107" i="6"/>
  <c r="U107" i="6"/>
  <c r="T107" i="6"/>
  <c r="H107" i="6"/>
  <c r="G107" i="6"/>
  <c r="F107" i="6"/>
  <c r="E107" i="6"/>
  <c r="C107" i="6"/>
  <c r="D107" i="6"/>
  <c r="B107" i="6"/>
  <c r="D106" i="6"/>
  <c r="AB105" i="6"/>
  <c r="AA105" i="6"/>
  <c r="Z105" i="6"/>
  <c r="Y105" i="6"/>
  <c r="X105" i="6"/>
  <c r="W105" i="6"/>
  <c r="V105" i="6"/>
  <c r="U105" i="6"/>
  <c r="T105" i="6"/>
  <c r="H105" i="6"/>
  <c r="G105" i="6"/>
  <c r="F105" i="6"/>
  <c r="E105" i="6"/>
  <c r="C105" i="6"/>
  <c r="D105" i="6"/>
  <c r="B105" i="6"/>
  <c r="H104" i="6"/>
  <c r="G104" i="6"/>
  <c r="H103" i="6"/>
  <c r="G103" i="6"/>
  <c r="H102" i="6"/>
  <c r="G102" i="6"/>
  <c r="F102" i="6"/>
  <c r="H101" i="6"/>
  <c r="G101" i="6"/>
  <c r="H100" i="6"/>
  <c r="G100" i="6"/>
  <c r="F100" i="6"/>
  <c r="D99" i="6"/>
  <c r="D98" i="6"/>
  <c r="D97" i="6"/>
  <c r="D96" i="6"/>
  <c r="C95" i="6"/>
  <c r="AB94" i="6"/>
  <c r="AA94" i="6"/>
  <c r="Z94" i="6"/>
  <c r="Y94" i="6"/>
  <c r="X94" i="6"/>
  <c r="W94" i="6"/>
  <c r="V94" i="6"/>
  <c r="U94" i="6"/>
  <c r="T94" i="6"/>
  <c r="H94" i="6"/>
  <c r="G94" i="6"/>
  <c r="F94" i="6"/>
  <c r="E94" i="6"/>
  <c r="C94" i="6"/>
  <c r="D94" i="6"/>
  <c r="B94" i="6"/>
  <c r="D93" i="6"/>
  <c r="AB92" i="6"/>
  <c r="AA92" i="6"/>
  <c r="Z92" i="6"/>
  <c r="Y92" i="6"/>
  <c r="X92" i="6"/>
  <c r="W92" i="6"/>
  <c r="V92" i="6"/>
  <c r="U92" i="6"/>
  <c r="T92" i="6"/>
  <c r="H92" i="6"/>
  <c r="G92" i="6"/>
  <c r="F92" i="6"/>
  <c r="E92" i="6"/>
  <c r="C92" i="6"/>
  <c r="D92" i="6"/>
  <c r="B92" i="6"/>
  <c r="D91" i="6"/>
  <c r="AB90" i="6"/>
  <c r="AA90" i="6"/>
  <c r="Z90" i="6"/>
  <c r="Y90" i="6"/>
  <c r="X90" i="6"/>
  <c r="W90" i="6"/>
  <c r="V90" i="6"/>
  <c r="U90" i="6"/>
  <c r="T90" i="6"/>
  <c r="H90" i="6"/>
  <c r="G90" i="6"/>
  <c r="F90" i="6"/>
  <c r="E90" i="6"/>
  <c r="C90" i="6"/>
  <c r="D90" i="6"/>
  <c r="B90" i="6"/>
  <c r="D89" i="6"/>
  <c r="AB88" i="6"/>
  <c r="AA88" i="6"/>
  <c r="Z88" i="6"/>
  <c r="Y88" i="6"/>
  <c r="X88" i="6"/>
  <c r="W88" i="6"/>
  <c r="V88" i="6"/>
  <c r="U88" i="6"/>
  <c r="T88" i="6"/>
  <c r="H88" i="6"/>
  <c r="G88" i="6"/>
  <c r="F88" i="6"/>
  <c r="E88" i="6"/>
  <c r="C88" i="6"/>
  <c r="D88" i="6"/>
  <c r="B88" i="6"/>
  <c r="D87" i="6"/>
  <c r="AB86" i="6"/>
  <c r="AA86" i="6"/>
  <c r="Z86" i="6"/>
  <c r="Y86" i="6"/>
  <c r="X86" i="6"/>
  <c r="W86" i="6"/>
  <c r="V86" i="6"/>
  <c r="U86" i="6"/>
  <c r="T86" i="6"/>
  <c r="H86" i="6"/>
  <c r="G86" i="6"/>
  <c r="F86" i="6"/>
  <c r="E86" i="6"/>
  <c r="C86" i="6"/>
  <c r="D86" i="6"/>
  <c r="B86" i="6"/>
  <c r="H85" i="6"/>
  <c r="G85" i="6"/>
  <c r="H84" i="6"/>
  <c r="G84" i="6"/>
  <c r="F84" i="6"/>
  <c r="H83" i="6"/>
  <c r="G83" i="6"/>
  <c r="F83" i="6"/>
  <c r="D82" i="6"/>
  <c r="D81" i="6"/>
  <c r="D80" i="6"/>
  <c r="D79" i="6"/>
  <c r="C78" i="6"/>
  <c r="AB77" i="6"/>
  <c r="AA77" i="6"/>
  <c r="Z77" i="6"/>
  <c r="Y77" i="6"/>
  <c r="X77" i="6"/>
  <c r="W77" i="6"/>
  <c r="V77" i="6"/>
  <c r="U77" i="6"/>
  <c r="T77" i="6"/>
  <c r="H77" i="6"/>
  <c r="G77" i="6"/>
  <c r="F77" i="6"/>
  <c r="E77" i="6"/>
  <c r="C77" i="6"/>
  <c r="D77" i="6"/>
  <c r="B77" i="6"/>
  <c r="D76" i="6"/>
  <c r="AB75" i="6"/>
  <c r="AA75" i="6"/>
  <c r="Z75" i="6"/>
  <c r="Y75" i="6"/>
  <c r="X75" i="6"/>
  <c r="W75" i="6"/>
  <c r="V75" i="6"/>
  <c r="U75" i="6"/>
  <c r="T75" i="6"/>
  <c r="H75" i="6"/>
  <c r="G75" i="6"/>
  <c r="F75" i="6"/>
  <c r="E75" i="6"/>
  <c r="C75" i="6"/>
  <c r="D75" i="6"/>
  <c r="B75" i="6"/>
  <c r="H74" i="6"/>
  <c r="G74" i="6"/>
  <c r="H73" i="6"/>
  <c r="G73" i="6"/>
  <c r="H72" i="6"/>
  <c r="G72" i="6"/>
  <c r="F72" i="6"/>
  <c r="H71" i="6"/>
  <c r="G71" i="6"/>
  <c r="H70" i="6"/>
  <c r="G70" i="6"/>
  <c r="F70" i="6"/>
  <c r="D69" i="6"/>
  <c r="D68" i="6"/>
  <c r="D67" i="6"/>
  <c r="D66" i="6"/>
  <c r="C65" i="6"/>
  <c r="AB64" i="6"/>
  <c r="AA64" i="6"/>
  <c r="Z64" i="6"/>
  <c r="Y64" i="6"/>
  <c r="X64" i="6"/>
  <c r="W64" i="6"/>
  <c r="V64" i="6"/>
  <c r="U64" i="6"/>
  <c r="T64" i="6"/>
  <c r="H64" i="6"/>
  <c r="G64" i="6"/>
  <c r="F64" i="6"/>
  <c r="E64" i="6"/>
  <c r="C64" i="6"/>
  <c r="D64" i="6"/>
  <c r="B64" i="6"/>
  <c r="D63" i="6"/>
  <c r="AB62" i="6"/>
  <c r="AA62" i="6"/>
  <c r="Z62" i="6"/>
  <c r="Y62" i="6"/>
  <c r="X62" i="6"/>
  <c r="W62" i="6"/>
  <c r="V62" i="6"/>
  <c r="U62" i="6"/>
  <c r="T62" i="6"/>
  <c r="H62" i="6"/>
  <c r="G62" i="6"/>
  <c r="F62" i="6"/>
  <c r="E62" i="6"/>
  <c r="C62" i="6"/>
  <c r="D62" i="6"/>
  <c r="B62" i="6"/>
  <c r="D61" i="6"/>
  <c r="AB60" i="6"/>
  <c r="AA60" i="6"/>
  <c r="Z60" i="6"/>
  <c r="Y60" i="6"/>
  <c r="X60" i="6"/>
  <c r="W60" i="6"/>
  <c r="V60" i="6"/>
  <c r="U60" i="6"/>
  <c r="T60" i="6"/>
  <c r="H60" i="6"/>
  <c r="G60" i="6"/>
  <c r="F60" i="6"/>
  <c r="E60" i="6"/>
  <c r="C60" i="6"/>
  <c r="D60" i="6"/>
  <c r="B60" i="6"/>
  <c r="H59" i="6"/>
  <c r="G59" i="6"/>
  <c r="H58" i="6"/>
  <c r="G58" i="6"/>
  <c r="H57" i="6"/>
  <c r="G57" i="6"/>
  <c r="F57" i="6"/>
  <c r="H56" i="6"/>
  <c r="G56" i="6"/>
  <c r="H55" i="6"/>
  <c r="G55" i="6"/>
  <c r="F55" i="6"/>
  <c r="D54" i="6"/>
  <c r="D53" i="6"/>
  <c r="D52" i="6"/>
  <c r="D51" i="6"/>
  <c r="C50" i="6"/>
  <c r="AB49" i="6"/>
  <c r="AA49" i="6"/>
  <c r="Z49" i="6"/>
  <c r="Y49" i="6"/>
  <c r="X49" i="6"/>
  <c r="W49" i="6"/>
  <c r="V49" i="6"/>
  <c r="U49" i="6"/>
  <c r="T49" i="6"/>
  <c r="H49" i="6"/>
  <c r="G49" i="6"/>
  <c r="F49" i="6"/>
  <c r="E49" i="6"/>
  <c r="C49" i="6"/>
  <c r="D49" i="6"/>
  <c r="B49" i="6"/>
  <c r="H48" i="6"/>
  <c r="G48" i="6"/>
  <c r="H47" i="6"/>
  <c r="G47" i="6"/>
  <c r="H46" i="6"/>
  <c r="G46" i="6"/>
  <c r="F46" i="6"/>
  <c r="H45" i="6"/>
  <c r="G45" i="6"/>
  <c r="H44" i="6"/>
  <c r="G44" i="6"/>
  <c r="F44" i="6"/>
  <c r="D43" i="6"/>
  <c r="D42" i="6"/>
  <c r="D41" i="6"/>
  <c r="D40" i="6"/>
  <c r="C39" i="6"/>
  <c r="AB38" i="6"/>
  <c r="AA38" i="6"/>
  <c r="Z38" i="6"/>
  <c r="Y38" i="6"/>
  <c r="X38" i="6"/>
  <c r="W38" i="6"/>
  <c r="V38" i="6"/>
  <c r="U38" i="6"/>
  <c r="T38" i="6"/>
  <c r="H38" i="6"/>
  <c r="G38" i="6"/>
  <c r="F38" i="6"/>
  <c r="E38" i="6"/>
  <c r="C38" i="6"/>
  <c r="D38" i="6"/>
  <c r="B38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6" i="5"/>
  <c r="J137" i="5"/>
  <c r="C137" i="5"/>
  <c r="J136" i="5"/>
  <c r="C136" i="5"/>
  <c r="J135" i="5"/>
  <c r="C135" i="5"/>
  <c r="I17" i="5"/>
  <c r="I16" i="5"/>
  <c r="G16" i="5" s="1"/>
  <c r="I15" i="5"/>
  <c r="I14" i="5"/>
  <c r="I13" i="5"/>
  <c r="I12" i="5"/>
  <c r="I11" i="5"/>
  <c r="A134" i="5"/>
  <c r="L132" i="5"/>
  <c r="Q132" i="5" s="1"/>
  <c r="Z132" i="5"/>
  <c r="Y132" i="5"/>
  <c r="X132" i="5"/>
  <c r="K131" i="5"/>
  <c r="J132" i="5" s="1"/>
  <c r="P132" i="5" s="1"/>
  <c r="H131" i="5"/>
  <c r="G132" i="5" s="1"/>
  <c r="O132" i="5" s="1"/>
  <c r="J131" i="5"/>
  <c r="G131" i="5"/>
  <c r="F131" i="5"/>
  <c r="V131" i="5"/>
  <c r="T131" i="5"/>
  <c r="U131" i="5"/>
  <c r="S131" i="5"/>
  <c r="E131" i="5"/>
  <c r="D131" i="5"/>
  <c r="I131" i="5"/>
  <c r="C131" i="5"/>
  <c r="B131" i="5"/>
  <c r="A131" i="5"/>
  <c r="L130" i="5"/>
  <c r="Q130" i="5" s="1"/>
  <c r="Z130" i="5"/>
  <c r="Y130" i="5"/>
  <c r="X130" i="5"/>
  <c r="K129" i="5"/>
  <c r="J130" i="5" s="1"/>
  <c r="P130" i="5" s="1"/>
  <c r="H129" i="5"/>
  <c r="G130" i="5" s="1"/>
  <c r="O130" i="5" s="1"/>
  <c r="J129" i="5"/>
  <c r="G129" i="5"/>
  <c r="F129" i="5"/>
  <c r="V129" i="5"/>
  <c r="T129" i="5"/>
  <c r="U129" i="5"/>
  <c r="S129" i="5"/>
  <c r="E129" i="5"/>
  <c r="D129" i="5"/>
  <c r="I129" i="5"/>
  <c r="C129" i="5"/>
  <c r="B129" i="5"/>
  <c r="A129" i="5"/>
  <c r="L128" i="5"/>
  <c r="Q128" i="5" s="1"/>
  <c r="Z128" i="5"/>
  <c r="Y128" i="5"/>
  <c r="X128" i="5"/>
  <c r="K127" i="5"/>
  <c r="J127" i="5"/>
  <c r="Z127" i="5"/>
  <c r="Y127" i="5"/>
  <c r="X127" i="5"/>
  <c r="H127" i="5"/>
  <c r="W127" i="5" s="1"/>
  <c r="F127" i="5"/>
  <c r="V127" i="5"/>
  <c r="T127" i="5"/>
  <c r="U127" i="5"/>
  <c r="S127" i="5"/>
  <c r="E127" i="5"/>
  <c r="D127" i="5"/>
  <c r="C127" i="5"/>
  <c r="B127" i="5"/>
  <c r="A127" i="5"/>
  <c r="K126" i="5"/>
  <c r="J126" i="5"/>
  <c r="Z126" i="5"/>
  <c r="Y126" i="5"/>
  <c r="X126" i="5"/>
  <c r="H126" i="5"/>
  <c r="W126" i="5" s="1"/>
  <c r="F126" i="5"/>
  <c r="V126" i="5"/>
  <c r="T126" i="5"/>
  <c r="U126" i="5"/>
  <c r="S126" i="5"/>
  <c r="E126" i="5"/>
  <c r="D126" i="5"/>
  <c r="C126" i="5"/>
  <c r="B126" i="5"/>
  <c r="A126" i="5"/>
  <c r="L125" i="5"/>
  <c r="G125" i="5"/>
  <c r="E125" i="5"/>
  <c r="J124" i="5"/>
  <c r="F124" i="5"/>
  <c r="E124" i="5"/>
  <c r="J123" i="5"/>
  <c r="F123" i="5"/>
  <c r="E123" i="5"/>
  <c r="K122" i="5"/>
  <c r="J122" i="5"/>
  <c r="H122" i="5"/>
  <c r="G122" i="5"/>
  <c r="F122" i="5"/>
  <c r="K121" i="5"/>
  <c r="J121" i="5"/>
  <c r="H121" i="5"/>
  <c r="R121" i="5" s="1"/>
  <c r="G121" i="5"/>
  <c r="F121" i="5"/>
  <c r="K120" i="5"/>
  <c r="J120" i="5"/>
  <c r="H120" i="5"/>
  <c r="G120" i="5"/>
  <c r="F120" i="5"/>
  <c r="K119" i="5"/>
  <c r="J119" i="5"/>
  <c r="H119" i="5"/>
  <c r="G119" i="5"/>
  <c r="F119" i="5"/>
  <c r="C118" i="5"/>
  <c r="V117" i="5"/>
  <c r="K124" i="5" s="1"/>
  <c r="T117" i="5"/>
  <c r="U117" i="5"/>
  <c r="S117" i="5"/>
  <c r="F117" i="5"/>
  <c r="E117" i="5"/>
  <c r="D117" i="5"/>
  <c r="I117" i="5"/>
  <c r="C117" i="5"/>
  <c r="B117" i="5"/>
  <c r="A117" i="5"/>
  <c r="L116" i="5"/>
  <c r="Q116" i="5" s="1"/>
  <c r="Z116" i="5"/>
  <c r="Y116" i="5"/>
  <c r="X116" i="5"/>
  <c r="K115" i="5"/>
  <c r="J115" i="5"/>
  <c r="Z115" i="5"/>
  <c r="Y115" i="5"/>
  <c r="X115" i="5"/>
  <c r="H115" i="5"/>
  <c r="W115" i="5" s="1"/>
  <c r="F115" i="5"/>
  <c r="V115" i="5"/>
  <c r="T115" i="5"/>
  <c r="U115" i="5"/>
  <c r="S115" i="5"/>
  <c r="E115" i="5"/>
  <c r="D115" i="5"/>
  <c r="C115" i="5"/>
  <c r="B115" i="5"/>
  <c r="A115" i="5"/>
  <c r="L114" i="5"/>
  <c r="G114" i="5"/>
  <c r="E114" i="5"/>
  <c r="J113" i="5"/>
  <c r="E113" i="5"/>
  <c r="J112" i="5"/>
  <c r="E112" i="5"/>
  <c r="K111" i="5"/>
  <c r="J111" i="5"/>
  <c r="H111" i="5"/>
  <c r="G111" i="5"/>
  <c r="F111" i="5"/>
  <c r="K110" i="5"/>
  <c r="J110" i="5"/>
  <c r="H110" i="5"/>
  <c r="G110" i="5"/>
  <c r="F110" i="5"/>
  <c r="K109" i="5"/>
  <c r="J109" i="5"/>
  <c r="H109" i="5"/>
  <c r="R109" i="5" s="1"/>
  <c r="G109" i="5"/>
  <c r="F109" i="5"/>
  <c r="C108" i="5"/>
  <c r="V107" i="5"/>
  <c r="T107" i="5"/>
  <c r="K112" i="5" s="1"/>
  <c r="U107" i="5"/>
  <c r="S107" i="5"/>
  <c r="F107" i="5"/>
  <c r="E107" i="5"/>
  <c r="D107" i="5"/>
  <c r="I107" i="5"/>
  <c r="C107" i="5"/>
  <c r="B107" i="5"/>
  <c r="A107" i="5"/>
  <c r="L106" i="5"/>
  <c r="Q106" i="5" s="1"/>
  <c r="Z106" i="5"/>
  <c r="Y106" i="5"/>
  <c r="X106" i="5"/>
  <c r="K105" i="5"/>
  <c r="J105" i="5"/>
  <c r="Z105" i="5"/>
  <c r="Y105" i="5"/>
  <c r="X105" i="5"/>
  <c r="H105" i="5"/>
  <c r="W105" i="5" s="1"/>
  <c r="F105" i="5"/>
  <c r="V105" i="5"/>
  <c r="T105" i="5"/>
  <c r="U105" i="5"/>
  <c r="S105" i="5"/>
  <c r="E105" i="5"/>
  <c r="D105" i="5"/>
  <c r="C105" i="5"/>
  <c r="B105" i="5"/>
  <c r="A105" i="5"/>
  <c r="K104" i="5"/>
  <c r="J104" i="5"/>
  <c r="Z104" i="5"/>
  <c r="Y104" i="5"/>
  <c r="X104" i="5"/>
  <c r="H104" i="5"/>
  <c r="W104" i="5" s="1"/>
  <c r="F104" i="5"/>
  <c r="V104" i="5"/>
  <c r="T104" i="5"/>
  <c r="U104" i="5"/>
  <c r="S104" i="5"/>
  <c r="E104" i="5"/>
  <c r="D104" i="5"/>
  <c r="C104" i="5"/>
  <c r="B104" i="5"/>
  <c r="A104" i="5"/>
  <c r="L103" i="5"/>
  <c r="G103" i="5"/>
  <c r="E103" i="5"/>
  <c r="J102" i="5"/>
  <c r="E102" i="5"/>
  <c r="J101" i="5"/>
  <c r="E101" i="5"/>
  <c r="K100" i="5"/>
  <c r="J100" i="5"/>
  <c r="H100" i="5"/>
  <c r="G100" i="5"/>
  <c r="F100" i="5"/>
  <c r="K99" i="5"/>
  <c r="J99" i="5"/>
  <c r="H99" i="5"/>
  <c r="R99" i="5" s="1"/>
  <c r="G99" i="5"/>
  <c r="F99" i="5"/>
  <c r="K98" i="5"/>
  <c r="J98" i="5"/>
  <c r="H98" i="5"/>
  <c r="G98" i="5"/>
  <c r="F98" i="5"/>
  <c r="K97" i="5"/>
  <c r="J97" i="5"/>
  <c r="H97" i="5"/>
  <c r="G97" i="5"/>
  <c r="F97" i="5"/>
  <c r="C96" i="5"/>
  <c r="V95" i="5"/>
  <c r="T95" i="5"/>
  <c r="K101" i="5" s="1"/>
  <c r="U95" i="5"/>
  <c r="S95" i="5"/>
  <c r="H101" i="5" s="1"/>
  <c r="F95" i="5"/>
  <c r="E95" i="5"/>
  <c r="D95" i="5"/>
  <c r="I95" i="5"/>
  <c r="C95" i="5"/>
  <c r="B95" i="5"/>
  <c r="A95" i="5"/>
  <c r="L94" i="5"/>
  <c r="Q94" i="5" s="1"/>
  <c r="Z94" i="5"/>
  <c r="Y94" i="5"/>
  <c r="X94" i="5"/>
  <c r="K93" i="5"/>
  <c r="J93" i="5"/>
  <c r="Z93" i="5"/>
  <c r="Y93" i="5"/>
  <c r="X93" i="5"/>
  <c r="H93" i="5"/>
  <c r="W93" i="5" s="1"/>
  <c r="F93" i="5"/>
  <c r="V93" i="5"/>
  <c r="T93" i="5"/>
  <c r="U93" i="5"/>
  <c r="S93" i="5"/>
  <c r="E93" i="5"/>
  <c r="D93" i="5"/>
  <c r="C93" i="5"/>
  <c r="B93" i="5"/>
  <c r="A93" i="5"/>
  <c r="L92" i="5"/>
  <c r="G92" i="5"/>
  <c r="E92" i="5"/>
  <c r="J91" i="5"/>
  <c r="E91" i="5"/>
  <c r="J90" i="5"/>
  <c r="E90" i="5"/>
  <c r="K89" i="5"/>
  <c r="J89" i="5"/>
  <c r="H89" i="5"/>
  <c r="G89" i="5"/>
  <c r="F89" i="5"/>
  <c r="K88" i="5"/>
  <c r="J88" i="5"/>
  <c r="H88" i="5"/>
  <c r="R88" i="5" s="1"/>
  <c r="G88" i="5"/>
  <c r="F88" i="5"/>
  <c r="K87" i="5"/>
  <c r="J87" i="5"/>
  <c r="H87" i="5"/>
  <c r="G87" i="5"/>
  <c r="F87" i="5"/>
  <c r="K86" i="5"/>
  <c r="J86" i="5"/>
  <c r="H86" i="5"/>
  <c r="R86" i="5" s="1"/>
  <c r="G86" i="5"/>
  <c r="F86" i="5"/>
  <c r="C85" i="5"/>
  <c r="V84" i="5"/>
  <c r="T84" i="5"/>
  <c r="U84" i="5"/>
  <c r="H91" i="5" s="1"/>
  <c r="S84" i="5"/>
  <c r="F84" i="5"/>
  <c r="E84" i="5"/>
  <c r="D84" i="5"/>
  <c r="I84" i="5"/>
  <c r="C84" i="5"/>
  <c r="B84" i="5"/>
  <c r="A84" i="5"/>
  <c r="L83" i="5"/>
  <c r="Q83" i="5" s="1"/>
  <c r="Z83" i="5"/>
  <c r="Y83" i="5"/>
  <c r="X83" i="5"/>
  <c r="K82" i="5"/>
  <c r="J82" i="5"/>
  <c r="Z82" i="5"/>
  <c r="Y82" i="5"/>
  <c r="X82" i="5"/>
  <c r="H82" i="5"/>
  <c r="W82" i="5" s="1"/>
  <c r="F82" i="5"/>
  <c r="V82" i="5"/>
  <c r="T82" i="5"/>
  <c r="U82" i="5"/>
  <c r="S82" i="5"/>
  <c r="E82" i="5"/>
  <c r="D82" i="5"/>
  <c r="C82" i="5"/>
  <c r="B82" i="5"/>
  <c r="A82" i="5"/>
  <c r="K81" i="5"/>
  <c r="J81" i="5"/>
  <c r="Z81" i="5"/>
  <c r="Y81" i="5"/>
  <c r="X81" i="5"/>
  <c r="H81" i="5"/>
  <c r="W81" i="5" s="1"/>
  <c r="F81" i="5"/>
  <c r="V81" i="5"/>
  <c r="T81" i="5"/>
  <c r="U81" i="5"/>
  <c r="S81" i="5"/>
  <c r="E81" i="5"/>
  <c r="D81" i="5"/>
  <c r="C81" i="5"/>
  <c r="B81" i="5"/>
  <c r="A81" i="5"/>
  <c r="K80" i="5"/>
  <c r="J80" i="5"/>
  <c r="Z80" i="5"/>
  <c r="Y80" i="5"/>
  <c r="X80" i="5"/>
  <c r="H80" i="5"/>
  <c r="W80" i="5" s="1"/>
  <c r="F80" i="5"/>
  <c r="V80" i="5"/>
  <c r="T80" i="5"/>
  <c r="U80" i="5"/>
  <c r="S80" i="5"/>
  <c r="E80" i="5"/>
  <c r="D80" i="5"/>
  <c r="C80" i="5"/>
  <c r="B80" i="5"/>
  <c r="A80" i="5"/>
  <c r="K79" i="5"/>
  <c r="J79" i="5"/>
  <c r="Z79" i="5"/>
  <c r="Y79" i="5"/>
  <c r="X79" i="5"/>
  <c r="H79" i="5"/>
  <c r="W79" i="5" s="1"/>
  <c r="F79" i="5"/>
  <c r="V79" i="5"/>
  <c r="T79" i="5"/>
  <c r="U79" i="5"/>
  <c r="S79" i="5"/>
  <c r="E79" i="5"/>
  <c r="D79" i="5"/>
  <c r="C79" i="5"/>
  <c r="B79" i="5"/>
  <c r="A79" i="5"/>
  <c r="K78" i="5"/>
  <c r="J78" i="5"/>
  <c r="Z78" i="5"/>
  <c r="Y78" i="5"/>
  <c r="X78" i="5"/>
  <c r="H78" i="5"/>
  <c r="W78" i="5" s="1"/>
  <c r="F78" i="5"/>
  <c r="V78" i="5"/>
  <c r="T78" i="5"/>
  <c r="U78" i="5"/>
  <c r="S78" i="5"/>
  <c r="E78" i="5"/>
  <c r="D78" i="5"/>
  <c r="C78" i="5"/>
  <c r="B78" i="5"/>
  <c r="A78" i="5"/>
  <c r="K77" i="5"/>
  <c r="J77" i="5"/>
  <c r="Z77" i="5"/>
  <c r="Y77" i="5"/>
  <c r="X77" i="5"/>
  <c r="H77" i="5"/>
  <c r="W77" i="5" s="1"/>
  <c r="F77" i="5"/>
  <c r="V77" i="5"/>
  <c r="T77" i="5"/>
  <c r="U77" i="5"/>
  <c r="S77" i="5"/>
  <c r="E77" i="5"/>
  <c r="D77" i="5"/>
  <c r="C77" i="5"/>
  <c r="B77" i="5"/>
  <c r="A77" i="5"/>
  <c r="L76" i="5"/>
  <c r="G76" i="5"/>
  <c r="E76" i="5"/>
  <c r="J75" i="5"/>
  <c r="F75" i="5"/>
  <c r="E75" i="5"/>
  <c r="J74" i="5"/>
  <c r="F74" i="5"/>
  <c r="E74" i="5"/>
  <c r="K73" i="5"/>
  <c r="J73" i="5"/>
  <c r="H73" i="5"/>
  <c r="G73" i="5"/>
  <c r="F73" i="5"/>
  <c r="K72" i="5"/>
  <c r="J72" i="5"/>
  <c r="H72" i="5"/>
  <c r="R72" i="5" s="1"/>
  <c r="G72" i="5"/>
  <c r="F72" i="5"/>
  <c r="K71" i="5"/>
  <c r="J71" i="5"/>
  <c r="H71" i="5"/>
  <c r="G71" i="5"/>
  <c r="F71" i="5"/>
  <c r="K70" i="5"/>
  <c r="J70" i="5"/>
  <c r="H70" i="5"/>
  <c r="R70" i="5" s="1"/>
  <c r="G70" i="5"/>
  <c r="F70" i="5"/>
  <c r="C69" i="5"/>
  <c r="V68" i="5"/>
  <c r="T68" i="5"/>
  <c r="K74" i="5" s="1"/>
  <c r="U68" i="5"/>
  <c r="S68" i="5"/>
  <c r="H74" i="5" s="1"/>
  <c r="F68" i="5"/>
  <c r="E68" i="5"/>
  <c r="D68" i="5"/>
  <c r="I68" i="5"/>
  <c r="C68" i="5"/>
  <c r="B68" i="5"/>
  <c r="A68" i="5"/>
  <c r="L67" i="5"/>
  <c r="Q67" i="5" s="1"/>
  <c r="Z67" i="5"/>
  <c r="Y67" i="5"/>
  <c r="X67" i="5"/>
  <c r="K66" i="5"/>
  <c r="J66" i="5"/>
  <c r="Z66" i="5"/>
  <c r="Y66" i="5"/>
  <c r="X66" i="5"/>
  <c r="H66" i="5"/>
  <c r="W66" i="5" s="1"/>
  <c r="F66" i="5"/>
  <c r="V66" i="5"/>
  <c r="T66" i="5"/>
  <c r="U66" i="5"/>
  <c r="S66" i="5"/>
  <c r="E66" i="5"/>
  <c r="D66" i="5"/>
  <c r="C66" i="5"/>
  <c r="B66" i="5"/>
  <c r="A66" i="5"/>
  <c r="K65" i="5"/>
  <c r="J65" i="5"/>
  <c r="Z65" i="5"/>
  <c r="Y65" i="5"/>
  <c r="X65" i="5"/>
  <c r="H65" i="5"/>
  <c r="W65" i="5" s="1"/>
  <c r="F65" i="5"/>
  <c r="V65" i="5"/>
  <c r="T65" i="5"/>
  <c r="U65" i="5"/>
  <c r="S65" i="5"/>
  <c r="E65" i="5"/>
  <c r="D65" i="5"/>
  <c r="C65" i="5"/>
  <c r="B65" i="5"/>
  <c r="A65" i="5"/>
  <c r="K64" i="5"/>
  <c r="J64" i="5"/>
  <c r="Z64" i="5"/>
  <c r="Y64" i="5"/>
  <c r="X64" i="5"/>
  <c r="H64" i="5"/>
  <c r="W64" i="5" s="1"/>
  <c r="F64" i="5"/>
  <c r="V64" i="5"/>
  <c r="T64" i="5"/>
  <c r="U64" i="5"/>
  <c r="S64" i="5"/>
  <c r="E64" i="5"/>
  <c r="D64" i="5"/>
  <c r="C64" i="5"/>
  <c r="B64" i="5"/>
  <c r="A64" i="5"/>
  <c r="K63" i="5"/>
  <c r="J63" i="5"/>
  <c r="Z63" i="5"/>
  <c r="Y63" i="5"/>
  <c r="X63" i="5"/>
  <c r="H63" i="5"/>
  <c r="W63" i="5" s="1"/>
  <c r="F63" i="5"/>
  <c r="V63" i="5"/>
  <c r="T63" i="5"/>
  <c r="U63" i="5"/>
  <c r="S63" i="5"/>
  <c r="E63" i="5"/>
  <c r="D63" i="5"/>
  <c r="C63" i="5"/>
  <c r="B63" i="5"/>
  <c r="A63" i="5"/>
  <c r="L62" i="5"/>
  <c r="G62" i="5"/>
  <c r="E62" i="5"/>
  <c r="J61" i="5"/>
  <c r="E61" i="5"/>
  <c r="J60" i="5"/>
  <c r="E60" i="5"/>
  <c r="K59" i="5"/>
  <c r="J59" i="5"/>
  <c r="H59" i="5"/>
  <c r="G59" i="5"/>
  <c r="F59" i="5"/>
  <c r="K58" i="5"/>
  <c r="J58" i="5"/>
  <c r="H58" i="5"/>
  <c r="R58" i="5" s="1"/>
  <c r="G58" i="5"/>
  <c r="F58" i="5"/>
  <c r="K57" i="5"/>
  <c r="J57" i="5"/>
  <c r="H57" i="5"/>
  <c r="G57" i="5"/>
  <c r="F57" i="5"/>
  <c r="K56" i="5"/>
  <c r="J56" i="5"/>
  <c r="H56" i="5"/>
  <c r="R56" i="5" s="1"/>
  <c r="G56" i="5"/>
  <c r="F56" i="5"/>
  <c r="C55" i="5"/>
  <c r="V54" i="5"/>
  <c r="T54" i="5"/>
  <c r="U54" i="5"/>
  <c r="S54" i="5"/>
  <c r="F54" i="5"/>
  <c r="E54" i="5"/>
  <c r="D54" i="5"/>
  <c r="I54" i="5"/>
  <c r="C54" i="5"/>
  <c r="B54" i="5"/>
  <c r="A54" i="5"/>
  <c r="L53" i="5"/>
  <c r="Q53" i="5" s="1"/>
  <c r="Z53" i="5"/>
  <c r="Y53" i="5"/>
  <c r="X53" i="5"/>
  <c r="K52" i="5"/>
  <c r="J52" i="5"/>
  <c r="Z52" i="5"/>
  <c r="Y52" i="5"/>
  <c r="X52" i="5"/>
  <c r="H52" i="5"/>
  <c r="W52" i="5" s="1"/>
  <c r="F52" i="5"/>
  <c r="V52" i="5"/>
  <c r="T52" i="5"/>
  <c r="U52" i="5"/>
  <c r="S52" i="5"/>
  <c r="E52" i="5"/>
  <c r="D52" i="5"/>
  <c r="C52" i="5"/>
  <c r="B52" i="5"/>
  <c r="A52" i="5"/>
  <c r="L51" i="5"/>
  <c r="G51" i="5"/>
  <c r="E51" i="5"/>
  <c r="J50" i="5"/>
  <c r="F50" i="5"/>
  <c r="E50" i="5"/>
  <c r="J49" i="5"/>
  <c r="F49" i="5"/>
  <c r="E49" i="5"/>
  <c r="K48" i="5"/>
  <c r="J48" i="5"/>
  <c r="H48" i="5"/>
  <c r="G48" i="5"/>
  <c r="F48" i="5"/>
  <c r="K47" i="5"/>
  <c r="J47" i="5"/>
  <c r="H47" i="5"/>
  <c r="R47" i="5" s="1"/>
  <c r="G47" i="5"/>
  <c r="F47" i="5"/>
  <c r="K46" i="5"/>
  <c r="J46" i="5"/>
  <c r="H46" i="5"/>
  <c r="G46" i="5"/>
  <c r="F46" i="5"/>
  <c r="K45" i="5"/>
  <c r="J45" i="5"/>
  <c r="H45" i="5"/>
  <c r="R45" i="5" s="1"/>
  <c r="G45" i="5"/>
  <c r="F45" i="5"/>
  <c r="C44" i="5"/>
  <c r="V43" i="5"/>
  <c r="T43" i="5"/>
  <c r="K49" i="5" s="1"/>
  <c r="U43" i="5"/>
  <c r="S43" i="5"/>
  <c r="F43" i="5"/>
  <c r="E43" i="5"/>
  <c r="D43" i="5"/>
  <c r="I43" i="5"/>
  <c r="C43" i="5"/>
  <c r="B43" i="5"/>
  <c r="A43" i="5"/>
  <c r="L42" i="5"/>
  <c r="Q42" i="5" s="1"/>
  <c r="Z42" i="5"/>
  <c r="Y42" i="5"/>
  <c r="X42" i="5"/>
  <c r="K41" i="5"/>
  <c r="J41" i="5"/>
  <c r="Z41" i="5"/>
  <c r="Y41" i="5"/>
  <c r="X41" i="5"/>
  <c r="H41" i="5"/>
  <c r="W41" i="5" s="1"/>
  <c r="F41" i="5"/>
  <c r="V41" i="5"/>
  <c r="T41" i="5"/>
  <c r="U41" i="5"/>
  <c r="S41" i="5"/>
  <c r="E41" i="5"/>
  <c r="D41" i="5"/>
  <c r="C41" i="5"/>
  <c r="B41" i="5"/>
  <c r="A41" i="5"/>
  <c r="K40" i="5"/>
  <c r="J40" i="5"/>
  <c r="Z40" i="5"/>
  <c r="Y40" i="5"/>
  <c r="X40" i="5"/>
  <c r="H40" i="5"/>
  <c r="W40" i="5" s="1"/>
  <c r="F40" i="5"/>
  <c r="V40" i="5"/>
  <c r="T40" i="5"/>
  <c r="U40" i="5"/>
  <c r="S40" i="5"/>
  <c r="E40" i="5"/>
  <c r="D40" i="5"/>
  <c r="C40" i="5"/>
  <c r="B40" i="5"/>
  <c r="A40" i="5"/>
  <c r="L39" i="5"/>
  <c r="G39" i="5"/>
  <c r="E39" i="5"/>
  <c r="J38" i="5"/>
  <c r="F38" i="5"/>
  <c r="E38" i="5"/>
  <c r="J37" i="5"/>
  <c r="F37" i="5"/>
  <c r="E37" i="5"/>
  <c r="K36" i="5"/>
  <c r="J36" i="5"/>
  <c r="H36" i="5"/>
  <c r="G36" i="5"/>
  <c r="F36" i="5"/>
  <c r="K35" i="5"/>
  <c r="J35" i="5"/>
  <c r="H35" i="5"/>
  <c r="R35" i="5" s="1"/>
  <c r="G35" i="5"/>
  <c r="F35" i="5"/>
  <c r="K34" i="5"/>
  <c r="J34" i="5"/>
  <c r="H34" i="5"/>
  <c r="G34" i="5"/>
  <c r="F34" i="5"/>
  <c r="K33" i="5"/>
  <c r="J33" i="5"/>
  <c r="H33" i="5"/>
  <c r="R33" i="5" s="1"/>
  <c r="G33" i="5"/>
  <c r="F33" i="5"/>
  <c r="C32" i="5"/>
  <c r="V31" i="5"/>
  <c r="T31" i="5"/>
  <c r="U31" i="5"/>
  <c r="H38" i="5" s="1"/>
  <c r="S31" i="5"/>
  <c r="H37" i="5" s="1"/>
  <c r="F31" i="5"/>
  <c r="E31" i="5"/>
  <c r="D31" i="5"/>
  <c r="I31" i="5"/>
  <c r="C31" i="5"/>
  <c r="B31" i="5"/>
  <c r="A31" i="5"/>
  <c r="L30" i="5"/>
  <c r="Q30" i="5" s="1"/>
  <c r="Z30" i="5"/>
  <c r="Y30" i="5"/>
  <c r="X30" i="5"/>
  <c r="G13" i="5" s="1"/>
  <c r="L29" i="5"/>
  <c r="G29" i="5"/>
  <c r="E29" i="5"/>
  <c r="J28" i="5"/>
  <c r="F28" i="5"/>
  <c r="E28" i="5"/>
  <c r="J27" i="5"/>
  <c r="F27" i="5"/>
  <c r="E27" i="5"/>
  <c r="K26" i="5"/>
  <c r="J26" i="5"/>
  <c r="H26" i="5"/>
  <c r="R26" i="5" s="1"/>
  <c r="G26" i="5"/>
  <c r="F26" i="5"/>
  <c r="K25" i="5"/>
  <c r="J25" i="5"/>
  <c r="H25" i="5"/>
  <c r="G25" i="5"/>
  <c r="F25" i="5"/>
  <c r="K24" i="5"/>
  <c r="J24" i="5"/>
  <c r="H24" i="5"/>
  <c r="R24" i="5" s="1"/>
  <c r="G24" i="5"/>
  <c r="F24" i="5"/>
  <c r="C23" i="5"/>
  <c r="V22" i="5"/>
  <c r="K28" i="5" s="1"/>
  <c r="T22" i="5"/>
  <c r="K27" i="5" s="1"/>
  <c r="U22" i="5"/>
  <c r="H28" i="5" s="1"/>
  <c r="S22" i="5"/>
  <c r="H27" i="5" s="1"/>
  <c r="F22" i="5"/>
  <c r="E22" i="5"/>
  <c r="D22" i="5"/>
  <c r="I22" i="5"/>
  <c r="C22" i="5"/>
  <c r="B22" i="5"/>
  <c r="A22" i="5"/>
  <c r="B4" i="5"/>
  <c r="A1" i="5"/>
  <c r="L134" i="5" l="1"/>
  <c r="H50" i="5"/>
  <c r="H60" i="5"/>
  <c r="W130" i="5"/>
  <c r="G14" i="5"/>
  <c r="K50" i="5"/>
  <c r="J53" i="5" s="1"/>
  <c r="P53" i="5" s="1"/>
  <c r="H75" i="5"/>
  <c r="G83" i="5" s="1"/>
  <c r="O83" i="5" s="1"/>
  <c r="H90" i="5"/>
  <c r="W94" i="5" s="1"/>
  <c r="K91" i="5"/>
  <c r="H102" i="5"/>
  <c r="K38" i="5"/>
  <c r="K75" i="5"/>
  <c r="K90" i="5"/>
  <c r="J94" i="5" s="1"/>
  <c r="P94" i="5" s="1"/>
  <c r="K61" i="5"/>
  <c r="K102" i="5"/>
  <c r="J106" i="5" s="1"/>
  <c r="P106" i="5" s="1"/>
  <c r="H113" i="5"/>
  <c r="H112" i="5"/>
  <c r="H124" i="5"/>
  <c r="H123" i="5"/>
  <c r="H61" i="5"/>
  <c r="K123" i="5"/>
  <c r="J128" i="5" s="1"/>
  <c r="P128" i="5" s="1"/>
  <c r="H49" i="5"/>
  <c r="G15" i="5"/>
  <c r="K37" i="5"/>
  <c r="K60" i="5"/>
  <c r="J67" i="5" s="1"/>
  <c r="P67" i="5" s="1"/>
  <c r="K113" i="5"/>
  <c r="G53" i="5"/>
  <c r="O53" i="5" s="1"/>
  <c r="J83" i="5"/>
  <c r="P83" i="5" s="1"/>
  <c r="G30" i="5"/>
  <c r="O30" i="5" s="1"/>
  <c r="J30" i="5"/>
  <c r="P30" i="5" s="1"/>
  <c r="G42" i="5"/>
  <c r="O42" i="5" s="1"/>
  <c r="G106" i="5"/>
  <c r="O106" i="5" s="1"/>
  <c r="J116" i="5"/>
  <c r="P116" i="5" s="1"/>
  <c r="W42" i="5"/>
  <c r="G94" i="5"/>
  <c r="O94" i="5" s="1"/>
  <c r="R119" i="5"/>
  <c r="W132" i="5"/>
  <c r="W30" i="5"/>
  <c r="R97" i="5"/>
  <c r="W106" i="5"/>
  <c r="W53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R24" i="1"/>
  <c r="GK24" i="1" s="1"/>
  <c r="AC24" i="1"/>
  <c r="CQ24" i="1" s="1"/>
  <c r="P24" i="1" s="1"/>
  <c r="CP24" i="1" s="1"/>
  <c r="O24" i="1" s="1"/>
  <c r="AE24" i="1"/>
  <c r="AD24" i="1" s="1"/>
  <c r="AF24" i="1"/>
  <c r="AG24" i="1"/>
  <c r="CU24" i="1" s="1"/>
  <c r="T24" i="1" s="1"/>
  <c r="AH24" i="1"/>
  <c r="AI24" i="1"/>
  <c r="AJ24" i="1"/>
  <c r="CX24" i="1" s="1"/>
  <c r="W24" i="1" s="1"/>
  <c r="CR24" i="1"/>
  <c r="Q24" i="1" s="1"/>
  <c r="CS24" i="1"/>
  <c r="CT24" i="1"/>
  <c r="S24" i="1" s="1"/>
  <c r="CY24" i="1" s="1"/>
  <c r="X24" i="1" s="1"/>
  <c r="CV24" i="1"/>
  <c r="U24" i="1" s="1"/>
  <c r="CW24" i="1"/>
  <c r="V24" i="1" s="1"/>
  <c r="CZ24" i="1"/>
  <c r="Y24" i="1" s="1"/>
  <c r="FR24" i="1"/>
  <c r="GL24" i="1"/>
  <c r="GO24" i="1"/>
  <c r="GP24" i="1"/>
  <c r="GV24" i="1"/>
  <c r="GX24" i="1" s="1"/>
  <c r="C25" i="1"/>
  <c r="D25" i="1"/>
  <c r="I25" i="1"/>
  <c r="GX25" i="1" s="1"/>
  <c r="S25" i="1"/>
  <c r="AC25" i="1"/>
  <c r="AB25" i="1" s="1"/>
  <c r="AD25" i="1"/>
  <c r="CR25" i="1" s="1"/>
  <c r="AE25" i="1"/>
  <c r="AF25" i="1"/>
  <c r="AG25" i="1"/>
  <c r="AH25" i="1"/>
  <c r="CV25" i="1" s="1"/>
  <c r="AI25" i="1"/>
  <c r="AJ25" i="1"/>
  <c r="CS25" i="1"/>
  <c r="R25" i="1" s="1"/>
  <c r="GK25" i="1" s="1"/>
  <c r="CT25" i="1"/>
  <c r="CU25" i="1"/>
  <c r="T25" i="1" s="1"/>
  <c r="CW25" i="1"/>
  <c r="CX25" i="1"/>
  <c r="W25" i="1" s="1"/>
  <c r="FR25" i="1"/>
  <c r="GL25" i="1"/>
  <c r="GO25" i="1"/>
  <c r="GP25" i="1"/>
  <c r="GV25" i="1"/>
  <c r="C26" i="1"/>
  <c r="D26" i="1"/>
  <c r="I26" i="1"/>
  <c r="S26" i="1"/>
  <c r="CY26" i="1" s="1"/>
  <c r="X26" i="1" s="1"/>
  <c r="U26" i="1"/>
  <c r="AC26" i="1"/>
  <c r="CQ26" i="1" s="1"/>
  <c r="P26" i="1" s="1"/>
  <c r="AE26" i="1"/>
  <c r="CS26" i="1" s="1"/>
  <c r="R26" i="1" s="1"/>
  <c r="AF26" i="1"/>
  <c r="AG26" i="1"/>
  <c r="AH26" i="1"/>
  <c r="AI26" i="1"/>
  <c r="CW26" i="1" s="1"/>
  <c r="V26" i="1" s="1"/>
  <c r="AJ26" i="1"/>
  <c r="CT26" i="1"/>
  <c r="CU26" i="1"/>
  <c r="T26" i="1" s="1"/>
  <c r="CV26" i="1"/>
  <c r="CX26" i="1"/>
  <c r="W26" i="1" s="1"/>
  <c r="FR26" i="1"/>
  <c r="GK26" i="1"/>
  <c r="GL26" i="1"/>
  <c r="GO26" i="1"/>
  <c r="GP26" i="1"/>
  <c r="GV26" i="1"/>
  <c r="GX26" i="1" s="1"/>
  <c r="C27" i="1"/>
  <c r="D27" i="1"/>
  <c r="I27" i="1"/>
  <c r="T27" i="1"/>
  <c r="AC27" i="1"/>
  <c r="AE27" i="1"/>
  <c r="AD27" i="1" s="1"/>
  <c r="AF27" i="1"/>
  <c r="CT27" i="1" s="1"/>
  <c r="AG27" i="1"/>
  <c r="AH27" i="1"/>
  <c r="AI27" i="1"/>
  <c r="CW27" i="1" s="1"/>
  <c r="V27" i="1" s="1"/>
  <c r="AJ27" i="1"/>
  <c r="CX27" i="1" s="1"/>
  <c r="CQ27" i="1"/>
  <c r="P27" i="1" s="1"/>
  <c r="CS27" i="1"/>
  <c r="R27" i="1" s="1"/>
  <c r="GK27" i="1" s="1"/>
  <c r="CU27" i="1"/>
  <c r="CV27" i="1"/>
  <c r="U27" i="1" s="1"/>
  <c r="FR27" i="1"/>
  <c r="GL27" i="1"/>
  <c r="GO27" i="1"/>
  <c r="GP27" i="1"/>
  <c r="GV27" i="1"/>
  <c r="GX27" i="1" s="1"/>
  <c r="I28" i="1"/>
  <c r="S28" i="1"/>
  <c r="CY28" i="1" s="1"/>
  <c r="X28" i="1" s="1"/>
  <c r="U28" i="1"/>
  <c r="AC28" i="1"/>
  <c r="CQ28" i="1" s="1"/>
  <c r="P28" i="1" s="1"/>
  <c r="AE28" i="1"/>
  <c r="CS28" i="1" s="1"/>
  <c r="R28" i="1" s="1"/>
  <c r="AF28" i="1"/>
  <c r="AG28" i="1"/>
  <c r="AH28" i="1"/>
  <c r="AI28" i="1"/>
  <c r="CW28" i="1" s="1"/>
  <c r="V28" i="1" s="1"/>
  <c r="AJ28" i="1"/>
  <c r="CT28" i="1"/>
  <c r="CU28" i="1"/>
  <c r="T28" i="1" s="1"/>
  <c r="CV28" i="1"/>
  <c r="CX28" i="1"/>
  <c r="W28" i="1" s="1"/>
  <c r="CZ28" i="1"/>
  <c r="Y28" i="1" s="1"/>
  <c r="FR28" i="1"/>
  <c r="GK28" i="1"/>
  <c r="GL28" i="1"/>
  <c r="GO28" i="1"/>
  <c r="GP28" i="1"/>
  <c r="GV28" i="1"/>
  <c r="GX28" i="1" s="1"/>
  <c r="I29" i="1"/>
  <c r="GX29" i="1" s="1"/>
  <c r="S29" i="1"/>
  <c r="CY29" i="1" s="1"/>
  <c r="X29" i="1" s="1"/>
  <c r="AC29" i="1"/>
  <c r="AB29" i="1" s="1"/>
  <c r="AD29" i="1"/>
  <c r="CR29" i="1" s="1"/>
  <c r="AE29" i="1"/>
  <c r="AF29" i="1"/>
  <c r="AG29" i="1"/>
  <c r="AH29" i="1"/>
  <c r="CV29" i="1" s="1"/>
  <c r="AI29" i="1"/>
  <c r="AJ29" i="1"/>
  <c r="CS29" i="1"/>
  <c r="R29" i="1" s="1"/>
  <c r="GK29" i="1" s="1"/>
  <c r="CT29" i="1"/>
  <c r="CU29" i="1"/>
  <c r="T29" i="1" s="1"/>
  <c r="CW29" i="1"/>
  <c r="CX29" i="1"/>
  <c r="W29" i="1" s="1"/>
  <c r="FR29" i="1"/>
  <c r="GL29" i="1"/>
  <c r="GO29" i="1"/>
  <c r="GP29" i="1"/>
  <c r="GV29" i="1"/>
  <c r="I30" i="1"/>
  <c r="Q30" i="1"/>
  <c r="AC30" i="1"/>
  <c r="AE30" i="1"/>
  <c r="AD30" i="1" s="1"/>
  <c r="AF30" i="1"/>
  <c r="AG30" i="1"/>
  <c r="CU30" i="1" s="1"/>
  <c r="AH30" i="1"/>
  <c r="AI30" i="1"/>
  <c r="AJ30" i="1"/>
  <c r="CX30" i="1" s="1"/>
  <c r="W30" i="1" s="1"/>
  <c r="CR30" i="1"/>
  <c r="CS30" i="1"/>
  <c r="R30" i="1" s="1"/>
  <c r="GK30" i="1" s="1"/>
  <c r="CT30" i="1"/>
  <c r="S30" i="1" s="1"/>
  <c r="CV30" i="1"/>
  <c r="U30" i="1" s="1"/>
  <c r="CW30" i="1"/>
  <c r="V30" i="1" s="1"/>
  <c r="FR30" i="1"/>
  <c r="GL30" i="1"/>
  <c r="GO30" i="1"/>
  <c r="GP30" i="1"/>
  <c r="GV30" i="1"/>
  <c r="GX30" i="1" s="1"/>
  <c r="I31" i="1"/>
  <c r="T31" i="1" s="1"/>
  <c r="AC31" i="1"/>
  <c r="AE31" i="1"/>
  <c r="AD31" i="1" s="1"/>
  <c r="AF31" i="1"/>
  <c r="CT31" i="1" s="1"/>
  <c r="AG31" i="1"/>
  <c r="AH31" i="1"/>
  <c r="AI31" i="1"/>
  <c r="CW31" i="1" s="1"/>
  <c r="V31" i="1" s="1"/>
  <c r="AJ31" i="1"/>
  <c r="CX31" i="1" s="1"/>
  <c r="CQ31" i="1"/>
  <c r="CU31" i="1"/>
  <c r="CV31" i="1"/>
  <c r="FR31" i="1"/>
  <c r="GL31" i="1"/>
  <c r="GO31" i="1"/>
  <c r="GP31" i="1"/>
  <c r="GV31" i="1"/>
  <c r="GX31" i="1" s="1"/>
  <c r="C32" i="1"/>
  <c r="D32" i="1"/>
  <c r="I32" i="1"/>
  <c r="AC32" i="1"/>
  <c r="CQ32" i="1" s="1"/>
  <c r="P32" i="1" s="1"/>
  <c r="AE32" i="1"/>
  <c r="AD32" i="1" s="1"/>
  <c r="AF32" i="1"/>
  <c r="CT32" i="1" s="1"/>
  <c r="S32" i="1" s="1"/>
  <c r="AG32" i="1"/>
  <c r="CU32" i="1" s="1"/>
  <c r="AH32" i="1"/>
  <c r="AI32" i="1"/>
  <c r="AJ32" i="1"/>
  <c r="CX32" i="1" s="1"/>
  <c r="W32" i="1" s="1"/>
  <c r="CR32" i="1"/>
  <c r="Q32" i="1" s="1"/>
  <c r="CS32" i="1"/>
  <c r="R32" i="1" s="1"/>
  <c r="CV32" i="1"/>
  <c r="U32" i="1" s="1"/>
  <c r="CW32" i="1"/>
  <c r="V32" i="1" s="1"/>
  <c r="FR32" i="1"/>
  <c r="GK32" i="1"/>
  <c r="GL32" i="1"/>
  <c r="GO32" i="1"/>
  <c r="GP32" i="1"/>
  <c r="GV32" i="1"/>
  <c r="GX32" i="1" s="1"/>
  <c r="C33" i="1"/>
  <c r="D33" i="1"/>
  <c r="I33" i="1"/>
  <c r="S33" i="1" s="1"/>
  <c r="AC33" i="1"/>
  <c r="AD33" i="1"/>
  <c r="CR33" i="1" s="1"/>
  <c r="AE33" i="1"/>
  <c r="AF33" i="1"/>
  <c r="AG33" i="1"/>
  <c r="AH33" i="1"/>
  <c r="CV33" i="1" s="1"/>
  <c r="AI33" i="1"/>
  <c r="AJ33" i="1"/>
  <c r="CS33" i="1"/>
  <c r="CT33" i="1"/>
  <c r="CU33" i="1"/>
  <c r="T33" i="1" s="1"/>
  <c r="CW33" i="1"/>
  <c r="CX33" i="1"/>
  <c r="FR33" i="1"/>
  <c r="GL33" i="1"/>
  <c r="GO33" i="1"/>
  <c r="GP33" i="1"/>
  <c r="GV33" i="1"/>
  <c r="I34" i="1"/>
  <c r="AC34" i="1"/>
  <c r="AE34" i="1"/>
  <c r="AD34" i="1" s="1"/>
  <c r="AF34" i="1"/>
  <c r="CT34" i="1" s="1"/>
  <c r="AG34" i="1"/>
  <c r="AH34" i="1"/>
  <c r="AI34" i="1"/>
  <c r="CW34" i="1" s="1"/>
  <c r="V34" i="1" s="1"/>
  <c r="AJ34" i="1"/>
  <c r="CX34" i="1" s="1"/>
  <c r="CQ34" i="1"/>
  <c r="P34" i="1" s="1"/>
  <c r="CS34" i="1"/>
  <c r="R34" i="1" s="1"/>
  <c r="GK34" i="1" s="1"/>
  <c r="CU34" i="1"/>
  <c r="T34" i="1" s="1"/>
  <c r="CV34" i="1"/>
  <c r="U34" i="1" s="1"/>
  <c r="FR34" i="1"/>
  <c r="GL34" i="1"/>
  <c r="GO34" i="1"/>
  <c r="GP34" i="1"/>
  <c r="GV34" i="1"/>
  <c r="GX34" i="1" s="1"/>
  <c r="AC35" i="1"/>
  <c r="AD35" i="1"/>
  <c r="CR35" i="1" s="1"/>
  <c r="AE35" i="1"/>
  <c r="CS35" i="1" s="1"/>
  <c r="AF35" i="1"/>
  <c r="AG35" i="1"/>
  <c r="AH35" i="1"/>
  <c r="AI35" i="1"/>
  <c r="CW35" i="1" s="1"/>
  <c r="AJ35" i="1"/>
  <c r="CQ35" i="1"/>
  <c r="CT35" i="1"/>
  <c r="CU35" i="1"/>
  <c r="CV35" i="1"/>
  <c r="CX35" i="1"/>
  <c r="FR35" i="1"/>
  <c r="GL35" i="1"/>
  <c r="GO35" i="1"/>
  <c r="GP35" i="1"/>
  <c r="GV35" i="1"/>
  <c r="C36" i="1"/>
  <c r="D36" i="1"/>
  <c r="I36" i="1"/>
  <c r="P36" i="1"/>
  <c r="R36" i="1"/>
  <c r="GK36" i="1" s="1"/>
  <c r="AC36" i="1"/>
  <c r="AD36" i="1"/>
  <c r="AE36" i="1"/>
  <c r="AF36" i="1"/>
  <c r="CT36" i="1" s="1"/>
  <c r="S36" i="1" s="1"/>
  <c r="CY36" i="1" s="1"/>
  <c r="X36" i="1" s="1"/>
  <c r="AG36" i="1"/>
  <c r="AH36" i="1"/>
  <c r="CV36" i="1" s="1"/>
  <c r="U36" i="1" s="1"/>
  <c r="AI36" i="1"/>
  <c r="AJ36" i="1"/>
  <c r="CX36" i="1" s="1"/>
  <c r="W36" i="1" s="1"/>
  <c r="CQ36" i="1"/>
  <c r="CR36" i="1"/>
  <c r="Q36" i="1" s="1"/>
  <c r="CS36" i="1"/>
  <c r="CU36" i="1"/>
  <c r="T36" i="1" s="1"/>
  <c r="CW36" i="1"/>
  <c r="V36" i="1" s="1"/>
  <c r="CZ36" i="1"/>
  <c r="Y36" i="1" s="1"/>
  <c r="FR36" i="1"/>
  <c r="GL36" i="1"/>
  <c r="GO36" i="1"/>
  <c r="GP36" i="1"/>
  <c r="GV36" i="1"/>
  <c r="GX36" i="1"/>
  <c r="C37" i="1"/>
  <c r="D37" i="1"/>
  <c r="I37" i="1"/>
  <c r="AB37" i="1"/>
  <c r="AC37" i="1"/>
  <c r="CQ37" i="1" s="1"/>
  <c r="P37" i="1" s="1"/>
  <c r="AE37" i="1"/>
  <c r="AD37" i="1" s="1"/>
  <c r="CR37" i="1" s="1"/>
  <c r="Q37" i="1" s="1"/>
  <c r="CP37" i="1" s="1"/>
  <c r="O37" i="1" s="1"/>
  <c r="AF37" i="1"/>
  <c r="AG37" i="1"/>
  <c r="CU37" i="1" s="1"/>
  <c r="T37" i="1" s="1"/>
  <c r="AH37" i="1"/>
  <c r="AI37" i="1"/>
  <c r="CW37" i="1" s="1"/>
  <c r="V37" i="1" s="1"/>
  <c r="AJ37" i="1"/>
  <c r="CS37" i="1"/>
  <c r="R37" i="1" s="1"/>
  <c r="GK37" i="1" s="1"/>
  <c r="CT37" i="1"/>
  <c r="S37" i="1" s="1"/>
  <c r="CV37" i="1"/>
  <c r="U37" i="1" s="1"/>
  <c r="CX37" i="1"/>
  <c r="W37" i="1" s="1"/>
  <c r="FR37" i="1"/>
  <c r="GL37" i="1"/>
  <c r="GO37" i="1"/>
  <c r="GP37" i="1"/>
  <c r="GV37" i="1"/>
  <c r="GX37" i="1"/>
  <c r="I38" i="1"/>
  <c r="P38" i="1"/>
  <c r="R38" i="1"/>
  <c r="GK38" i="1" s="1"/>
  <c r="AC38" i="1"/>
  <c r="AD38" i="1"/>
  <c r="AB38" i="1" s="1"/>
  <c r="AE38" i="1"/>
  <c r="AF38" i="1"/>
  <c r="CT38" i="1" s="1"/>
  <c r="S38" i="1" s="1"/>
  <c r="CY38" i="1" s="1"/>
  <c r="X38" i="1" s="1"/>
  <c r="AG38" i="1"/>
  <c r="AH38" i="1"/>
  <c r="CV38" i="1" s="1"/>
  <c r="U38" i="1" s="1"/>
  <c r="AI38" i="1"/>
  <c r="AJ38" i="1"/>
  <c r="CX38" i="1" s="1"/>
  <c r="W38" i="1" s="1"/>
  <c r="CQ38" i="1"/>
  <c r="CR38" i="1"/>
  <c r="Q38" i="1" s="1"/>
  <c r="CS38" i="1"/>
  <c r="CU38" i="1"/>
  <c r="T38" i="1" s="1"/>
  <c r="CW38" i="1"/>
  <c r="V38" i="1" s="1"/>
  <c r="FR38" i="1"/>
  <c r="GL38" i="1"/>
  <c r="GO38" i="1"/>
  <c r="GP38" i="1"/>
  <c r="GV38" i="1"/>
  <c r="GX38" i="1"/>
  <c r="AC39" i="1"/>
  <c r="CQ39" i="1" s="1"/>
  <c r="AE39" i="1"/>
  <c r="CS39" i="1" s="1"/>
  <c r="AF39" i="1"/>
  <c r="AG39" i="1"/>
  <c r="AH39" i="1"/>
  <c r="AI39" i="1"/>
  <c r="CW39" i="1" s="1"/>
  <c r="AJ39" i="1"/>
  <c r="CT39" i="1"/>
  <c r="CU39" i="1"/>
  <c r="CV39" i="1"/>
  <c r="CX39" i="1"/>
  <c r="FR39" i="1"/>
  <c r="GL39" i="1"/>
  <c r="GO39" i="1"/>
  <c r="GP39" i="1"/>
  <c r="GV39" i="1"/>
  <c r="I40" i="1"/>
  <c r="GX40" i="1" s="1"/>
  <c r="S40" i="1"/>
  <c r="AC40" i="1"/>
  <c r="AB40" i="1" s="1"/>
  <c r="AD40" i="1"/>
  <c r="CR40" i="1" s="1"/>
  <c r="AE40" i="1"/>
  <c r="AF40" i="1"/>
  <c r="AG40" i="1"/>
  <c r="AH40" i="1"/>
  <c r="CV40" i="1" s="1"/>
  <c r="AI40" i="1"/>
  <c r="AJ40" i="1"/>
  <c r="CS40" i="1"/>
  <c r="R40" i="1" s="1"/>
  <c r="GK40" i="1" s="1"/>
  <c r="CT40" i="1"/>
  <c r="CU40" i="1"/>
  <c r="T40" i="1" s="1"/>
  <c r="CW40" i="1"/>
  <c r="CX40" i="1"/>
  <c r="W40" i="1" s="1"/>
  <c r="FR40" i="1"/>
  <c r="GL40" i="1"/>
  <c r="GO40" i="1"/>
  <c r="GP40" i="1"/>
  <c r="GV40" i="1"/>
  <c r="I41" i="1"/>
  <c r="AC41" i="1"/>
  <c r="CQ41" i="1" s="1"/>
  <c r="P41" i="1" s="1"/>
  <c r="AE41" i="1"/>
  <c r="AD41" i="1" s="1"/>
  <c r="AF41" i="1"/>
  <c r="AG41" i="1"/>
  <c r="CU41" i="1" s="1"/>
  <c r="AH41" i="1"/>
  <c r="AI41" i="1"/>
  <c r="AJ41" i="1"/>
  <c r="CX41" i="1" s="1"/>
  <c r="W41" i="1" s="1"/>
  <c r="CR41" i="1"/>
  <c r="Q41" i="1" s="1"/>
  <c r="CS41" i="1"/>
  <c r="R41" i="1" s="1"/>
  <c r="GK41" i="1" s="1"/>
  <c r="CT41" i="1"/>
  <c r="S41" i="1" s="1"/>
  <c r="CV41" i="1"/>
  <c r="U41" i="1" s="1"/>
  <c r="CW41" i="1"/>
  <c r="V41" i="1" s="1"/>
  <c r="FR41" i="1"/>
  <c r="GL41" i="1"/>
  <c r="GO41" i="1"/>
  <c r="GP41" i="1"/>
  <c r="GV41" i="1"/>
  <c r="GX41" i="1" s="1"/>
  <c r="I42" i="1"/>
  <c r="T42" i="1"/>
  <c r="AC42" i="1"/>
  <c r="AE42" i="1"/>
  <c r="AD42" i="1" s="1"/>
  <c r="AF42" i="1"/>
  <c r="CT42" i="1" s="1"/>
  <c r="AG42" i="1"/>
  <c r="AH42" i="1"/>
  <c r="AI42" i="1"/>
  <c r="CW42" i="1" s="1"/>
  <c r="V42" i="1" s="1"/>
  <c r="AJ42" i="1"/>
  <c r="CX42" i="1" s="1"/>
  <c r="CQ42" i="1"/>
  <c r="P42" i="1" s="1"/>
  <c r="CS42" i="1"/>
  <c r="R42" i="1" s="1"/>
  <c r="GK42" i="1" s="1"/>
  <c r="CU42" i="1"/>
  <c r="CV42" i="1"/>
  <c r="U42" i="1" s="1"/>
  <c r="FR42" i="1"/>
  <c r="GL42" i="1"/>
  <c r="GO42" i="1"/>
  <c r="GP42" i="1"/>
  <c r="GV42" i="1"/>
  <c r="GX42" i="1" s="1"/>
  <c r="AC43" i="1"/>
  <c r="AD43" i="1"/>
  <c r="CR43" i="1" s="1"/>
  <c r="AE43" i="1"/>
  <c r="CS43" i="1" s="1"/>
  <c r="AF43" i="1"/>
  <c r="AG43" i="1"/>
  <c r="AH43" i="1"/>
  <c r="AI43" i="1"/>
  <c r="CW43" i="1" s="1"/>
  <c r="AJ43" i="1"/>
  <c r="CQ43" i="1"/>
  <c r="CT43" i="1"/>
  <c r="CU43" i="1"/>
  <c r="CV43" i="1"/>
  <c r="CX43" i="1"/>
  <c r="FR43" i="1"/>
  <c r="GL43" i="1"/>
  <c r="GO43" i="1"/>
  <c r="GP43" i="1"/>
  <c r="GV43" i="1"/>
  <c r="I44" i="1"/>
  <c r="R44" i="1"/>
  <c r="T44" i="1"/>
  <c r="AC44" i="1"/>
  <c r="AD44" i="1"/>
  <c r="CR44" i="1" s="1"/>
  <c r="Q44" i="1" s="1"/>
  <c r="AE44" i="1"/>
  <c r="AF44" i="1"/>
  <c r="AB44" i="1" s="1"/>
  <c r="AG44" i="1"/>
  <c r="AH44" i="1"/>
  <c r="CV44" i="1" s="1"/>
  <c r="U44" i="1" s="1"/>
  <c r="AI44" i="1"/>
  <c r="AJ44" i="1"/>
  <c r="CX44" i="1" s="1"/>
  <c r="W44" i="1" s="1"/>
  <c r="CQ44" i="1"/>
  <c r="P44" i="1" s="1"/>
  <c r="CS44" i="1"/>
  <c r="CT44" i="1"/>
  <c r="S44" i="1" s="1"/>
  <c r="CU44" i="1"/>
  <c r="CW44" i="1"/>
  <c r="V44" i="1" s="1"/>
  <c r="FR44" i="1"/>
  <c r="GK44" i="1"/>
  <c r="GL44" i="1"/>
  <c r="GO44" i="1"/>
  <c r="GP44" i="1"/>
  <c r="GV44" i="1"/>
  <c r="GX44" i="1"/>
  <c r="I45" i="1"/>
  <c r="AC45" i="1"/>
  <c r="CQ45" i="1" s="1"/>
  <c r="AE45" i="1"/>
  <c r="AD45" i="1" s="1"/>
  <c r="AB45" i="1" s="1"/>
  <c r="AF45" i="1"/>
  <c r="AG45" i="1"/>
  <c r="CU45" i="1" s="1"/>
  <c r="T45" i="1" s="1"/>
  <c r="AH45" i="1"/>
  <c r="AI45" i="1"/>
  <c r="CW45" i="1" s="1"/>
  <c r="V45" i="1" s="1"/>
  <c r="AJ45" i="1"/>
  <c r="CS45" i="1"/>
  <c r="R45" i="1" s="1"/>
  <c r="GK45" i="1" s="1"/>
  <c r="CT45" i="1"/>
  <c r="S45" i="1" s="1"/>
  <c r="CV45" i="1"/>
  <c r="U45" i="1" s="1"/>
  <c r="CX45" i="1"/>
  <c r="W45" i="1" s="1"/>
  <c r="FR45" i="1"/>
  <c r="GL45" i="1"/>
  <c r="GO45" i="1"/>
  <c r="GP45" i="1"/>
  <c r="GV45" i="1"/>
  <c r="GX45" i="1"/>
  <c r="C46" i="1"/>
  <c r="D46" i="1"/>
  <c r="I46" i="1"/>
  <c r="I48" i="1" s="1"/>
  <c r="R46" i="1"/>
  <c r="T46" i="1"/>
  <c r="AC46" i="1"/>
  <c r="AD46" i="1"/>
  <c r="CR46" i="1" s="1"/>
  <c r="Q46" i="1" s="1"/>
  <c r="AE46" i="1"/>
  <c r="AF46" i="1"/>
  <c r="AG46" i="1"/>
  <c r="AH46" i="1"/>
  <c r="CV46" i="1" s="1"/>
  <c r="U46" i="1" s="1"/>
  <c r="AI46" i="1"/>
  <c r="AJ46" i="1"/>
  <c r="CX46" i="1" s="1"/>
  <c r="W46" i="1" s="1"/>
  <c r="CQ46" i="1"/>
  <c r="P46" i="1" s="1"/>
  <c r="CS46" i="1"/>
  <c r="CT46" i="1"/>
  <c r="S46" i="1" s="1"/>
  <c r="CU46" i="1"/>
  <c r="CW46" i="1"/>
  <c r="V46" i="1" s="1"/>
  <c r="FR46" i="1"/>
  <c r="GK46" i="1"/>
  <c r="GL46" i="1"/>
  <c r="GO46" i="1"/>
  <c r="GP46" i="1"/>
  <c r="GV46" i="1"/>
  <c r="GX46" i="1"/>
  <c r="C47" i="1"/>
  <c r="D47" i="1"/>
  <c r="I47" i="1"/>
  <c r="T47" i="1"/>
  <c r="W47" i="1"/>
  <c r="AC47" i="1"/>
  <c r="AD47" i="1"/>
  <c r="CR47" i="1" s="1"/>
  <c r="Q47" i="1" s="1"/>
  <c r="AE47" i="1"/>
  <c r="CS47" i="1" s="1"/>
  <c r="R47" i="1" s="1"/>
  <c r="AF47" i="1"/>
  <c r="AG47" i="1"/>
  <c r="AH47" i="1"/>
  <c r="AI47" i="1"/>
  <c r="CW47" i="1" s="1"/>
  <c r="V47" i="1" s="1"/>
  <c r="AJ47" i="1"/>
  <c r="CQ47" i="1"/>
  <c r="P47" i="1" s="1"/>
  <c r="CT47" i="1"/>
  <c r="S47" i="1" s="1"/>
  <c r="CU47" i="1"/>
  <c r="CV47" i="1"/>
  <c r="U47" i="1" s="1"/>
  <c r="CX47" i="1"/>
  <c r="FR47" i="1"/>
  <c r="GK47" i="1"/>
  <c r="GL47" i="1"/>
  <c r="GO47" i="1"/>
  <c r="GP47" i="1"/>
  <c r="GV47" i="1"/>
  <c r="GX47" i="1" s="1"/>
  <c r="AC48" i="1"/>
  <c r="AD48" i="1"/>
  <c r="CR48" i="1" s="1"/>
  <c r="AE48" i="1"/>
  <c r="AF48" i="1"/>
  <c r="AB48" i="1" s="1"/>
  <c r="AG48" i="1"/>
  <c r="AH48" i="1"/>
  <c r="CV48" i="1" s="1"/>
  <c r="AI48" i="1"/>
  <c r="AJ48" i="1"/>
  <c r="CX48" i="1" s="1"/>
  <c r="W48" i="1" s="1"/>
  <c r="CQ48" i="1"/>
  <c r="P48" i="1" s="1"/>
  <c r="CS48" i="1"/>
  <c r="CT48" i="1"/>
  <c r="S48" i="1" s="1"/>
  <c r="CU48" i="1"/>
  <c r="CW48" i="1"/>
  <c r="V48" i="1" s="1"/>
  <c r="FR48" i="1"/>
  <c r="GL48" i="1"/>
  <c r="GO48" i="1"/>
  <c r="GP48" i="1"/>
  <c r="GV48" i="1"/>
  <c r="I49" i="1"/>
  <c r="AC49" i="1"/>
  <c r="CQ49" i="1" s="1"/>
  <c r="AE49" i="1"/>
  <c r="AD49" i="1" s="1"/>
  <c r="AB49" i="1" s="1"/>
  <c r="AF49" i="1"/>
  <c r="AG49" i="1"/>
  <c r="CU49" i="1" s="1"/>
  <c r="T49" i="1" s="1"/>
  <c r="AH49" i="1"/>
  <c r="AI49" i="1"/>
  <c r="CW49" i="1" s="1"/>
  <c r="V49" i="1" s="1"/>
  <c r="AJ49" i="1"/>
  <c r="CS49" i="1"/>
  <c r="R49" i="1" s="1"/>
  <c r="GK49" i="1" s="1"/>
  <c r="CT49" i="1"/>
  <c r="S49" i="1" s="1"/>
  <c r="CV49" i="1"/>
  <c r="U49" i="1" s="1"/>
  <c r="CX49" i="1"/>
  <c r="W49" i="1" s="1"/>
  <c r="FR49" i="1"/>
  <c r="GL49" i="1"/>
  <c r="GO49" i="1"/>
  <c r="GP49" i="1"/>
  <c r="GV49" i="1"/>
  <c r="GX49" i="1" s="1"/>
  <c r="I50" i="1"/>
  <c r="AC50" i="1"/>
  <c r="AD50" i="1"/>
  <c r="CR50" i="1" s="1"/>
  <c r="Q50" i="1" s="1"/>
  <c r="AE50" i="1"/>
  <c r="AF50" i="1"/>
  <c r="AB50" i="1" s="1"/>
  <c r="AG50" i="1"/>
  <c r="AH50" i="1"/>
  <c r="CV50" i="1" s="1"/>
  <c r="U50" i="1" s="1"/>
  <c r="AI50" i="1"/>
  <c r="AJ50" i="1"/>
  <c r="CX50" i="1" s="1"/>
  <c r="W50" i="1" s="1"/>
  <c r="CQ50" i="1"/>
  <c r="P50" i="1" s="1"/>
  <c r="CS50" i="1"/>
  <c r="R50" i="1" s="1"/>
  <c r="GK50" i="1" s="1"/>
  <c r="CU50" i="1"/>
  <c r="T50" i="1" s="1"/>
  <c r="CW50" i="1"/>
  <c r="V50" i="1" s="1"/>
  <c r="FR50" i="1"/>
  <c r="GL50" i="1"/>
  <c r="GO50" i="1"/>
  <c r="GP50" i="1"/>
  <c r="GV50" i="1"/>
  <c r="GX50" i="1"/>
  <c r="I51" i="1"/>
  <c r="AC51" i="1"/>
  <c r="AE51" i="1"/>
  <c r="CS51" i="1" s="1"/>
  <c r="R51" i="1" s="1"/>
  <c r="GK51" i="1" s="1"/>
  <c r="AF51" i="1"/>
  <c r="AG51" i="1"/>
  <c r="CU51" i="1" s="1"/>
  <c r="T51" i="1" s="1"/>
  <c r="AH51" i="1"/>
  <c r="AI51" i="1"/>
  <c r="CW51" i="1" s="1"/>
  <c r="V51" i="1" s="1"/>
  <c r="AJ51" i="1"/>
  <c r="CT51" i="1"/>
  <c r="S51" i="1" s="1"/>
  <c r="CV51" i="1"/>
  <c r="U51" i="1" s="1"/>
  <c r="CX51" i="1"/>
  <c r="W51" i="1" s="1"/>
  <c r="FR51" i="1"/>
  <c r="GL51" i="1"/>
  <c r="GO51" i="1"/>
  <c r="GP51" i="1"/>
  <c r="GV51" i="1"/>
  <c r="GX51" i="1" s="1"/>
  <c r="I52" i="1"/>
  <c r="AC52" i="1"/>
  <c r="AD52" i="1"/>
  <c r="CR52" i="1" s="1"/>
  <c r="Q52" i="1" s="1"/>
  <c r="AE52" i="1"/>
  <c r="AF52" i="1"/>
  <c r="CT52" i="1" s="1"/>
  <c r="S52" i="1" s="1"/>
  <c r="AG52" i="1"/>
  <c r="AH52" i="1"/>
  <c r="CV52" i="1" s="1"/>
  <c r="U52" i="1" s="1"/>
  <c r="AI52" i="1"/>
  <c r="AJ52" i="1"/>
  <c r="CX52" i="1" s="1"/>
  <c r="W52" i="1" s="1"/>
  <c r="CQ52" i="1"/>
  <c r="P52" i="1" s="1"/>
  <c r="CS52" i="1"/>
  <c r="R52" i="1" s="1"/>
  <c r="GK52" i="1" s="1"/>
  <c r="CU52" i="1"/>
  <c r="T52" i="1" s="1"/>
  <c r="CW52" i="1"/>
  <c r="V52" i="1" s="1"/>
  <c r="FR52" i="1"/>
  <c r="GL52" i="1"/>
  <c r="GO52" i="1"/>
  <c r="GP52" i="1"/>
  <c r="GV52" i="1"/>
  <c r="GX52" i="1"/>
  <c r="I53" i="1"/>
  <c r="S53" i="1"/>
  <c r="W53" i="1"/>
  <c r="AC53" i="1"/>
  <c r="AE53" i="1"/>
  <c r="AD53" i="1" s="1"/>
  <c r="CR53" i="1" s="1"/>
  <c r="Q53" i="1" s="1"/>
  <c r="AF53" i="1"/>
  <c r="AG53" i="1"/>
  <c r="CU53" i="1" s="1"/>
  <c r="T53" i="1" s="1"/>
  <c r="AH53" i="1"/>
  <c r="AI53" i="1"/>
  <c r="CW53" i="1" s="1"/>
  <c r="V53" i="1" s="1"/>
  <c r="AJ53" i="1"/>
  <c r="CT53" i="1"/>
  <c r="CV53" i="1"/>
  <c r="U53" i="1" s="1"/>
  <c r="CX53" i="1"/>
  <c r="FR53" i="1"/>
  <c r="GL53" i="1"/>
  <c r="GO53" i="1"/>
  <c r="GP53" i="1"/>
  <c r="GV53" i="1"/>
  <c r="GX53" i="1" s="1"/>
  <c r="I54" i="1"/>
  <c r="GX54" i="1" s="1"/>
  <c r="T54" i="1"/>
  <c r="V54" i="1"/>
  <c r="AC54" i="1"/>
  <c r="AD54" i="1"/>
  <c r="CR54" i="1" s="1"/>
  <c r="Q54" i="1" s="1"/>
  <c r="AE54" i="1"/>
  <c r="AF54" i="1"/>
  <c r="CT54" i="1" s="1"/>
  <c r="AG54" i="1"/>
  <c r="AH54" i="1"/>
  <c r="CV54" i="1" s="1"/>
  <c r="U54" i="1" s="1"/>
  <c r="AI54" i="1"/>
  <c r="AJ54" i="1"/>
  <c r="CX54" i="1" s="1"/>
  <c r="CQ54" i="1"/>
  <c r="P54" i="1" s="1"/>
  <c r="CS54" i="1"/>
  <c r="R54" i="1" s="1"/>
  <c r="GK54" i="1" s="1"/>
  <c r="CU54" i="1"/>
  <c r="CW54" i="1"/>
  <c r="FR54" i="1"/>
  <c r="GL54" i="1"/>
  <c r="GO54" i="1"/>
  <c r="GP54" i="1"/>
  <c r="GV54" i="1"/>
  <c r="I55" i="1"/>
  <c r="U55" i="1"/>
  <c r="AC55" i="1"/>
  <c r="AE55" i="1"/>
  <c r="AF55" i="1"/>
  <c r="AG55" i="1"/>
  <c r="CU55" i="1" s="1"/>
  <c r="T55" i="1" s="1"/>
  <c r="AH55" i="1"/>
  <c r="AI55" i="1"/>
  <c r="CW55" i="1" s="1"/>
  <c r="V55" i="1" s="1"/>
  <c r="AJ55" i="1"/>
  <c r="CT55" i="1"/>
  <c r="S55" i="1" s="1"/>
  <c r="CV55" i="1"/>
  <c r="CX55" i="1"/>
  <c r="W55" i="1" s="1"/>
  <c r="FR55" i="1"/>
  <c r="GL55" i="1"/>
  <c r="GO55" i="1"/>
  <c r="GP55" i="1"/>
  <c r="GV55" i="1"/>
  <c r="GX55" i="1" s="1"/>
  <c r="I56" i="1"/>
  <c r="R56" i="1"/>
  <c r="GK56" i="1" s="1"/>
  <c r="AC56" i="1"/>
  <c r="AD56" i="1"/>
  <c r="CR56" i="1" s="1"/>
  <c r="Q56" i="1" s="1"/>
  <c r="AE56" i="1"/>
  <c r="AF56" i="1"/>
  <c r="CT56" i="1" s="1"/>
  <c r="S56" i="1" s="1"/>
  <c r="CZ56" i="1" s="1"/>
  <c r="Y56" i="1" s="1"/>
  <c r="AG56" i="1"/>
  <c r="AH56" i="1"/>
  <c r="CV56" i="1" s="1"/>
  <c r="U56" i="1" s="1"/>
  <c r="AI56" i="1"/>
  <c r="AJ56" i="1"/>
  <c r="CX56" i="1" s="1"/>
  <c r="W56" i="1" s="1"/>
  <c r="CQ56" i="1"/>
  <c r="P56" i="1" s="1"/>
  <c r="CP56" i="1" s="1"/>
  <c r="O56" i="1" s="1"/>
  <c r="CS56" i="1"/>
  <c r="CU56" i="1"/>
  <c r="T56" i="1" s="1"/>
  <c r="CW56" i="1"/>
  <c r="V56" i="1" s="1"/>
  <c r="CY56" i="1"/>
  <c r="X56" i="1" s="1"/>
  <c r="FR56" i="1"/>
  <c r="GL56" i="1"/>
  <c r="GO56" i="1"/>
  <c r="GP56" i="1"/>
  <c r="GV56" i="1"/>
  <c r="GX56" i="1"/>
  <c r="I57" i="1"/>
  <c r="U57" i="1"/>
  <c r="AC57" i="1"/>
  <c r="AE57" i="1"/>
  <c r="AF57" i="1"/>
  <c r="AG57" i="1"/>
  <c r="CU57" i="1" s="1"/>
  <c r="T57" i="1" s="1"/>
  <c r="AH57" i="1"/>
  <c r="AI57" i="1"/>
  <c r="CW57" i="1" s="1"/>
  <c r="V57" i="1" s="1"/>
  <c r="AJ57" i="1"/>
  <c r="CT57" i="1"/>
  <c r="S57" i="1" s="1"/>
  <c r="CV57" i="1"/>
  <c r="CX57" i="1"/>
  <c r="W57" i="1" s="1"/>
  <c r="FR57" i="1"/>
  <c r="GL57" i="1"/>
  <c r="GO57" i="1"/>
  <c r="GP57" i="1"/>
  <c r="GV57" i="1"/>
  <c r="GX57" i="1" s="1"/>
  <c r="I58" i="1"/>
  <c r="GX58" i="1" s="1"/>
  <c r="AC58" i="1"/>
  <c r="CQ58" i="1" s="1"/>
  <c r="P58" i="1" s="1"/>
  <c r="AD58" i="1"/>
  <c r="CR58" i="1" s="1"/>
  <c r="Q58" i="1" s="1"/>
  <c r="AE58" i="1"/>
  <c r="AF58" i="1"/>
  <c r="AG58" i="1"/>
  <c r="AH58" i="1"/>
  <c r="CV58" i="1" s="1"/>
  <c r="U58" i="1" s="1"/>
  <c r="AI58" i="1"/>
  <c r="AJ58" i="1"/>
  <c r="CS58" i="1"/>
  <c r="R58" i="1" s="1"/>
  <c r="GK58" i="1" s="1"/>
  <c r="CT58" i="1"/>
  <c r="CU58" i="1"/>
  <c r="T58" i="1" s="1"/>
  <c r="CW58" i="1"/>
  <c r="V58" i="1" s="1"/>
  <c r="CX58" i="1"/>
  <c r="W58" i="1" s="1"/>
  <c r="FR58" i="1"/>
  <c r="GL58" i="1"/>
  <c r="GO58" i="1"/>
  <c r="GP58" i="1"/>
  <c r="GV58" i="1"/>
  <c r="I59" i="1"/>
  <c r="AC59" i="1"/>
  <c r="CQ59" i="1" s="1"/>
  <c r="AE59" i="1"/>
  <c r="AD59" i="1" s="1"/>
  <c r="AF59" i="1"/>
  <c r="AG59" i="1"/>
  <c r="CU59" i="1" s="1"/>
  <c r="AH59" i="1"/>
  <c r="AI59" i="1"/>
  <c r="AJ59" i="1"/>
  <c r="CX59" i="1" s="1"/>
  <c r="W59" i="1" s="1"/>
  <c r="CR59" i="1"/>
  <c r="Q59" i="1" s="1"/>
  <c r="CS59" i="1"/>
  <c r="R59" i="1" s="1"/>
  <c r="GK59" i="1" s="1"/>
  <c r="CT59" i="1"/>
  <c r="S59" i="1" s="1"/>
  <c r="CV59" i="1"/>
  <c r="U59" i="1" s="1"/>
  <c r="CW59" i="1"/>
  <c r="V59" i="1" s="1"/>
  <c r="FR59" i="1"/>
  <c r="GL59" i="1"/>
  <c r="GO59" i="1"/>
  <c r="GP59" i="1"/>
  <c r="GV59" i="1"/>
  <c r="GX59" i="1" s="1"/>
  <c r="C60" i="1"/>
  <c r="D60" i="1"/>
  <c r="I60" i="1"/>
  <c r="GX60" i="1" s="1"/>
  <c r="S60" i="1"/>
  <c r="V60" i="1"/>
  <c r="AC60" i="1"/>
  <c r="AB60" i="1" s="1"/>
  <c r="AD60" i="1"/>
  <c r="CR60" i="1" s="1"/>
  <c r="AE60" i="1"/>
  <c r="AF60" i="1"/>
  <c r="AG60" i="1"/>
  <c r="AH60" i="1"/>
  <c r="CV60" i="1" s="1"/>
  <c r="AI60" i="1"/>
  <c r="AJ60" i="1"/>
  <c r="CS60" i="1"/>
  <c r="R60" i="1" s="1"/>
  <c r="GK60" i="1" s="1"/>
  <c r="CT60" i="1"/>
  <c r="CU60" i="1"/>
  <c r="T60" i="1" s="1"/>
  <c r="CW60" i="1"/>
  <c r="CX60" i="1"/>
  <c r="W60" i="1" s="1"/>
  <c r="FR60" i="1"/>
  <c r="GL60" i="1"/>
  <c r="GO60" i="1"/>
  <c r="GP60" i="1"/>
  <c r="GV60" i="1"/>
  <c r="C61" i="1"/>
  <c r="D61" i="1"/>
  <c r="I61" i="1"/>
  <c r="S61" i="1"/>
  <c r="CY61" i="1" s="1"/>
  <c r="X61" i="1" s="1"/>
  <c r="U61" i="1"/>
  <c r="AC61" i="1"/>
  <c r="CQ61" i="1" s="1"/>
  <c r="P61" i="1" s="1"/>
  <c r="AE61" i="1"/>
  <c r="CS61" i="1" s="1"/>
  <c r="R61" i="1" s="1"/>
  <c r="CZ61" i="1" s="1"/>
  <c r="Y61" i="1" s="1"/>
  <c r="AF61" i="1"/>
  <c r="AG61" i="1"/>
  <c r="AH61" i="1"/>
  <c r="AI61" i="1"/>
  <c r="CW61" i="1" s="1"/>
  <c r="V61" i="1" s="1"/>
  <c r="AJ61" i="1"/>
  <c r="CT61" i="1"/>
  <c r="CU61" i="1"/>
  <c r="T61" i="1" s="1"/>
  <c r="CV61" i="1"/>
  <c r="CX61" i="1"/>
  <c r="W61" i="1" s="1"/>
  <c r="FR61" i="1"/>
  <c r="GK61" i="1"/>
  <c r="GL61" i="1"/>
  <c r="GO61" i="1"/>
  <c r="GP61" i="1"/>
  <c r="GV61" i="1"/>
  <c r="GX61" i="1" s="1"/>
  <c r="I62" i="1"/>
  <c r="GX62" i="1" s="1"/>
  <c r="S62" i="1"/>
  <c r="V62" i="1"/>
  <c r="AC62" i="1"/>
  <c r="CQ62" i="1" s="1"/>
  <c r="P62" i="1" s="1"/>
  <c r="AD62" i="1"/>
  <c r="CR62" i="1" s="1"/>
  <c r="AE62" i="1"/>
  <c r="AF62" i="1"/>
  <c r="AG62" i="1"/>
  <c r="AH62" i="1"/>
  <c r="CV62" i="1" s="1"/>
  <c r="AI62" i="1"/>
  <c r="AJ62" i="1"/>
  <c r="CS62" i="1"/>
  <c r="R62" i="1" s="1"/>
  <c r="GK62" i="1" s="1"/>
  <c r="CT62" i="1"/>
  <c r="CU62" i="1"/>
  <c r="T62" i="1" s="1"/>
  <c r="CW62" i="1"/>
  <c r="CX62" i="1"/>
  <c r="W62" i="1" s="1"/>
  <c r="FR62" i="1"/>
  <c r="GL62" i="1"/>
  <c r="GO62" i="1"/>
  <c r="GP62" i="1"/>
  <c r="GV62" i="1"/>
  <c r="I63" i="1"/>
  <c r="AC63" i="1"/>
  <c r="CQ63" i="1" s="1"/>
  <c r="AE63" i="1"/>
  <c r="AD63" i="1" s="1"/>
  <c r="AF63" i="1"/>
  <c r="AG63" i="1"/>
  <c r="CU63" i="1" s="1"/>
  <c r="AH63" i="1"/>
  <c r="AI63" i="1"/>
  <c r="AJ63" i="1"/>
  <c r="CX63" i="1" s="1"/>
  <c r="W63" i="1" s="1"/>
  <c r="CR63" i="1"/>
  <c r="Q63" i="1" s="1"/>
  <c r="CS63" i="1"/>
  <c r="R63" i="1" s="1"/>
  <c r="GK63" i="1" s="1"/>
  <c r="CT63" i="1"/>
  <c r="S63" i="1" s="1"/>
  <c r="CV63" i="1"/>
  <c r="U63" i="1" s="1"/>
  <c r="CW63" i="1"/>
  <c r="V63" i="1" s="1"/>
  <c r="FR63" i="1"/>
  <c r="GL63" i="1"/>
  <c r="GO63" i="1"/>
  <c r="GP63" i="1"/>
  <c r="GV63" i="1"/>
  <c r="GX63" i="1" s="1"/>
  <c r="C64" i="1"/>
  <c r="D64" i="1"/>
  <c r="I64" i="1"/>
  <c r="GX64" i="1" s="1"/>
  <c r="S64" i="1"/>
  <c r="CY64" i="1" s="1"/>
  <c r="X64" i="1" s="1"/>
  <c r="AC64" i="1"/>
  <c r="AB64" i="1" s="1"/>
  <c r="AD64" i="1"/>
  <c r="CR64" i="1" s="1"/>
  <c r="AE64" i="1"/>
  <c r="AF64" i="1"/>
  <c r="AG64" i="1"/>
  <c r="AH64" i="1"/>
  <c r="CV64" i="1" s="1"/>
  <c r="AI64" i="1"/>
  <c r="AJ64" i="1"/>
  <c r="CS64" i="1"/>
  <c r="R64" i="1" s="1"/>
  <c r="GK64" i="1" s="1"/>
  <c r="CT64" i="1"/>
  <c r="CU64" i="1"/>
  <c r="T64" i="1" s="1"/>
  <c r="CW64" i="1"/>
  <c r="CX64" i="1"/>
  <c r="W64" i="1" s="1"/>
  <c r="FR64" i="1"/>
  <c r="GL64" i="1"/>
  <c r="GO64" i="1"/>
  <c r="GP64" i="1"/>
  <c r="GV64" i="1"/>
  <c r="C65" i="1"/>
  <c r="D65" i="1"/>
  <c r="I65" i="1"/>
  <c r="S65" i="1"/>
  <c r="CY65" i="1" s="1"/>
  <c r="X65" i="1" s="1"/>
  <c r="U65" i="1"/>
  <c r="AC65" i="1"/>
  <c r="CQ65" i="1" s="1"/>
  <c r="P65" i="1" s="1"/>
  <c r="AE65" i="1"/>
  <c r="CS65" i="1" s="1"/>
  <c r="R65" i="1" s="1"/>
  <c r="AF65" i="1"/>
  <c r="AG65" i="1"/>
  <c r="AH65" i="1"/>
  <c r="AI65" i="1"/>
  <c r="CW65" i="1" s="1"/>
  <c r="V65" i="1" s="1"/>
  <c r="AJ65" i="1"/>
  <c r="CT65" i="1"/>
  <c r="CU65" i="1"/>
  <c r="T65" i="1" s="1"/>
  <c r="CV65" i="1"/>
  <c r="CX65" i="1"/>
  <c r="W65" i="1" s="1"/>
  <c r="FR65" i="1"/>
  <c r="GK65" i="1"/>
  <c r="GL65" i="1"/>
  <c r="GO65" i="1"/>
  <c r="GP65" i="1"/>
  <c r="GV65" i="1"/>
  <c r="GX65" i="1" s="1"/>
  <c r="I66" i="1"/>
  <c r="GX66" i="1" s="1"/>
  <c r="S66" i="1"/>
  <c r="CY66" i="1" s="1"/>
  <c r="X66" i="1" s="1"/>
  <c r="V66" i="1"/>
  <c r="AC66" i="1"/>
  <c r="CQ66" i="1" s="1"/>
  <c r="P66" i="1" s="1"/>
  <c r="AD66" i="1"/>
  <c r="CR66" i="1" s="1"/>
  <c r="AE66" i="1"/>
  <c r="AF66" i="1"/>
  <c r="AG66" i="1"/>
  <c r="AH66" i="1"/>
  <c r="CV66" i="1" s="1"/>
  <c r="AI66" i="1"/>
  <c r="AJ66" i="1"/>
  <c r="CS66" i="1"/>
  <c r="R66" i="1" s="1"/>
  <c r="GK66" i="1" s="1"/>
  <c r="CT66" i="1"/>
  <c r="CU66" i="1"/>
  <c r="T66" i="1" s="1"/>
  <c r="CW66" i="1"/>
  <c r="CX66" i="1"/>
  <c r="W66" i="1" s="1"/>
  <c r="FR66" i="1"/>
  <c r="GL66" i="1"/>
  <c r="GO66" i="1"/>
  <c r="GP66" i="1"/>
  <c r="GV66" i="1"/>
  <c r="I67" i="1"/>
  <c r="AC67" i="1"/>
  <c r="CQ67" i="1" s="1"/>
  <c r="AE67" i="1"/>
  <c r="AD67" i="1" s="1"/>
  <c r="AF67" i="1"/>
  <c r="AG67" i="1"/>
  <c r="CU67" i="1" s="1"/>
  <c r="AH67" i="1"/>
  <c r="AI67" i="1"/>
  <c r="AJ67" i="1"/>
  <c r="CX67" i="1" s="1"/>
  <c r="W67" i="1" s="1"/>
  <c r="CR67" i="1"/>
  <c r="Q67" i="1" s="1"/>
  <c r="CS67" i="1"/>
  <c r="R67" i="1" s="1"/>
  <c r="GK67" i="1" s="1"/>
  <c r="CT67" i="1"/>
  <c r="S67" i="1" s="1"/>
  <c r="CV67" i="1"/>
  <c r="U67" i="1" s="1"/>
  <c r="CW67" i="1"/>
  <c r="V67" i="1" s="1"/>
  <c r="FR67" i="1"/>
  <c r="GL67" i="1"/>
  <c r="GO67" i="1"/>
  <c r="GP67" i="1"/>
  <c r="GV67" i="1"/>
  <c r="GX67" i="1" s="1"/>
  <c r="I68" i="1"/>
  <c r="T68" i="1"/>
  <c r="AC68" i="1"/>
  <c r="AE68" i="1"/>
  <c r="AD68" i="1" s="1"/>
  <c r="AF68" i="1"/>
  <c r="CT68" i="1" s="1"/>
  <c r="AG68" i="1"/>
  <c r="AH68" i="1"/>
  <c r="AI68" i="1"/>
  <c r="CW68" i="1" s="1"/>
  <c r="V68" i="1" s="1"/>
  <c r="AJ68" i="1"/>
  <c r="CX68" i="1" s="1"/>
  <c r="CQ68" i="1"/>
  <c r="P68" i="1" s="1"/>
  <c r="CS68" i="1"/>
  <c r="R68" i="1" s="1"/>
  <c r="GK68" i="1" s="1"/>
  <c r="CU68" i="1"/>
  <c r="CV68" i="1"/>
  <c r="U68" i="1" s="1"/>
  <c r="FR68" i="1"/>
  <c r="GL68" i="1"/>
  <c r="GO68" i="1"/>
  <c r="GP68" i="1"/>
  <c r="GV68" i="1"/>
  <c r="GX68" i="1" s="1"/>
  <c r="I69" i="1"/>
  <c r="S69" i="1"/>
  <c r="CY69" i="1" s="1"/>
  <c r="X69" i="1" s="1"/>
  <c r="U69" i="1"/>
  <c r="AC69" i="1"/>
  <c r="CQ69" i="1" s="1"/>
  <c r="P69" i="1" s="1"/>
  <c r="AE69" i="1"/>
  <c r="CS69" i="1" s="1"/>
  <c r="R69" i="1" s="1"/>
  <c r="AF69" i="1"/>
  <c r="AG69" i="1"/>
  <c r="AH69" i="1"/>
  <c r="AI69" i="1"/>
  <c r="CW69" i="1" s="1"/>
  <c r="V69" i="1" s="1"/>
  <c r="AJ69" i="1"/>
  <c r="CT69" i="1"/>
  <c r="CU69" i="1"/>
  <c r="T69" i="1" s="1"/>
  <c r="CV69" i="1"/>
  <c r="CX69" i="1"/>
  <c r="W69" i="1" s="1"/>
  <c r="FR69" i="1"/>
  <c r="GK69" i="1"/>
  <c r="GL69" i="1"/>
  <c r="GO69" i="1"/>
  <c r="GP69" i="1"/>
  <c r="GV69" i="1"/>
  <c r="GX69" i="1" s="1"/>
  <c r="C70" i="1"/>
  <c r="D70" i="1"/>
  <c r="I70" i="1"/>
  <c r="T70" i="1"/>
  <c r="AC70" i="1"/>
  <c r="AE70" i="1"/>
  <c r="AD70" i="1" s="1"/>
  <c r="AF70" i="1"/>
  <c r="CT70" i="1" s="1"/>
  <c r="AG70" i="1"/>
  <c r="AH70" i="1"/>
  <c r="AI70" i="1"/>
  <c r="CW70" i="1" s="1"/>
  <c r="V70" i="1" s="1"/>
  <c r="AJ70" i="1"/>
  <c r="CX70" i="1" s="1"/>
  <c r="CQ70" i="1"/>
  <c r="P70" i="1" s="1"/>
  <c r="CS70" i="1"/>
  <c r="R70" i="1" s="1"/>
  <c r="GK70" i="1" s="1"/>
  <c r="CU70" i="1"/>
  <c r="CV70" i="1"/>
  <c r="U70" i="1" s="1"/>
  <c r="FR70" i="1"/>
  <c r="GL70" i="1"/>
  <c r="GO70" i="1"/>
  <c r="GP70" i="1"/>
  <c r="GV70" i="1"/>
  <c r="GX70" i="1" s="1"/>
  <c r="C71" i="1"/>
  <c r="D71" i="1"/>
  <c r="I71" i="1"/>
  <c r="AC71" i="1"/>
  <c r="CQ71" i="1" s="1"/>
  <c r="AE71" i="1"/>
  <c r="AD71" i="1" s="1"/>
  <c r="AF71" i="1"/>
  <c r="AG71" i="1"/>
  <c r="CU71" i="1" s="1"/>
  <c r="AH71" i="1"/>
  <c r="AI71" i="1"/>
  <c r="AJ71" i="1"/>
  <c r="CX71" i="1" s="1"/>
  <c r="W71" i="1" s="1"/>
  <c r="CR71" i="1"/>
  <c r="Q71" i="1" s="1"/>
  <c r="CS71" i="1"/>
  <c r="R71" i="1" s="1"/>
  <c r="GK71" i="1" s="1"/>
  <c r="CT71" i="1"/>
  <c r="S71" i="1" s="1"/>
  <c r="CV71" i="1"/>
  <c r="U71" i="1" s="1"/>
  <c r="CW71" i="1"/>
  <c r="V71" i="1" s="1"/>
  <c r="FR71" i="1"/>
  <c r="GL71" i="1"/>
  <c r="GO71" i="1"/>
  <c r="GP71" i="1"/>
  <c r="GV71" i="1"/>
  <c r="GX71" i="1" s="1"/>
  <c r="I72" i="1"/>
  <c r="T72" i="1"/>
  <c r="AC72" i="1"/>
  <c r="AE72" i="1"/>
  <c r="AD72" i="1" s="1"/>
  <c r="AF72" i="1"/>
  <c r="CT72" i="1" s="1"/>
  <c r="AG72" i="1"/>
  <c r="AH72" i="1"/>
  <c r="AI72" i="1"/>
  <c r="CW72" i="1" s="1"/>
  <c r="V72" i="1" s="1"/>
  <c r="AJ72" i="1"/>
  <c r="CX72" i="1" s="1"/>
  <c r="CQ72" i="1"/>
  <c r="P72" i="1" s="1"/>
  <c r="CS72" i="1"/>
  <c r="R72" i="1" s="1"/>
  <c r="GK72" i="1" s="1"/>
  <c r="CU72" i="1"/>
  <c r="CV72" i="1"/>
  <c r="U72" i="1" s="1"/>
  <c r="FR72" i="1"/>
  <c r="GL72" i="1"/>
  <c r="GO72" i="1"/>
  <c r="GP72" i="1"/>
  <c r="GV72" i="1"/>
  <c r="GX72" i="1" s="1"/>
  <c r="AC73" i="1"/>
  <c r="AD73" i="1"/>
  <c r="CR73" i="1" s="1"/>
  <c r="AE73" i="1"/>
  <c r="CS73" i="1" s="1"/>
  <c r="AF73" i="1"/>
  <c r="AG73" i="1"/>
  <c r="AH73" i="1"/>
  <c r="AI73" i="1"/>
  <c r="CW73" i="1" s="1"/>
  <c r="AJ73" i="1"/>
  <c r="CQ73" i="1"/>
  <c r="CT73" i="1"/>
  <c r="CU73" i="1"/>
  <c r="CV73" i="1"/>
  <c r="CX73" i="1"/>
  <c r="FR73" i="1"/>
  <c r="GL73" i="1"/>
  <c r="GO73" i="1"/>
  <c r="GP73" i="1"/>
  <c r="GV73" i="1"/>
  <c r="C74" i="1"/>
  <c r="D74" i="1"/>
  <c r="I74" i="1"/>
  <c r="P74" i="1"/>
  <c r="R74" i="1"/>
  <c r="GK74" i="1" s="1"/>
  <c r="AC74" i="1"/>
  <c r="AD74" i="1"/>
  <c r="AE74" i="1"/>
  <c r="AF74" i="1"/>
  <c r="CT74" i="1" s="1"/>
  <c r="S74" i="1" s="1"/>
  <c r="CY74" i="1" s="1"/>
  <c r="X74" i="1" s="1"/>
  <c r="AG74" i="1"/>
  <c r="AH74" i="1"/>
  <c r="CV74" i="1" s="1"/>
  <c r="U74" i="1" s="1"/>
  <c r="AI74" i="1"/>
  <c r="AJ74" i="1"/>
  <c r="CX74" i="1" s="1"/>
  <c r="W74" i="1" s="1"/>
  <c r="CQ74" i="1"/>
  <c r="CR74" i="1"/>
  <c r="Q74" i="1" s="1"/>
  <c r="CS74" i="1"/>
  <c r="CU74" i="1"/>
  <c r="T74" i="1" s="1"/>
  <c r="CW74" i="1"/>
  <c r="V74" i="1" s="1"/>
  <c r="CZ74" i="1"/>
  <c r="Y74" i="1" s="1"/>
  <c r="FR74" i="1"/>
  <c r="GL74" i="1"/>
  <c r="GO74" i="1"/>
  <c r="GP74" i="1"/>
  <c r="GV74" i="1"/>
  <c r="GX74" i="1"/>
  <c r="C75" i="1"/>
  <c r="D75" i="1"/>
  <c r="I75" i="1"/>
  <c r="U75" i="1"/>
  <c r="AB75" i="1"/>
  <c r="AC75" i="1"/>
  <c r="AE75" i="1"/>
  <c r="AD75" i="1" s="1"/>
  <c r="AF75" i="1"/>
  <c r="AG75" i="1"/>
  <c r="CU75" i="1" s="1"/>
  <c r="T75" i="1" s="1"/>
  <c r="AH75" i="1"/>
  <c r="AI75" i="1"/>
  <c r="CW75" i="1" s="1"/>
  <c r="V75" i="1" s="1"/>
  <c r="AJ75" i="1"/>
  <c r="CQ75" i="1"/>
  <c r="P75" i="1" s="1"/>
  <c r="CR75" i="1"/>
  <c r="Q75" i="1" s="1"/>
  <c r="CP75" i="1" s="1"/>
  <c r="O75" i="1" s="1"/>
  <c r="CT75" i="1"/>
  <c r="S75" i="1" s="1"/>
  <c r="CV75" i="1"/>
  <c r="CX75" i="1"/>
  <c r="W75" i="1" s="1"/>
  <c r="FR75" i="1"/>
  <c r="GL75" i="1"/>
  <c r="GO75" i="1"/>
  <c r="GP75" i="1"/>
  <c r="GV75" i="1"/>
  <c r="GX75" i="1" s="1"/>
  <c r="I76" i="1"/>
  <c r="AC76" i="1"/>
  <c r="AD76" i="1"/>
  <c r="CR76" i="1" s="1"/>
  <c r="Q76" i="1" s="1"/>
  <c r="AE76" i="1"/>
  <c r="AF76" i="1"/>
  <c r="AB76" i="1" s="1"/>
  <c r="AG76" i="1"/>
  <c r="AH76" i="1"/>
  <c r="CV76" i="1" s="1"/>
  <c r="U76" i="1" s="1"/>
  <c r="AI76" i="1"/>
  <c r="AJ76" i="1"/>
  <c r="CX76" i="1" s="1"/>
  <c r="W76" i="1" s="1"/>
  <c r="CQ76" i="1"/>
  <c r="P76" i="1" s="1"/>
  <c r="CS76" i="1"/>
  <c r="R76" i="1" s="1"/>
  <c r="GK76" i="1" s="1"/>
  <c r="CU76" i="1"/>
  <c r="T76" i="1" s="1"/>
  <c r="CW76" i="1"/>
  <c r="V76" i="1" s="1"/>
  <c r="FR76" i="1"/>
  <c r="BY85" i="1" s="1"/>
  <c r="AP85" i="1" s="1"/>
  <c r="GL76" i="1"/>
  <c r="GO76" i="1"/>
  <c r="GP76" i="1"/>
  <c r="GV76" i="1"/>
  <c r="GX76" i="1"/>
  <c r="I77" i="1"/>
  <c r="AC77" i="1"/>
  <c r="AE77" i="1"/>
  <c r="CS77" i="1" s="1"/>
  <c r="R77" i="1" s="1"/>
  <c r="GK77" i="1" s="1"/>
  <c r="AF77" i="1"/>
  <c r="AG77" i="1"/>
  <c r="CU77" i="1" s="1"/>
  <c r="T77" i="1" s="1"/>
  <c r="AH77" i="1"/>
  <c r="AI77" i="1"/>
  <c r="CW77" i="1" s="1"/>
  <c r="V77" i="1" s="1"/>
  <c r="AJ77" i="1"/>
  <c r="CT77" i="1"/>
  <c r="S77" i="1" s="1"/>
  <c r="CV77" i="1"/>
  <c r="U77" i="1" s="1"/>
  <c r="CX77" i="1"/>
  <c r="W77" i="1" s="1"/>
  <c r="FR77" i="1"/>
  <c r="GL77" i="1"/>
  <c r="GO77" i="1"/>
  <c r="GP77" i="1"/>
  <c r="GV77" i="1"/>
  <c r="GX77" i="1" s="1"/>
  <c r="I78" i="1"/>
  <c r="AC78" i="1"/>
  <c r="AD78" i="1"/>
  <c r="CR78" i="1" s="1"/>
  <c r="Q78" i="1" s="1"/>
  <c r="AE78" i="1"/>
  <c r="AF78" i="1"/>
  <c r="CT78" i="1" s="1"/>
  <c r="S78" i="1" s="1"/>
  <c r="AG78" i="1"/>
  <c r="AH78" i="1"/>
  <c r="CV78" i="1" s="1"/>
  <c r="U78" i="1" s="1"/>
  <c r="AI78" i="1"/>
  <c r="AJ78" i="1"/>
  <c r="CX78" i="1" s="1"/>
  <c r="W78" i="1" s="1"/>
  <c r="CQ78" i="1"/>
  <c r="P78" i="1" s="1"/>
  <c r="CS78" i="1"/>
  <c r="R78" i="1" s="1"/>
  <c r="GK78" i="1" s="1"/>
  <c r="CU78" i="1"/>
  <c r="T78" i="1" s="1"/>
  <c r="CW78" i="1"/>
  <c r="V78" i="1" s="1"/>
  <c r="FR78" i="1"/>
  <c r="GL78" i="1"/>
  <c r="GO78" i="1"/>
  <c r="GP78" i="1"/>
  <c r="GV78" i="1"/>
  <c r="GX78" i="1"/>
  <c r="I79" i="1"/>
  <c r="AC79" i="1"/>
  <c r="CQ79" i="1" s="1"/>
  <c r="P79" i="1" s="1"/>
  <c r="CP79" i="1" s="1"/>
  <c r="O79" i="1" s="1"/>
  <c r="AE79" i="1"/>
  <c r="AD79" i="1" s="1"/>
  <c r="CR79" i="1" s="1"/>
  <c r="Q79" i="1" s="1"/>
  <c r="AF79" i="1"/>
  <c r="AG79" i="1"/>
  <c r="CU79" i="1" s="1"/>
  <c r="T79" i="1" s="1"/>
  <c r="AH79" i="1"/>
  <c r="AI79" i="1"/>
  <c r="CW79" i="1" s="1"/>
  <c r="V79" i="1" s="1"/>
  <c r="AJ79" i="1"/>
  <c r="CT79" i="1"/>
  <c r="S79" i="1" s="1"/>
  <c r="CV79" i="1"/>
  <c r="U79" i="1" s="1"/>
  <c r="CX79" i="1"/>
  <c r="W79" i="1" s="1"/>
  <c r="FR79" i="1"/>
  <c r="GL79" i="1"/>
  <c r="GO79" i="1"/>
  <c r="GP79" i="1"/>
  <c r="GV79" i="1"/>
  <c r="GX79" i="1" s="1"/>
  <c r="O80" i="1"/>
  <c r="P80" i="1"/>
  <c r="Q80" i="1"/>
  <c r="R80" i="1"/>
  <c r="S80" i="1"/>
  <c r="T80" i="1"/>
  <c r="U80" i="1"/>
  <c r="V80" i="1"/>
  <c r="W80" i="1"/>
  <c r="X80" i="1"/>
  <c r="Y80" i="1"/>
  <c r="AB80" i="1"/>
  <c r="AC80" i="1"/>
  <c r="AD80" i="1"/>
  <c r="AE80" i="1"/>
  <c r="AF80" i="1"/>
  <c r="AG80" i="1"/>
  <c r="AH80" i="1"/>
  <c r="AI80" i="1"/>
  <c r="AJ80" i="1"/>
  <c r="CP80" i="1"/>
  <c r="GN80" i="1" s="1"/>
  <c r="FR80" i="1"/>
  <c r="GK80" i="1"/>
  <c r="GL80" i="1"/>
  <c r="GM80" i="1"/>
  <c r="GO80" i="1"/>
  <c r="CC85" i="1" s="1"/>
  <c r="CC22" i="1" s="1"/>
  <c r="GP80" i="1"/>
  <c r="GV80" i="1"/>
  <c r="GX80" i="1" s="1"/>
  <c r="O81" i="1"/>
  <c r="P81" i="1"/>
  <c r="Q81" i="1"/>
  <c r="R81" i="1"/>
  <c r="S81" i="1"/>
  <c r="T81" i="1"/>
  <c r="U81" i="1"/>
  <c r="V81" i="1"/>
  <c r="W81" i="1"/>
  <c r="X81" i="1"/>
  <c r="Y81" i="1"/>
  <c r="AB81" i="1"/>
  <c r="AC81" i="1"/>
  <c r="AD81" i="1"/>
  <c r="AE81" i="1"/>
  <c r="AF81" i="1"/>
  <c r="AG81" i="1"/>
  <c r="AH81" i="1"/>
  <c r="AI81" i="1"/>
  <c r="AJ81" i="1"/>
  <c r="CP81" i="1"/>
  <c r="GN81" i="1" s="1"/>
  <c r="FR81" i="1"/>
  <c r="GK81" i="1"/>
  <c r="GL81" i="1"/>
  <c r="GM81" i="1"/>
  <c r="GO81" i="1"/>
  <c r="GP81" i="1"/>
  <c r="GV81" i="1"/>
  <c r="GX81" i="1" s="1"/>
  <c r="O82" i="1"/>
  <c r="P82" i="1"/>
  <c r="Q82" i="1"/>
  <c r="R82" i="1"/>
  <c r="S82" i="1"/>
  <c r="T82" i="1"/>
  <c r="U82" i="1"/>
  <c r="V82" i="1"/>
  <c r="W82" i="1"/>
  <c r="X82" i="1"/>
  <c r="Y82" i="1"/>
  <c r="AB82" i="1"/>
  <c r="AC82" i="1"/>
  <c r="AD82" i="1"/>
  <c r="AE82" i="1"/>
  <c r="AF82" i="1"/>
  <c r="AG82" i="1"/>
  <c r="AH82" i="1"/>
  <c r="AI82" i="1"/>
  <c r="AJ82" i="1"/>
  <c r="CP82" i="1"/>
  <c r="GN82" i="1" s="1"/>
  <c r="FR82" i="1"/>
  <c r="GK82" i="1"/>
  <c r="GL82" i="1"/>
  <c r="GM82" i="1"/>
  <c r="GO82" i="1"/>
  <c r="GP82" i="1"/>
  <c r="GV82" i="1"/>
  <c r="GX82" i="1" s="1"/>
  <c r="O83" i="1"/>
  <c r="P83" i="1"/>
  <c r="Q83" i="1"/>
  <c r="R83" i="1"/>
  <c r="S83" i="1"/>
  <c r="T83" i="1"/>
  <c r="U83" i="1"/>
  <c r="V83" i="1"/>
  <c r="W83" i="1"/>
  <c r="X83" i="1"/>
  <c r="Y83" i="1"/>
  <c r="AB83" i="1"/>
  <c r="AC83" i="1"/>
  <c r="AD83" i="1"/>
  <c r="AE83" i="1"/>
  <c r="AF83" i="1"/>
  <c r="AG83" i="1"/>
  <c r="AH83" i="1"/>
  <c r="AI83" i="1"/>
  <c r="AJ83" i="1"/>
  <c r="CP83" i="1"/>
  <c r="GN83" i="1" s="1"/>
  <c r="FR83" i="1"/>
  <c r="GK83" i="1"/>
  <c r="GL83" i="1"/>
  <c r="GM83" i="1"/>
  <c r="GO83" i="1"/>
  <c r="GP83" i="1"/>
  <c r="GV83" i="1"/>
  <c r="GX83" i="1" s="1"/>
  <c r="B85" i="1"/>
  <c r="B22" i="1" s="1"/>
  <c r="C85" i="1"/>
  <c r="C22" i="1" s="1"/>
  <c r="D85" i="1"/>
  <c r="D22" i="1" s="1"/>
  <c r="F85" i="1"/>
  <c r="F22" i="1" s="1"/>
  <c r="G85" i="1"/>
  <c r="G22" i="1" s="1"/>
  <c r="BB85" i="1"/>
  <c r="BB22" i="1" s="1"/>
  <c r="BX85" i="1"/>
  <c r="BX22" i="1" s="1"/>
  <c r="BZ85" i="1"/>
  <c r="CD85" i="1"/>
  <c r="CK85" i="1"/>
  <c r="CK22" i="1" s="1"/>
  <c r="CL85" i="1"/>
  <c r="EH85" i="1"/>
  <c r="EH22" i="1" s="1"/>
  <c r="EL85" i="1"/>
  <c r="EL22" i="1" s="1"/>
  <c r="ET85" i="1"/>
  <c r="ET22" i="1" s="1"/>
  <c r="FP85" i="1"/>
  <c r="FQ85" i="1"/>
  <c r="FQ22" i="1" s="1"/>
  <c r="FR85" i="1"/>
  <c r="FR22" i="1" s="1"/>
  <c r="FU85" i="1"/>
  <c r="FU22" i="1" s="1"/>
  <c r="FV85" i="1"/>
  <c r="FV22" i="1" s="1"/>
  <c r="GC85" i="1"/>
  <c r="GC22" i="1" s="1"/>
  <c r="GD85" i="1"/>
  <c r="GD22" i="1" s="1"/>
  <c r="P94" i="1"/>
  <c r="V16" i="2" s="1"/>
  <c r="V18" i="2" s="1"/>
  <c r="F98" i="1"/>
  <c r="F117" i="1"/>
  <c r="P117" i="1"/>
  <c r="B122" i="1"/>
  <c r="B18" i="1" s="1"/>
  <c r="C122" i="1"/>
  <c r="C18" i="1" s="1"/>
  <c r="D122" i="1"/>
  <c r="D18" i="1" s="1"/>
  <c r="F122" i="1"/>
  <c r="F18" i="1" s="1"/>
  <c r="G122" i="1"/>
  <c r="G18" i="1" s="1"/>
  <c r="BB122" i="1"/>
  <c r="BB18" i="1" s="1"/>
  <c r="EH122" i="1"/>
  <c r="EH18" i="1" s="1"/>
  <c r="P131" i="1"/>
  <c r="F135" i="1"/>
  <c r="F154" i="1"/>
  <c r="P154" i="1"/>
  <c r="W128" i="5" l="1"/>
  <c r="W116" i="5"/>
  <c r="W83" i="5"/>
  <c r="G17" i="5"/>
  <c r="W67" i="5"/>
  <c r="G12" i="5" s="1"/>
  <c r="J42" i="5"/>
  <c r="P42" i="5" s="1"/>
  <c r="J134" i="5" s="1"/>
  <c r="G67" i="5"/>
  <c r="O67" i="5" s="1"/>
  <c r="G128" i="5"/>
  <c r="O128" i="5" s="1"/>
  <c r="G116" i="5"/>
  <c r="O116" i="5" s="1"/>
  <c r="AP22" i="1"/>
  <c r="AP122" i="1"/>
  <c r="F94" i="1"/>
  <c r="G16" i="2" s="1"/>
  <c r="G18" i="2" s="1"/>
  <c r="GA85" i="1"/>
  <c r="CL22" i="1"/>
  <c r="BC85" i="1"/>
  <c r="CZ77" i="1"/>
  <c r="Y77" i="1" s="1"/>
  <c r="CY77" i="1"/>
  <c r="X77" i="1" s="1"/>
  <c r="P103" i="1"/>
  <c r="U16" i="2" s="1"/>
  <c r="U18" i="2" s="1"/>
  <c r="EU85" i="1"/>
  <c r="CD22" i="1"/>
  <c r="AU85" i="1"/>
  <c r="CP72" i="1"/>
  <c r="O72" i="1" s="1"/>
  <c r="AB70" i="1"/>
  <c r="CR70" i="1"/>
  <c r="Q70" i="1" s="1"/>
  <c r="CR68" i="1"/>
  <c r="Q68" i="1" s="1"/>
  <c r="AB68" i="1"/>
  <c r="CY62" i="1"/>
  <c r="X62" i="1" s="1"/>
  <c r="BY22" i="1"/>
  <c r="CI85" i="1"/>
  <c r="CP76" i="1"/>
  <c r="O76" i="1" s="1"/>
  <c r="CY71" i="1"/>
  <c r="X71" i="1" s="1"/>
  <c r="CZ71" i="1"/>
  <c r="Y71" i="1" s="1"/>
  <c r="EI85" i="1"/>
  <c r="ET122" i="1"/>
  <c r="EL122" i="1"/>
  <c r="P98" i="1"/>
  <c r="EM85" i="1"/>
  <c r="BZ22" i="1"/>
  <c r="AQ85" i="1"/>
  <c r="AT85" i="1"/>
  <c r="CP78" i="1"/>
  <c r="O78" i="1" s="1"/>
  <c r="AB77" i="1"/>
  <c r="CR72" i="1"/>
  <c r="Q72" i="1" s="1"/>
  <c r="AB72" i="1"/>
  <c r="CP69" i="1"/>
  <c r="O69" i="1" s="1"/>
  <c r="CY63" i="1"/>
  <c r="X63" i="1" s="1"/>
  <c r="CZ63" i="1"/>
  <c r="Y63" i="1" s="1"/>
  <c r="CY59" i="1"/>
  <c r="X59" i="1" s="1"/>
  <c r="CZ59" i="1"/>
  <c r="Y59" i="1" s="1"/>
  <c r="FP22" i="1"/>
  <c r="EG85" i="1"/>
  <c r="FY85" i="1"/>
  <c r="CY78" i="1"/>
  <c r="X78" i="1" s="1"/>
  <c r="CZ78" i="1"/>
  <c r="Y78" i="1" s="1"/>
  <c r="CY67" i="1"/>
  <c r="X67" i="1" s="1"/>
  <c r="CZ67" i="1"/>
  <c r="Y67" i="1" s="1"/>
  <c r="CY60" i="1"/>
  <c r="X60" i="1" s="1"/>
  <c r="GM56" i="1"/>
  <c r="GN56" i="1"/>
  <c r="CG85" i="1"/>
  <c r="AO85" i="1"/>
  <c r="CS79" i="1"/>
  <c r="R79" i="1" s="1"/>
  <c r="GK79" i="1" s="1"/>
  <c r="AB79" i="1"/>
  <c r="CQ77" i="1"/>
  <c r="P77" i="1" s="1"/>
  <c r="CP77" i="1" s="1"/>
  <c r="O77" i="1" s="1"/>
  <c r="AD77" i="1"/>
  <c r="CR77" i="1" s="1"/>
  <c r="Q77" i="1" s="1"/>
  <c r="CS75" i="1"/>
  <c r="R75" i="1" s="1"/>
  <c r="GK75" i="1" s="1"/>
  <c r="CX148" i="3"/>
  <c r="CX152" i="3"/>
  <c r="CX156" i="3"/>
  <c r="CX149" i="3"/>
  <c r="CX153" i="3"/>
  <c r="CX146" i="3"/>
  <c r="CX150" i="3"/>
  <c r="CX154" i="3"/>
  <c r="CX147" i="3"/>
  <c r="CX151" i="3"/>
  <c r="CX155" i="3"/>
  <c r="CX136" i="3"/>
  <c r="CX140" i="3"/>
  <c r="CX144" i="3"/>
  <c r="CX137" i="3"/>
  <c r="CX141" i="3"/>
  <c r="CX145" i="3"/>
  <c r="CX138" i="3"/>
  <c r="CX142" i="3"/>
  <c r="CX135" i="3"/>
  <c r="CX139" i="3"/>
  <c r="CX143" i="3"/>
  <c r="W72" i="1"/>
  <c r="S72" i="1"/>
  <c r="AD69" i="1"/>
  <c r="CR69" i="1" s="1"/>
  <c r="Q69" i="1" s="1"/>
  <c r="W68" i="1"/>
  <c r="S68" i="1"/>
  <c r="CP68" i="1" s="1"/>
  <c r="O68" i="1" s="1"/>
  <c r="AB66" i="1"/>
  <c r="AD65" i="1"/>
  <c r="CR65" i="1" s="1"/>
  <c r="Q65" i="1" s="1"/>
  <c r="CP65" i="1" s="1"/>
  <c r="O65" i="1" s="1"/>
  <c r="CQ64" i="1"/>
  <c r="P64" i="1" s="1"/>
  <c r="CP64" i="1" s="1"/>
  <c r="O64" i="1" s="1"/>
  <c r="U64" i="1"/>
  <c r="Q64" i="1"/>
  <c r="AB62" i="1"/>
  <c r="AD61" i="1"/>
  <c r="CR61" i="1" s="1"/>
  <c r="Q61" i="1" s="1"/>
  <c r="CP61" i="1" s="1"/>
  <c r="O61" i="1" s="1"/>
  <c r="CQ60" i="1"/>
  <c r="P60" i="1" s="1"/>
  <c r="CP60" i="1" s="1"/>
  <c r="O60" i="1" s="1"/>
  <c r="U60" i="1"/>
  <c r="Q60" i="1"/>
  <c r="S58" i="1"/>
  <c r="CP58" i="1" s="1"/>
  <c r="O58" i="1" s="1"/>
  <c r="AB58" i="1"/>
  <c r="CQ55" i="1"/>
  <c r="P55" i="1" s="1"/>
  <c r="W54" i="1"/>
  <c r="S54" i="1"/>
  <c r="AB54" i="1"/>
  <c r="CQ53" i="1"/>
  <c r="P53" i="1" s="1"/>
  <c r="CP53" i="1" s="1"/>
  <c r="O53" i="1" s="1"/>
  <c r="AB53" i="1"/>
  <c r="CP47" i="1"/>
  <c r="O47" i="1" s="1"/>
  <c r="T48" i="1"/>
  <c r="GX48" i="1"/>
  <c r="CJ85" i="1" s="1"/>
  <c r="R48" i="1"/>
  <c r="CY48" i="1" s="1"/>
  <c r="X48" i="1" s="1"/>
  <c r="CP44" i="1"/>
  <c r="O44" i="1" s="1"/>
  <c r="AB42" i="1"/>
  <c r="CR42" i="1"/>
  <c r="Q42" i="1" s="1"/>
  <c r="CP42" i="1" s="1"/>
  <c r="O42" i="1" s="1"/>
  <c r="CP41" i="1"/>
  <c r="O41" i="1" s="1"/>
  <c r="CY40" i="1"/>
  <c r="X40" i="1" s="1"/>
  <c r="CY37" i="1"/>
  <c r="X37" i="1" s="1"/>
  <c r="CZ37" i="1"/>
  <c r="Y37" i="1" s="1"/>
  <c r="CY32" i="1"/>
  <c r="X32" i="1" s="1"/>
  <c r="CZ32" i="1"/>
  <c r="Y32" i="1" s="1"/>
  <c r="AB78" i="1"/>
  <c r="P71" i="1"/>
  <c r="CP71" i="1" s="1"/>
  <c r="O71" i="1" s="1"/>
  <c r="CZ69" i="1"/>
  <c r="Y69" i="1" s="1"/>
  <c r="AB69" i="1"/>
  <c r="P67" i="1"/>
  <c r="CP67" i="1" s="1"/>
  <c r="O67" i="1" s="1"/>
  <c r="CZ66" i="1"/>
  <c r="Y66" i="1" s="1"/>
  <c r="CZ65" i="1"/>
  <c r="Y65" i="1" s="1"/>
  <c r="AB65" i="1"/>
  <c r="V64" i="1"/>
  <c r="P63" i="1"/>
  <c r="CP63" i="1" s="1"/>
  <c r="O63" i="1" s="1"/>
  <c r="CZ62" i="1"/>
  <c r="Y62" i="1" s="1"/>
  <c r="AB61" i="1"/>
  <c r="P59" i="1"/>
  <c r="CP59" i="1" s="1"/>
  <c r="O59" i="1" s="1"/>
  <c r="AD57" i="1"/>
  <c r="CR57" i="1" s="1"/>
  <c r="Q57" i="1" s="1"/>
  <c r="CS57" i="1"/>
  <c r="R57" i="1" s="1"/>
  <c r="GK57" i="1" s="1"/>
  <c r="CP50" i="1"/>
  <c r="O50" i="1" s="1"/>
  <c r="CP46" i="1"/>
  <c r="O46" i="1" s="1"/>
  <c r="P43" i="1"/>
  <c r="CT76" i="1"/>
  <c r="S76" i="1" s="1"/>
  <c r="AB73" i="1"/>
  <c r="T71" i="1"/>
  <c r="AB71" i="1"/>
  <c r="W70" i="1"/>
  <c r="S70" i="1"/>
  <c r="CP70" i="1" s="1"/>
  <c r="O70" i="1" s="1"/>
  <c r="T67" i="1"/>
  <c r="AB67" i="1"/>
  <c r="U66" i="1"/>
  <c r="Q66" i="1"/>
  <c r="CP66" i="1" s="1"/>
  <c r="O66" i="1" s="1"/>
  <c r="T63" i="1"/>
  <c r="AB63" i="1"/>
  <c r="U62" i="1"/>
  <c r="Q62" i="1"/>
  <c r="CP62" i="1" s="1"/>
  <c r="O62" i="1" s="1"/>
  <c r="T59" i="1"/>
  <c r="AB59" i="1"/>
  <c r="CQ57" i="1"/>
  <c r="P57" i="1" s="1"/>
  <c r="CP57" i="1" s="1"/>
  <c r="O57" i="1" s="1"/>
  <c r="AB57" i="1"/>
  <c r="AB56" i="1"/>
  <c r="CP52" i="1"/>
  <c r="O52" i="1" s="1"/>
  <c r="AB51" i="1"/>
  <c r="CY49" i="1"/>
  <c r="X49" i="1" s="1"/>
  <c r="CZ49" i="1"/>
  <c r="Y49" i="1" s="1"/>
  <c r="CZ44" i="1"/>
  <c r="Y44" i="1" s="1"/>
  <c r="CY44" i="1"/>
  <c r="X44" i="1" s="1"/>
  <c r="CR34" i="1"/>
  <c r="Q34" i="1" s="1"/>
  <c r="CP34" i="1" s="1"/>
  <c r="O34" i="1" s="1"/>
  <c r="AB34" i="1"/>
  <c r="AB74" i="1"/>
  <c r="CP74" i="1"/>
  <c r="O74" i="1" s="1"/>
  <c r="CX132" i="3"/>
  <c r="CX133" i="3"/>
  <c r="CX130" i="3"/>
  <c r="CX134" i="3"/>
  <c r="CX131" i="3"/>
  <c r="I73" i="1"/>
  <c r="S73" i="1" s="1"/>
  <c r="CX128" i="3"/>
  <c r="CX125" i="3"/>
  <c r="CX129" i="3"/>
  <c r="CX126" i="3"/>
  <c r="CX127" i="3"/>
  <c r="CZ64" i="1"/>
  <c r="Y64" i="1" s="1"/>
  <c r="CX100" i="3"/>
  <c r="CX104" i="3"/>
  <c r="CX108" i="3"/>
  <c r="CX101" i="3"/>
  <c r="CX105" i="3"/>
  <c r="CX109" i="3"/>
  <c r="CX102" i="3"/>
  <c r="CX106" i="3"/>
  <c r="CX110" i="3"/>
  <c r="CX99" i="3"/>
  <c r="CX103" i="3"/>
  <c r="CX107" i="3"/>
  <c r="CX111" i="3"/>
  <c r="CZ60" i="1"/>
  <c r="Y60" i="1" s="1"/>
  <c r="CX88" i="3"/>
  <c r="CX92" i="3"/>
  <c r="CX89" i="3"/>
  <c r="CX90" i="3"/>
  <c r="CX87" i="3"/>
  <c r="CX91" i="3"/>
  <c r="CS55" i="1"/>
  <c r="R55" i="1" s="1"/>
  <c r="GK55" i="1" s="1"/>
  <c r="AD55" i="1"/>
  <c r="CR55" i="1" s="1"/>
  <c r="Q55" i="1" s="1"/>
  <c r="CY52" i="1"/>
  <c r="X52" i="1" s="1"/>
  <c r="CZ52" i="1"/>
  <c r="Y52" i="1" s="1"/>
  <c r="CZ51" i="1"/>
  <c r="Y51" i="1" s="1"/>
  <c r="CY51" i="1"/>
  <c r="X51" i="1" s="1"/>
  <c r="CZ48" i="1"/>
  <c r="Y48" i="1" s="1"/>
  <c r="CY47" i="1"/>
  <c r="X47" i="1" s="1"/>
  <c r="CZ47" i="1"/>
  <c r="Y47" i="1" s="1"/>
  <c r="CZ46" i="1"/>
  <c r="Y46" i="1" s="1"/>
  <c r="CY46" i="1"/>
  <c r="X46" i="1" s="1"/>
  <c r="CY45" i="1"/>
  <c r="X45" i="1" s="1"/>
  <c r="CZ45" i="1"/>
  <c r="Y45" i="1" s="1"/>
  <c r="CY41" i="1"/>
  <c r="X41" i="1" s="1"/>
  <c r="CZ41" i="1"/>
  <c r="Y41" i="1" s="1"/>
  <c r="GN37" i="1"/>
  <c r="GM37" i="1"/>
  <c r="CY33" i="1"/>
  <c r="X33" i="1" s="1"/>
  <c r="CX112" i="3"/>
  <c r="CX116" i="3"/>
  <c r="CX120" i="3"/>
  <c r="CX124" i="3"/>
  <c r="CX113" i="3"/>
  <c r="CX117" i="3"/>
  <c r="CX121" i="3"/>
  <c r="CX114" i="3"/>
  <c r="CX118" i="3"/>
  <c r="CX122" i="3"/>
  <c r="CX115" i="3"/>
  <c r="CX119" i="3"/>
  <c r="CX123" i="3"/>
  <c r="CX96" i="3"/>
  <c r="CX93" i="3"/>
  <c r="CX97" i="3"/>
  <c r="CX94" i="3"/>
  <c r="CX98" i="3"/>
  <c r="CX95" i="3"/>
  <c r="CS53" i="1"/>
  <c r="R53" i="1" s="1"/>
  <c r="GK53" i="1" s="1"/>
  <c r="CQ51" i="1"/>
  <c r="P51" i="1" s="1"/>
  <c r="CP51" i="1" s="1"/>
  <c r="O51" i="1" s="1"/>
  <c r="AD51" i="1"/>
  <c r="CR51" i="1" s="1"/>
  <c r="Q51" i="1" s="1"/>
  <c r="CR49" i="1"/>
  <c r="Q49" i="1" s="1"/>
  <c r="P49" i="1"/>
  <c r="CP49" i="1" s="1"/>
  <c r="O49" i="1" s="1"/>
  <c r="AB47" i="1"/>
  <c r="CR45" i="1"/>
  <c r="Q45" i="1" s="1"/>
  <c r="P45" i="1"/>
  <c r="CP45" i="1" s="1"/>
  <c r="O45" i="1" s="1"/>
  <c r="AB43" i="1"/>
  <c r="T41" i="1"/>
  <c r="AB41" i="1"/>
  <c r="CQ40" i="1"/>
  <c r="P40" i="1" s="1"/>
  <c r="U40" i="1"/>
  <c r="Q40" i="1"/>
  <c r="CX56" i="3"/>
  <c r="CX60" i="3"/>
  <c r="CX64" i="3"/>
  <c r="CX57" i="3"/>
  <c r="CX61" i="3"/>
  <c r="CX58" i="3"/>
  <c r="CX62" i="3"/>
  <c r="CX55" i="3"/>
  <c r="CX59" i="3"/>
  <c r="CX63" i="3"/>
  <c r="I39" i="1"/>
  <c r="P39" i="1" s="1"/>
  <c r="I43" i="1"/>
  <c r="Q43" i="1" s="1"/>
  <c r="CX48" i="3"/>
  <c r="CX52" i="3"/>
  <c r="CX45" i="3"/>
  <c r="CX49" i="3"/>
  <c r="CX53" i="3"/>
  <c r="CX46" i="3"/>
  <c r="CX50" i="3"/>
  <c r="CX54" i="3"/>
  <c r="CX47" i="3"/>
  <c r="CX51" i="3"/>
  <c r="W34" i="1"/>
  <c r="S34" i="1"/>
  <c r="GX33" i="1"/>
  <c r="V33" i="1"/>
  <c r="CX32" i="3"/>
  <c r="CX36" i="3"/>
  <c r="CX33" i="3"/>
  <c r="CX37" i="3"/>
  <c r="CX34" i="3"/>
  <c r="CX31" i="3"/>
  <c r="CX35" i="3"/>
  <c r="CS31" i="1"/>
  <c r="R31" i="1" s="1"/>
  <c r="CY30" i="1"/>
  <c r="X30" i="1" s="1"/>
  <c r="CZ30" i="1"/>
  <c r="Y30" i="1" s="1"/>
  <c r="AB27" i="1"/>
  <c r="CR27" i="1"/>
  <c r="Q27" i="1" s="1"/>
  <c r="AB52" i="1"/>
  <c r="U48" i="1"/>
  <c r="Q48" i="1"/>
  <c r="CP48" i="1" s="1"/>
  <c r="O48" i="1" s="1"/>
  <c r="AB46" i="1"/>
  <c r="GX43" i="1"/>
  <c r="V40" i="1"/>
  <c r="AI85" i="1" s="1"/>
  <c r="V39" i="1"/>
  <c r="CZ38" i="1"/>
  <c r="Y38" i="1" s="1"/>
  <c r="CP38" i="1"/>
  <c r="O38" i="1" s="1"/>
  <c r="W33" i="1"/>
  <c r="R33" i="1"/>
  <c r="GK33" i="1" s="1"/>
  <c r="CP32" i="1"/>
  <c r="O32" i="1" s="1"/>
  <c r="P31" i="1"/>
  <c r="CQ30" i="1"/>
  <c r="P30" i="1" s="1"/>
  <c r="AB30" i="1"/>
  <c r="CT50" i="1"/>
  <c r="S50" i="1" s="1"/>
  <c r="CX68" i="3"/>
  <c r="CX72" i="3"/>
  <c r="CX65" i="3"/>
  <c r="CX69" i="3"/>
  <c r="CX73" i="3"/>
  <c r="CX66" i="3"/>
  <c r="CX70" i="3"/>
  <c r="CX74" i="3"/>
  <c r="CX67" i="3"/>
  <c r="CX71" i="3"/>
  <c r="CX75" i="3"/>
  <c r="V43" i="1"/>
  <c r="R43" i="1"/>
  <c r="GK43" i="1" s="1"/>
  <c r="W42" i="1"/>
  <c r="S42" i="1"/>
  <c r="AD39" i="1"/>
  <c r="CR39" i="1" s="1"/>
  <c r="AB35" i="1"/>
  <c r="AB33" i="1"/>
  <c r="CQ33" i="1"/>
  <c r="P33" i="1" s="1"/>
  <c r="U31" i="1"/>
  <c r="CP28" i="1"/>
  <c r="O28" i="1" s="1"/>
  <c r="CP27" i="1"/>
  <c r="O27" i="1" s="1"/>
  <c r="CY25" i="1"/>
  <c r="X25" i="1" s="1"/>
  <c r="CZ40" i="1"/>
  <c r="Y40" i="1" s="1"/>
  <c r="AB39" i="1"/>
  <c r="AB36" i="1"/>
  <c r="CP36" i="1"/>
  <c r="O36" i="1" s="1"/>
  <c r="CX40" i="3"/>
  <c r="CX44" i="3"/>
  <c r="CX41" i="3"/>
  <c r="CX38" i="3"/>
  <c r="CX42" i="3"/>
  <c r="CX39" i="3"/>
  <c r="CX43" i="3"/>
  <c r="I35" i="1"/>
  <c r="AB31" i="1"/>
  <c r="CR31" i="1"/>
  <c r="Q31" i="1" s="1"/>
  <c r="GM24" i="1"/>
  <c r="GN24" i="1"/>
  <c r="CX76" i="3"/>
  <c r="CX80" i="3"/>
  <c r="CX84" i="3"/>
  <c r="CX77" i="3"/>
  <c r="CX81" i="3"/>
  <c r="CX85" i="3"/>
  <c r="CX78" i="3"/>
  <c r="CX82" i="3"/>
  <c r="CX86" i="3"/>
  <c r="CX79" i="3"/>
  <c r="CX83" i="3"/>
  <c r="U33" i="1"/>
  <c r="Q33" i="1"/>
  <c r="T30" i="1"/>
  <c r="CQ29" i="1"/>
  <c r="P29" i="1" s="1"/>
  <c r="U29" i="1"/>
  <c r="Q29" i="1"/>
  <c r="AD26" i="1"/>
  <c r="CR26" i="1" s="1"/>
  <c r="Q26" i="1" s="1"/>
  <c r="CQ25" i="1"/>
  <c r="P25" i="1" s="1"/>
  <c r="U25" i="1"/>
  <c r="Q25" i="1"/>
  <c r="V29" i="1"/>
  <c r="CZ26" i="1"/>
  <c r="Y26" i="1" s="1"/>
  <c r="AB26" i="1"/>
  <c r="V25" i="1"/>
  <c r="T32" i="1"/>
  <c r="AB32" i="1"/>
  <c r="W31" i="1"/>
  <c r="S31" i="1"/>
  <c r="AD28" i="1"/>
  <c r="CR28" i="1" s="1"/>
  <c r="Q28" i="1" s="1"/>
  <c r="W27" i="1"/>
  <c r="S27" i="1"/>
  <c r="AB24" i="1"/>
  <c r="CZ29" i="1"/>
  <c r="Y29" i="1" s="1"/>
  <c r="AB28" i="1"/>
  <c r="CX20" i="3"/>
  <c r="CX24" i="3"/>
  <c r="CX28" i="3"/>
  <c r="CX21" i="3"/>
  <c r="CX25" i="3"/>
  <c r="CX29" i="3"/>
  <c r="CX22" i="3"/>
  <c r="CX26" i="3"/>
  <c r="CX30" i="3"/>
  <c r="CX19" i="3"/>
  <c r="CX23" i="3"/>
  <c r="CX27" i="3"/>
  <c r="CZ25" i="1"/>
  <c r="Y25" i="1" s="1"/>
  <c r="CX4" i="3"/>
  <c r="CX5" i="3"/>
  <c r="CX6" i="3"/>
  <c r="CX8" i="3"/>
  <c r="CX12" i="3"/>
  <c r="CX16" i="3"/>
  <c r="CX9" i="3"/>
  <c r="CX13" i="3"/>
  <c r="CX17" i="3"/>
  <c r="CX10" i="3"/>
  <c r="CX14" i="3"/>
  <c r="CX18" i="3"/>
  <c r="CX7" i="3"/>
  <c r="CX11" i="3"/>
  <c r="CX15" i="3"/>
  <c r="CX1" i="3"/>
  <c r="CX2" i="3"/>
  <c r="CX3" i="3"/>
  <c r="G11" i="5" l="1"/>
  <c r="G134" i="5"/>
  <c r="GM62" i="1"/>
  <c r="GN62" i="1"/>
  <c r="GM66" i="1"/>
  <c r="GN66" i="1"/>
  <c r="GN61" i="1"/>
  <c r="GM61" i="1"/>
  <c r="GN65" i="1"/>
  <c r="GM65" i="1"/>
  <c r="AI22" i="1"/>
  <c r="V85" i="1"/>
  <c r="AH85" i="1"/>
  <c r="GM49" i="1"/>
  <c r="GN49" i="1"/>
  <c r="CP29" i="1"/>
  <c r="O29" i="1" s="1"/>
  <c r="GN36" i="1"/>
  <c r="GM36" i="1"/>
  <c r="Q39" i="1"/>
  <c r="CY50" i="1"/>
  <c r="X50" i="1" s="1"/>
  <c r="CZ50" i="1"/>
  <c r="Y50" i="1" s="1"/>
  <c r="GN32" i="1"/>
  <c r="GM32" i="1"/>
  <c r="AJ85" i="1"/>
  <c r="CP40" i="1"/>
  <c r="O40" i="1" s="1"/>
  <c r="GM45" i="1"/>
  <c r="GN45" i="1"/>
  <c r="CZ33" i="1"/>
  <c r="Y33" i="1" s="1"/>
  <c r="W39" i="1"/>
  <c r="CZ53" i="1"/>
  <c r="Y53" i="1" s="1"/>
  <c r="CY76" i="1"/>
  <c r="X76" i="1" s="1"/>
  <c r="GN76" i="1" s="1"/>
  <c r="CZ76" i="1"/>
  <c r="Y76" i="1" s="1"/>
  <c r="GM46" i="1"/>
  <c r="GN46" i="1"/>
  <c r="GM63" i="1"/>
  <c r="GN63" i="1"/>
  <c r="GM71" i="1"/>
  <c r="GN71" i="1"/>
  <c r="CJ22" i="1"/>
  <c r="BA85" i="1"/>
  <c r="CP55" i="1"/>
  <c r="O55" i="1" s="1"/>
  <c r="V73" i="1"/>
  <c r="AO22" i="1"/>
  <c r="AO122" i="1"/>
  <c r="F89" i="1"/>
  <c r="CY75" i="1"/>
  <c r="X75" i="1" s="1"/>
  <c r="AQ22" i="1"/>
  <c r="AQ122" i="1"/>
  <c r="F95" i="1"/>
  <c r="EL18" i="1"/>
  <c r="P140" i="1"/>
  <c r="CY55" i="1"/>
  <c r="X55" i="1" s="1"/>
  <c r="CI22" i="1"/>
  <c r="AZ85" i="1"/>
  <c r="U73" i="1"/>
  <c r="GA22" i="1"/>
  <c r="ER85" i="1"/>
  <c r="CY27" i="1"/>
  <c r="X27" i="1" s="1"/>
  <c r="GM27" i="1" s="1"/>
  <c r="CZ27" i="1"/>
  <c r="Y27" i="1" s="1"/>
  <c r="T35" i="1"/>
  <c r="DY85" i="1" s="1"/>
  <c r="W35" i="1"/>
  <c r="EB85" i="1" s="1"/>
  <c r="GX35" i="1"/>
  <c r="GB85" i="1" s="1"/>
  <c r="GN28" i="1"/>
  <c r="GM28" i="1"/>
  <c r="CP31" i="1"/>
  <c r="O31" i="1" s="1"/>
  <c r="CY34" i="1"/>
  <c r="X34" i="1" s="1"/>
  <c r="GM34" i="1" s="1"/>
  <c r="CZ34" i="1"/>
  <c r="Y34" i="1" s="1"/>
  <c r="AL85" i="1" s="1"/>
  <c r="AF85" i="1"/>
  <c r="CP25" i="1"/>
  <c r="O25" i="1" s="1"/>
  <c r="AD85" i="1"/>
  <c r="AG85" i="1"/>
  <c r="CP26" i="1"/>
  <c r="O26" i="1" s="1"/>
  <c r="CP33" i="1"/>
  <c r="O33" i="1" s="1"/>
  <c r="CY42" i="1"/>
  <c r="X42" i="1" s="1"/>
  <c r="GM42" i="1" s="1"/>
  <c r="CZ42" i="1"/>
  <c r="Y42" i="1" s="1"/>
  <c r="R39" i="1"/>
  <c r="GK39" i="1" s="1"/>
  <c r="GK31" i="1"/>
  <c r="R35" i="1"/>
  <c r="GK35" i="1" s="1"/>
  <c r="W43" i="1"/>
  <c r="T43" i="1"/>
  <c r="GX39" i="1"/>
  <c r="P35" i="1"/>
  <c r="GX73" i="1"/>
  <c r="U43" i="1"/>
  <c r="CY53" i="1"/>
  <c r="X53" i="1" s="1"/>
  <c r="GN53" i="1" s="1"/>
  <c r="GM59" i="1"/>
  <c r="GN59" i="1"/>
  <c r="GM67" i="1"/>
  <c r="GN67" i="1"/>
  <c r="U35" i="1"/>
  <c r="GM41" i="1"/>
  <c r="GN41" i="1"/>
  <c r="S43" i="1"/>
  <c r="CP43" i="1" s="1"/>
  <c r="O43" i="1" s="1"/>
  <c r="AB55" i="1"/>
  <c r="CY72" i="1"/>
  <c r="X72" i="1" s="1"/>
  <c r="CZ72" i="1"/>
  <c r="Y72" i="1" s="1"/>
  <c r="GM77" i="1"/>
  <c r="GN77" i="1"/>
  <c r="CG22" i="1"/>
  <c r="AX85" i="1"/>
  <c r="CZ57" i="1"/>
  <c r="Y57" i="1" s="1"/>
  <c r="GN69" i="1"/>
  <c r="GM69" i="1"/>
  <c r="Q73" i="1"/>
  <c r="ET18" i="1"/>
  <c r="P135" i="1"/>
  <c r="CZ79" i="1"/>
  <c r="Y79" i="1" s="1"/>
  <c r="EU22" i="1"/>
  <c r="EU122" i="1"/>
  <c r="P101" i="1"/>
  <c r="EA85" i="1"/>
  <c r="CP30" i="1"/>
  <c r="O30" i="1" s="1"/>
  <c r="AC85" i="1"/>
  <c r="V35" i="1"/>
  <c r="U39" i="1"/>
  <c r="DZ85" i="1" s="1"/>
  <c r="S39" i="1"/>
  <c r="CP39" i="1" s="1"/>
  <c r="O39" i="1" s="1"/>
  <c r="GM51" i="1"/>
  <c r="GN51" i="1"/>
  <c r="GN74" i="1"/>
  <c r="GM74" i="1"/>
  <c r="Q35" i="1"/>
  <c r="DV85" i="1" s="1"/>
  <c r="T39" i="1"/>
  <c r="GN50" i="1"/>
  <c r="GM50" i="1"/>
  <c r="GM44" i="1"/>
  <c r="GN44" i="1"/>
  <c r="GN47" i="1"/>
  <c r="GM47" i="1"/>
  <c r="CZ54" i="1"/>
  <c r="Y54" i="1" s="1"/>
  <c r="CY54" i="1"/>
  <c r="X54" i="1" s="1"/>
  <c r="GM60" i="1"/>
  <c r="GN60" i="1"/>
  <c r="CY68" i="1"/>
  <c r="X68" i="1" s="1"/>
  <c r="GM68" i="1" s="1"/>
  <c r="CZ68" i="1"/>
  <c r="Y68" i="1" s="1"/>
  <c r="GN68" i="1" s="1"/>
  <c r="CP54" i="1"/>
  <c r="O54" i="1" s="1"/>
  <c r="CY57" i="1"/>
  <c r="X57" i="1" s="1"/>
  <c r="GN57" i="1" s="1"/>
  <c r="FY22" i="1"/>
  <c r="EP85" i="1"/>
  <c r="GM78" i="1"/>
  <c r="GN78" i="1"/>
  <c r="EM22" i="1"/>
  <c r="EM122" i="1"/>
  <c r="P104" i="1"/>
  <c r="EI22" i="1"/>
  <c r="EI122" i="1"/>
  <c r="P95" i="1"/>
  <c r="CY79" i="1"/>
  <c r="X79" i="1" s="1"/>
  <c r="BC22" i="1"/>
  <c r="BC122" i="1"/>
  <c r="F101" i="1"/>
  <c r="AP18" i="1"/>
  <c r="F131" i="1"/>
  <c r="CZ31" i="1"/>
  <c r="Y31" i="1" s="1"/>
  <c r="CY31" i="1"/>
  <c r="X31" i="1" s="1"/>
  <c r="GM38" i="1"/>
  <c r="GN38" i="1"/>
  <c r="T73" i="1"/>
  <c r="W73" i="1"/>
  <c r="S35" i="1"/>
  <c r="GM52" i="1"/>
  <c r="GN52" i="1"/>
  <c r="CY70" i="1"/>
  <c r="X70" i="1" s="1"/>
  <c r="GM70" i="1" s="1"/>
  <c r="CZ70" i="1"/>
  <c r="Y70" i="1" s="1"/>
  <c r="GK48" i="1"/>
  <c r="GM48" i="1" s="1"/>
  <c r="AE85" i="1"/>
  <c r="CZ58" i="1"/>
  <c r="Y58" i="1" s="1"/>
  <c r="CY58" i="1"/>
  <c r="X58" i="1" s="1"/>
  <c r="GM58" i="1" s="1"/>
  <c r="GM64" i="1"/>
  <c r="GN64" i="1"/>
  <c r="R73" i="1"/>
  <c r="GK73" i="1" s="1"/>
  <c r="EG22" i="1"/>
  <c r="EG122" i="1"/>
  <c r="P89" i="1"/>
  <c r="CZ75" i="1"/>
  <c r="Y75" i="1" s="1"/>
  <c r="AT22" i="1"/>
  <c r="F103" i="1"/>
  <c r="F16" i="2" s="1"/>
  <c r="F18" i="2" s="1"/>
  <c r="AT122" i="1"/>
  <c r="CZ55" i="1"/>
  <c r="Y55" i="1" s="1"/>
  <c r="GM76" i="1"/>
  <c r="GM72" i="1"/>
  <c r="GN72" i="1"/>
  <c r="AU22" i="1"/>
  <c r="F104" i="1"/>
  <c r="AU122" i="1"/>
  <c r="P73" i="1"/>
  <c r="CP73" i="1" s="1"/>
  <c r="O73" i="1" s="1"/>
  <c r="DV22" i="1" l="1"/>
  <c r="DI85" i="1"/>
  <c r="EB22" i="1"/>
  <c r="DO85" i="1"/>
  <c r="DZ22" i="1"/>
  <c r="DM85" i="1"/>
  <c r="AL22" i="1"/>
  <c r="Y85" i="1"/>
  <c r="GB22" i="1"/>
  <c r="ES85" i="1"/>
  <c r="AC22" i="1"/>
  <c r="CE85" i="1"/>
  <c r="P85" i="1"/>
  <c r="CH85" i="1"/>
  <c r="CF85" i="1"/>
  <c r="DW85" i="1"/>
  <c r="AU18" i="1"/>
  <c r="F141" i="1"/>
  <c r="AT18" i="1"/>
  <c r="F140" i="1"/>
  <c r="EA22" i="1"/>
  <c r="DN85" i="1"/>
  <c r="GN26" i="1"/>
  <c r="GM26" i="1"/>
  <c r="AB85" i="1"/>
  <c r="GM25" i="1"/>
  <c r="GN25" i="1"/>
  <c r="ER22" i="1"/>
  <c r="P96" i="1"/>
  <c r="ER122" i="1"/>
  <c r="GN55" i="1"/>
  <c r="GM55" i="1"/>
  <c r="BC18" i="1"/>
  <c r="F138" i="1"/>
  <c r="EI18" i="1"/>
  <c r="P132" i="1"/>
  <c r="CP35" i="1"/>
  <c r="O35" i="1" s="1"/>
  <c r="AG22" i="1"/>
  <c r="T85" i="1"/>
  <c r="GN31" i="1"/>
  <c r="GM31" i="1"/>
  <c r="AQ18" i="1"/>
  <c r="F132" i="1"/>
  <c r="AO18" i="1"/>
  <c r="F126" i="1"/>
  <c r="GM53" i="1"/>
  <c r="GM57" i="1"/>
  <c r="AJ22" i="1"/>
  <c r="W85" i="1"/>
  <c r="V22" i="1"/>
  <c r="V122" i="1"/>
  <c r="F108" i="1"/>
  <c r="CY73" i="1"/>
  <c r="X73" i="1" s="1"/>
  <c r="GN70" i="1"/>
  <c r="AD22" i="1"/>
  <c r="Q85" i="1"/>
  <c r="DY22" i="1"/>
  <c r="DL85" i="1"/>
  <c r="AK85" i="1"/>
  <c r="CZ39" i="1"/>
  <c r="Y39" i="1" s="1"/>
  <c r="GN39" i="1" s="1"/>
  <c r="CY39" i="1"/>
  <c r="X39" i="1" s="1"/>
  <c r="GM39" i="1" s="1"/>
  <c r="CY43" i="1"/>
  <c r="X43" i="1" s="1"/>
  <c r="GM43" i="1" s="1"/>
  <c r="CZ43" i="1"/>
  <c r="Y43" i="1" s="1"/>
  <c r="AE22" i="1"/>
  <c r="R85" i="1"/>
  <c r="GM30" i="1"/>
  <c r="GN30" i="1"/>
  <c r="GM33" i="1"/>
  <c r="GN33" i="1"/>
  <c r="DU85" i="1"/>
  <c r="AZ22" i="1"/>
  <c r="AZ122" i="1"/>
  <c r="F96" i="1"/>
  <c r="GM75" i="1"/>
  <c r="GN75" i="1"/>
  <c r="BA22" i="1"/>
  <c r="BA122" i="1"/>
  <c r="F105" i="1"/>
  <c r="H16" i="2" s="1"/>
  <c r="H18" i="2" s="1"/>
  <c r="GN27" i="1"/>
  <c r="GN42" i="1"/>
  <c r="GN48" i="1"/>
  <c r="GN58" i="1"/>
  <c r="GN34" i="1"/>
  <c r="CY35" i="1"/>
  <c r="X35" i="1" s="1"/>
  <c r="EC85" i="1" s="1"/>
  <c r="CZ35" i="1"/>
  <c r="Y35" i="1" s="1"/>
  <c r="EU18" i="1"/>
  <c r="P138" i="1"/>
  <c r="AF22" i="1"/>
  <c r="S85" i="1"/>
  <c r="GM79" i="1"/>
  <c r="GN79" i="1"/>
  <c r="GM54" i="1"/>
  <c r="GN54" i="1"/>
  <c r="AX22" i="1"/>
  <c r="AX122" i="1"/>
  <c r="F92" i="1"/>
  <c r="EG18" i="1"/>
  <c r="P126" i="1"/>
  <c r="EM18" i="1"/>
  <c r="P141" i="1"/>
  <c r="EP22" i="1"/>
  <c r="P92" i="1"/>
  <c r="EP122" i="1"/>
  <c r="DX85" i="1"/>
  <c r="GM40" i="1"/>
  <c r="GN40" i="1"/>
  <c r="GM29" i="1"/>
  <c r="GN29" i="1"/>
  <c r="AH22" i="1"/>
  <c r="U85" i="1"/>
  <c r="CZ73" i="1"/>
  <c r="Y73" i="1" s="1"/>
  <c r="GN73" i="1" s="1"/>
  <c r="EC22" i="1" l="1"/>
  <c r="DP85" i="1"/>
  <c r="ER18" i="1"/>
  <c r="P133" i="1"/>
  <c r="CB85" i="1"/>
  <c r="P22" i="1"/>
  <c r="F88" i="1"/>
  <c r="P122" i="1"/>
  <c r="GN43" i="1"/>
  <c r="U22" i="1"/>
  <c r="U122" i="1"/>
  <c r="F107" i="1"/>
  <c r="EP18" i="1"/>
  <c r="P129" i="1"/>
  <c r="AX18" i="1"/>
  <c r="F129" i="1"/>
  <c r="GM73" i="1"/>
  <c r="BA18" i="1"/>
  <c r="F142" i="1"/>
  <c r="R22" i="1"/>
  <c r="F99" i="1"/>
  <c r="R122" i="1"/>
  <c r="W22" i="1"/>
  <c r="W122" i="1"/>
  <c r="F109" i="1"/>
  <c r="GN35" i="1"/>
  <c r="GM35" i="1"/>
  <c r="FS85" i="1" s="1"/>
  <c r="DN22" i="1"/>
  <c r="P108" i="1"/>
  <c r="DN122" i="1"/>
  <c r="DW22" i="1"/>
  <c r="DJ85" i="1"/>
  <c r="CE22" i="1"/>
  <c r="AV85" i="1"/>
  <c r="ES22" i="1"/>
  <c r="P105" i="1"/>
  <c r="W16" i="2" s="1"/>
  <c r="W18" i="2" s="1"/>
  <c r="ES122" i="1"/>
  <c r="DM22" i="1"/>
  <c r="P107" i="1"/>
  <c r="DM122" i="1"/>
  <c r="DO22" i="1"/>
  <c r="DO122" i="1"/>
  <c r="P109" i="1"/>
  <c r="DX22" i="1"/>
  <c r="DK85" i="1"/>
  <c r="DU22" i="1"/>
  <c r="DH85" i="1"/>
  <c r="FZ85" i="1"/>
  <c r="FW85" i="1"/>
  <c r="FX85" i="1"/>
  <c r="AZ18" i="1"/>
  <c r="F133" i="1"/>
  <c r="Q22" i="1"/>
  <c r="F97" i="1"/>
  <c r="Q122" i="1"/>
  <c r="AB22" i="1"/>
  <c r="O85" i="1"/>
  <c r="CF22" i="1"/>
  <c r="AW85" i="1"/>
  <c r="S22" i="1"/>
  <c r="S122" i="1"/>
  <c r="F100" i="1"/>
  <c r="J16" i="2" s="1"/>
  <c r="J18" i="2" s="1"/>
  <c r="ED85" i="1"/>
  <c r="AK22" i="1"/>
  <c r="X85" i="1"/>
  <c r="V18" i="1"/>
  <c r="F145" i="1"/>
  <c r="T22" i="1"/>
  <c r="F106" i="1"/>
  <c r="T122" i="1"/>
  <c r="DT85" i="1"/>
  <c r="CA85" i="1"/>
  <c r="CH22" i="1"/>
  <c r="AY85" i="1"/>
  <c r="Y22" i="1"/>
  <c r="F111" i="1"/>
  <c r="F115" i="1" s="1"/>
  <c r="Y122" i="1"/>
  <c r="DI22" i="1"/>
  <c r="P97" i="1"/>
  <c r="DI122" i="1"/>
  <c r="DL22" i="1"/>
  <c r="DL122" i="1"/>
  <c r="P106" i="1"/>
  <c r="FT85" i="1"/>
  <c r="FS22" i="1" l="1"/>
  <c r="EJ85" i="1"/>
  <c r="DL18" i="1"/>
  <c r="P143" i="1"/>
  <c r="T18" i="1"/>
  <c r="F143" i="1"/>
  <c r="Y18" i="1"/>
  <c r="F148" i="1"/>
  <c r="F152" i="1" s="1"/>
  <c r="X22" i="1"/>
  <c r="F110" i="1"/>
  <c r="F114" i="1" s="1"/>
  <c r="X122" i="1"/>
  <c r="O22" i="1"/>
  <c r="F87" i="1"/>
  <c r="F113" i="1" s="1"/>
  <c r="O122" i="1"/>
  <c r="DK22" i="1"/>
  <c r="P100" i="1"/>
  <c r="Y16" i="2" s="1"/>
  <c r="Y18" i="2" s="1"/>
  <c r="DK122" i="1"/>
  <c r="ES18" i="1"/>
  <c r="P142" i="1"/>
  <c r="R18" i="1"/>
  <c r="F136" i="1"/>
  <c r="DI18" i="1"/>
  <c r="P134" i="1"/>
  <c r="CA22" i="1"/>
  <c r="AR85" i="1"/>
  <c r="FZ22" i="1"/>
  <c r="EQ85" i="1"/>
  <c r="DM18" i="1"/>
  <c r="P144" i="1"/>
  <c r="DJ22" i="1"/>
  <c r="P99" i="1"/>
  <c r="DJ122" i="1"/>
  <c r="CB22" i="1"/>
  <c r="AS85" i="1"/>
  <c r="DT22" i="1"/>
  <c r="DG85" i="1"/>
  <c r="ED22" i="1"/>
  <c r="DQ85" i="1"/>
  <c r="AW22" i="1"/>
  <c r="F91" i="1"/>
  <c r="AW122" i="1"/>
  <c r="Q18" i="1"/>
  <c r="F134" i="1"/>
  <c r="DH22" i="1"/>
  <c r="P88" i="1"/>
  <c r="DH122" i="1"/>
  <c r="W18" i="1"/>
  <c r="F146" i="1"/>
  <c r="P18" i="1"/>
  <c r="F125" i="1"/>
  <c r="AY22" i="1"/>
  <c r="F93" i="1"/>
  <c r="AY122" i="1"/>
  <c r="FX22" i="1"/>
  <c r="EO85" i="1"/>
  <c r="AV22" i="1"/>
  <c r="AV122" i="1"/>
  <c r="F90" i="1"/>
  <c r="DN18" i="1"/>
  <c r="P145" i="1"/>
  <c r="U18" i="1"/>
  <c r="F144" i="1"/>
  <c r="DO18" i="1"/>
  <c r="P146" i="1"/>
  <c r="S18" i="1"/>
  <c r="F137" i="1"/>
  <c r="FW22" i="1"/>
  <c r="EN85" i="1"/>
  <c r="DP22" i="1"/>
  <c r="P110" i="1"/>
  <c r="P114" i="1" s="1"/>
  <c r="DP122" i="1"/>
  <c r="FT22" i="1"/>
  <c r="EK85" i="1"/>
  <c r="DP18" i="1" l="1"/>
  <c r="P147" i="1"/>
  <c r="P151" i="1" s="1"/>
  <c r="EO22" i="1"/>
  <c r="P91" i="1"/>
  <c r="EO122" i="1"/>
  <c r="EQ22" i="1"/>
  <c r="EQ122" i="1"/>
  <c r="P93" i="1"/>
  <c r="X18" i="1"/>
  <c r="F147" i="1"/>
  <c r="F151" i="1" s="1"/>
  <c r="DH18" i="1"/>
  <c r="P125" i="1"/>
  <c r="DQ22" i="1"/>
  <c r="P111" i="1"/>
  <c r="P115" i="1" s="1"/>
  <c r="DQ122" i="1"/>
  <c r="AS22" i="1"/>
  <c r="AS122" i="1"/>
  <c r="F102" i="1"/>
  <c r="E16" i="2" s="1"/>
  <c r="O18" i="1"/>
  <c r="F124" i="1"/>
  <c r="F150" i="1" s="1"/>
  <c r="EJ22" i="1"/>
  <c r="P112" i="1"/>
  <c r="EJ122" i="1"/>
  <c r="EK22" i="1"/>
  <c r="P102" i="1"/>
  <c r="T16" i="2" s="1"/>
  <c r="EK122" i="1"/>
  <c r="AV18" i="1"/>
  <c r="F127" i="1"/>
  <c r="AY18" i="1"/>
  <c r="F130" i="1"/>
  <c r="AW18" i="1"/>
  <c r="F128" i="1"/>
  <c r="AR22" i="1"/>
  <c r="AR122" i="1"/>
  <c r="F112" i="1"/>
  <c r="DK18" i="1"/>
  <c r="P137" i="1"/>
  <c r="F116" i="1"/>
  <c r="F118" i="1" s="1"/>
  <c r="EN22" i="1"/>
  <c r="P90" i="1"/>
  <c r="EN122" i="1"/>
  <c r="DG22" i="1"/>
  <c r="DG122" i="1"/>
  <c r="P87" i="1"/>
  <c r="P113" i="1" s="1"/>
  <c r="DJ18" i="1"/>
  <c r="P136" i="1"/>
  <c r="DG18" i="1" l="1"/>
  <c r="P124" i="1"/>
  <c r="P150" i="1" s="1"/>
  <c r="EJ18" i="1"/>
  <c r="P149" i="1"/>
  <c r="DQ18" i="1"/>
  <c r="P148" i="1"/>
  <c r="P152" i="1" s="1"/>
  <c r="EQ18" i="1"/>
  <c r="P130" i="1"/>
  <c r="F119" i="1"/>
  <c r="F120" i="1"/>
  <c r="AR18" i="1"/>
  <c r="F149" i="1"/>
  <c r="EK18" i="1"/>
  <c r="P139" i="1"/>
  <c r="I16" i="2"/>
  <c r="I18" i="2" s="1"/>
  <c r="E18" i="2"/>
  <c r="EN18" i="1"/>
  <c r="P127" i="1"/>
  <c r="X16" i="2"/>
  <c r="X18" i="2" s="1"/>
  <c r="T18" i="2"/>
  <c r="AS18" i="1"/>
  <c r="F139" i="1"/>
  <c r="EO18" i="1"/>
  <c r="P128" i="1"/>
  <c r="P116" i="1"/>
  <c r="P118" i="1" s="1"/>
  <c r="F153" i="1"/>
  <c r="F155" i="1" s="1"/>
  <c r="F156" i="1" l="1"/>
  <c r="F157" i="1" s="1"/>
  <c r="P153" i="1"/>
  <c r="P155" i="1" s="1"/>
  <c r="P119" i="1"/>
  <c r="P120" i="1" s="1"/>
  <c r="P156" i="1" l="1"/>
  <c r="P157" i="1" s="1"/>
</calcChain>
</file>

<file path=xl/sharedStrings.xml><?xml version="1.0" encoding="utf-8"?>
<sst xmlns="http://schemas.openxmlformats.org/spreadsheetml/2006/main" count="5026" uniqueCount="514">
  <si>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</si>
  <si>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</si>
  <si>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</si>
  <si>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</si>
  <si>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</si>
  <si>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Капитальный ремонт окооных проемов в актовом зале учебного корпуса общежития ДИТИ НИЯУ МИФИ_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</si>
  <si>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</si>
  <si>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</si>
  <si>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</si>
  <si>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</si>
  <si>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</si>
  <si>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</si>
  <si>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</si>
  <si>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</si>
  <si>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</si>
  <si>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</si>
  <si>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</si>
  <si>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</si>
  <si>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</si>
  <si>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</si>
  <si>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</si>
  <si>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</si>
  <si>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</si>
  <si>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</si>
  <si>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</si>
  <si>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</si>
  <si>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</si>
  <si>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Деревянные конструкции</t>
  </si>
  <si>
    <t>ФЕР-10</t>
  </si>
  <si>
    <t>2,1</t>
  </si>
  <si>
    <t>11.3.02.03</t>
  </si>
  <si>
    <t>Блоки оконные пластиковые</t>
  </si>
  <si>
    <t>м2</t>
  </si>
  <si>
    <t>2,2</t>
  </si>
  <si>
    <t>11.3.02.01-0021</t>
  </si>
  <si>
    <t>Блок оконный пластиковый  с 6-ю глухими створками остекления, с 2-мя   поворотно-откидными  створками, 5-ти камерным стеклопакетом (42 мм), площадью более 3,5 м2</t>
  </si>
  <si>
    <t>ФССЦ-2001, 11.3.02.01-0021, приказ Минстроя России №1039/пр от 30.12.2016г.</t>
  </si>
  <si>
    <t>3</t>
  </si>
  <si>
    <t>10-01-035-03</t>
  </si>
  <si>
    <t>Установка подоконных досок из ПВХ в каменных стенах толщиной свыше 0,51 м</t>
  </si>
  <si>
    <t>100 м</t>
  </si>
  <si>
    <t>ФЕР-2001, 10-01-035-03, приказ Минстроя России №1039/пр от 30.12.2016г.</t>
  </si>
  <si>
    <t>3,1</t>
  </si>
  <si>
    <t>11.3.03.01-0010</t>
  </si>
  <si>
    <t>Доски подоконные ПВХ, шириной 500 мм</t>
  </si>
  <si>
    <t>м</t>
  </si>
  <si>
    <t>ФССЦ-2001, 11.3.03.01-0010, приказ Минстроя России №1039/пр от 30.12.2016г.</t>
  </si>
  <si>
    <t>4</t>
  </si>
  <si>
    <t>58-20-1</t>
  </si>
  <si>
    <t>Смена обделок из листовой стали (поясков, сандриков, отливов, карнизов) шириной до 0,4 м</t>
  </si>
  <si>
    <t>ФЕР-2001, 58-20-1, приказ Минстроя России №1039/пр от 30.12.2016г.</t>
  </si>
  <si>
    <t>Ремонтно-строительные работы</t>
  </si>
  <si>
    <t>Крыши, кровля</t>
  </si>
  <si>
    <t>рФЕР-58</t>
  </si>
  <si>
    <t>4,1</t>
  </si>
  <si>
    <t>01.7.07.07</t>
  </si>
  <si>
    <t>Строительный мусор</t>
  </si>
  <si>
    <t>т</t>
  </si>
  <si>
    <t>4,2</t>
  </si>
  <si>
    <t>08.3.05.05</t>
  </si>
  <si>
    <t>Сталь листовая оцинкованная</t>
  </si>
  <si>
    <t>4,3</t>
  </si>
  <si>
    <t>08.3.05.05-0081</t>
  </si>
  <si>
    <t>Сталь оцинкованная в рулонах толщиной 0,5 мм, с полимерным покрытием</t>
  </si>
  <si>
    <t>ФССЦ-2001, 08.3.05.05-0081, приказ Минстроя России №1039/пр от 30.12.2016г.</t>
  </si>
  <si>
    <t>4,4</t>
  </si>
  <si>
    <t>08.1.02.03-0021</t>
  </si>
  <si>
    <t>Водоотлив оконный шириной планки 250 мм из оцинкованной стали с полимерным покрытием</t>
  </si>
  <si>
    <t>П.М</t>
  </si>
  <si>
    <t>ФССЦ-2001, 08.1.02.03-0021, приказ Минстроя России №1039/пр от 30.12.2016г.</t>
  </si>
  <si>
    <t>5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</si>
  <si>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</si>
  <si>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</si>
  <si>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</si>
  <si>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Отделочные работы</t>
  </si>
  <si>
    <t>ФЕР-15</t>
  </si>
  <si>
    <t>5,1</t>
  </si>
  <si>
    <t>01.6.01.11</t>
  </si>
  <si>
    <t>Листы облицовочные декоративные</t>
  </si>
  <si>
    <t>5,2</t>
  </si>
  <si>
    <t>11.3.03.05-0001</t>
  </si>
  <si>
    <t>Панели пластиковые для откосов "Реас Пласт" шириной 0,4 м, длиной 3,0 м, белые матовые, лакированные</t>
  </si>
  <si>
    <t>ФССЦ-2001, 11.3.03.05-0001, приказ Минстроя России №1039/пр от 30.12.2016г.</t>
  </si>
  <si>
    <t>5,3</t>
  </si>
  <si>
    <t>14.1.06.05</t>
  </si>
  <si>
    <t>Клей</t>
  </si>
  <si>
    <t>кг</t>
  </si>
  <si>
    <t>5,4</t>
  </si>
  <si>
    <t>14.1.02.03-0002</t>
  </si>
  <si>
    <t>Клей ПВА</t>
  </si>
  <si>
    <t>ФССЦ-2001, 14.1.02.03-0002, приказ Минстроя России №1039/пр от 30.12.2016г.</t>
  </si>
  <si>
    <t>5,5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</si>
  <si>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</si>
  <si>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</si>
  <si>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</si>
  <si>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5,6</t>
  </si>
  <si>
    <t>14.4.01.21</t>
  </si>
  <si>
    <t>Грунтовка</t>
  </si>
  <si>
    <t>6</t>
  </si>
  <si>
    <t>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</si>
  <si>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</si>
  <si>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ФЕР-2001, 61-2-7, приказ Минстроя России №1039/пр от 30.12.2016г.</t>
  </si>
  <si>
    <t>Штукатрурные работы</t>
  </si>
  <si>
    <t>рФЕР-61</t>
  </si>
  <si>
    <t>6,1</t>
  </si>
  <si>
    <t>7</t>
  </si>
  <si>
    <t>62-16-4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</si>
  <si>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</si>
  <si>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ФЕР-2001, 62-16-4, приказ Минстроя России №1039/пр от 30.12.2016г.</t>
  </si>
  <si>
    <t>Малярные работы</t>
  </si>
  <si>
    <t>рФЕР-62</t>
  </si>
  <si>
    <t>7,1</t>
  </si>
  <si>
    <t>14.3.02.01</t>
  </si>
  <si>
    <t>Краска водоэмульсионная</t>
  </si>
  <si>
    <t>7,2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</si>
  <si>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</si>
  <si>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</si>
  <si>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</si>
  <si>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8</t>
  </si>
  <si>
    <t>61-10-3</t>
  </si>
  <si>
    <t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t>
  </si>
  <si>
    <t>ФЕР-2001, 61-10-3, приказ Минстроя России №1039/пр от 30.12.2016г.</t>
  </si>
  <si>
    <t>8,1</t>
  </si>
  <si>
    <t>9</t>
  </si>
  <si>
    <t>15-04-012-01</t>
  </si>
  <si>
    <t>Окраска фасадов с лесов с подготовкой поверхности перхлорвиниловая</t>
  </si>
  <si>
    <t>ФЕР-2001, 15-04-012-01, приказ Минстроя России №1039/пр от 30.12.2016г.</t>
  </si>
  <si>
    <t>9,1</t>
  </si>
  <si>
    <t>14.4.02.07</t>
  </si>
  <si>
    <t>Краски перхлорвиниловые</t>
  </si>
  <si>
    <t>9,2</t>
  </si>
  <si>
    <t>14.4.02.07-0002</t>
  </si>
  <si>
    <t>Краска ХВ-161 перхлорвиниловая фасадная марок А, Б</t>
  </si>
  <si>
    <t>ФССЦ-2001, 14.4.02.07-0002, приказ Минстроя России №1039/пр от 30.12.2016г.</t>
  </si>
  <si>
    <t>10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</si>
  <si>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</si>
  <si>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</si>
  <si>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</si>
  <si>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</si>
  <si>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</si>
  <si>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</si>
  <si>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</si>
  <si>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11</t>
  </si>
  <si>
    <t>т03-21-01-015</t>
  </si>
  <si>
    <t>Перевозка грузов I класса автомобилями-самосвалами грузоподъемностью 10 т работающих вне карьера на расстояние до 15 км</t>
  </si>
  <si>
    <t>ФССЦпг-2001, т03-21-01-015,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</si>
  <si>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</si>
  <si>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</si>
  <si>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</si>
  <si>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</si>
  <si>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</si>
  <si>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</si>
  <si>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</si>
  <si>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</si>
  <si>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</si>
  <si>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</si>
  <si>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</si>
  <si>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</si>
  <si>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</si>
  <si>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</si>
  <si>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</si>
  <si>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</si>
  <si>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</si>
  <si>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</si>
  <si>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</si>
  <si>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</si>
  <si>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</si>
  <si>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</si>
  <si>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</si>
  <si>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</si>
  <si>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</si>
  <si>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</si>
  <si>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</si>
  <si>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</si>
  <si>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</si>
  <si>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</si>
  <si>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</si>
  <si>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</si>
  <si>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</si>
  <si>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</si>
  <si>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</si>
  <si>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</si>
  <si>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</si>
  <si>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</si>
  <si>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</si>
  <si>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</si>
  <si>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</si>
  <si>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</si>
  <si>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</si>
  <si>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</si>
  <si>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</si>
  <si>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</si>
  <si>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</si>
  <si>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</si>
  <si>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</si>
  <si>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</si>
  <si>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</si>
  <si>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</si>
  <si>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</si>
  <si>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</si>
  <si>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</si>
  <si>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</si>
  <si>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Итого прямые затраты</t>
  </si>
  <si>
    <t>Итог2</t>
  </si>
  <si>
    <t>Итог3</t>
  </si>
  <si>
    <t>Итог4</t>
  </si>
  <si>
    <t>Итого</t>
  </si>
  <si>
    <t>Итог5</t>
  </si>
  <si>
    <t>Зимнее удорожание 1,5%</t>
  </si>
  <si>
    <t>Итог6</t>
  </si>
  <si>
    <t>Итог7</t>
  </si>
  <si>
    <t>НДС 18%</t>
  </si>
  <si>
    <t>Итог8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</si>
  <si>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</si>
  <si>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</si>
  <si>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</si>
  <si>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</si>
  <si>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</si>
  <si>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</si>
  <si>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</si>
  <si>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</si>
  <si>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</si>
  <si>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</si>
  <si>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</si>
  <si>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</si>
  <si>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</si>
  <si>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</si>
  <si>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</si>
  <si>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</si>
  <si>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</si>
  <si>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</si>
  <si>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</si>
  <si>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</si>
  <si>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</si>
  <si>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</si>
  <si>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</si>
  <si>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</si>
  <si>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</si>
  <si>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</si>
  <si>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</si>
  <si>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</si>
  <si>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</si>
  <si>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</si>
  <si>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</si>
  <si>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</si>
  <si>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</si>
  <si>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</si>
  <si>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</si>
  <si>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</si>
  <si>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</si>
  <si>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</si>
  <si>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</si>
  <si>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</si>
  <si>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</si>
  <si>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</si>
  <si>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</si>
  <si>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</si>
  <si>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</si>
  <si>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</si>
  <si>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</si>
  <si>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</si>
  <si>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</si>
  <si>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</si>
  <si>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</si>
  <si>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</si>
  <si>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</si>
  <si>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</si>
  <si>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</si>
  <si>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</si>
  <si>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</si>
  <si>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</si>
  <si>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</si>
  <si>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</si>
  <si>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</si>
  <si>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</si>
  <si>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</si>
  <si>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</si>
  <si>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</si>
  <si>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</si>
  <si>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</si>
  <si>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</si>
  <si>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</si>
  <si>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</si>
  <si>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</si>
  <si>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</si>
  <si>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</si>
  <si>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</si>
  <si>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</si>
  <si>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</si>
  <si>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</si>
  <si>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</si>
  <si>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</si>
  <si>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</si>
  <si>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</si>
  <si>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</si>
  <si>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</si>
  <si>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</si>
  <si>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</si>
  <si>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</si>
  <si>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</si>
  <si>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</si>
  <si>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10 м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</si>
  <si>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</si>
  <si>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</si>
  <si>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</si>
  <si>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</si>
  <si>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</si>
  <si>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</si>
  <si>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</si>
  <si>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</si>
  <si>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</si>
  <si>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</si>
  <si>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</si>
  <si>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</si>
  <si>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1-100-30</t>
  </si>
  <si>
    <t>Рабочий среднего разряда 3</t>
  </si>
  <si>
    <t>01.7.15.06-0111</t>
  </si>
  <si>
    <t>ФССЦ-2001, 01.7.15.06-0111, приказ Минстроя России №1039/пр от 30.12.2016г.</t>
  </si>
  <si>
    <t>Гвозди строительные</t>
  </si>
  <si>
    <t>08.3.03.05-0001</t>
  </si>
  <si>
    <t>ФССЦ-2001, 08.3.03.05-0001, приказ Минстроя России №1039/пр от 30.12.2016г.</t>
  </si>
  <si>
    <t>Проволока канатная оцинкованная, диаметром 2,6 мм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</si>
  <si>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</si>
  <si>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</si>
  <si>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</si>
  <si>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</si>
  <si>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</si>
  <si>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1-100-33</t>
  </si>
  <si>
    <t>Рабочий среднего разряда 3.3</t>
  </si>
  <si>
    <t>01.7.03.01-0001</t>
  </si>
  <si>
    <t>ФССЦ-2001, 01.7.03.01-0001, приказ Минстроя России №1039/пр от 30.12.2016г.</t>
  </si>
  <si>
    <t>Вода</t>
  </si>
  <si>
    <t>м3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</si>
  <si>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</si>
  <si>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</si>
  <si>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</si>
  <si>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</si>
  <si>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</si>
  <si>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</si>
  <si>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</si>
  <si>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</si>
  <si>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</si>
  <si>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</si>
  <si>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</si>
  <si>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</si>
  <si>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</si>
  <si>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</si>
  <si>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</si>
  <si>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</si>
  <si>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</si>
  <si>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</si>
  <si>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</si>
  <si>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</si>
  <si>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14.5.11.01-0001</t>
  </si>
  <si>
    <t>ФССЦ-2001, 14.5.11.01-0001, приказ Минстроя России №1039/пр от 30.12.2016г.</t>
  </si>
  <si>
    <t>Шпатлевка клеевая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</si>
  <si>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</si>
  <si>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</si>
  <si>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</si>
  <si>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1-100-35</t>
  </si>
  <si>
    <t>Рабочий среднего разряда 3.5</t>
  </si>
  <si>
    <t>14.4.01.19-0001</t>
  </si>
  <si>
    <t>ФССЦ-2001, 14.4.01.19-0001, приказ Минстроя России №1039/пр от 30.12.2016г.</t>
  </si>
  <si>
    <t>Грунтовка ХС-04 коричневая</t>
  </si>
  <si>
    <t>14.5.09.11-0101</t>
  </si>
  <si>
    <t>ФССЦ-2001, 14.5.09.11-0101, приказ Минстроя России №1039/пр от 30.12.2016г.</t>
  </si>
  <si>
    <t>Уайт-спирит</t>
  </si>
  <si>
    <t>14.5.11.08-0002</t>
  </si>
  <si>
    <t>ФССЦ-2001, 14.5.11.08-0002, приказ Минстроя России №1039/пр от 30.12.2016г.</t>
  </si>
  <si>
    <t>Шпатлевка ХВ-005 серая</t>
  </si>
  <si>
    <t>11.3.03.01</t>
  </si>
  <si>
    <t>Доски подоконные ПВХ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</si>
  <si>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</si>
  <si>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</si>
  <si>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</si>
  <si>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</si>
  <si>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</si>
  <si>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</si>
  <si>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</si>
  <si>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</si>
  <si>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</si>
  <si>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</si>
  <si>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</si>
  <si>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</si>
  <si>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</si>
  <si>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</si>
  <si>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</si>
  <si>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</si>
  <si>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</si>
  <si>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</si>
  <si>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</si>
  <si>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</si>
  <si>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</si>
  <si>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</si>
  <si>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</si>
  <si>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</si>
  <si>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</si>
  <si>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</si>
  <si>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</si>
  <si>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</si>
  <si>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</si>
  <si>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</si>
  <si>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</si>
  <si>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</si>
  <si>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</si>
  <si>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</si>
  <si>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</si>
  <si>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</si>
  <si>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</si>
  <si>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</si>
  <si>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</si>
  <si>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</si>
  <si>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</si>
  <si>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</si>
  <si>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</si>
  <si>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</si>
  <si>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</si>
  <si>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</si>
  <si>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</si>
  <si>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</si>
  <si>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</si>
  <si>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</si>
  <si>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</si>
  <si>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</si>
  <si>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</si>
  <si>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</si>
  <si>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</si>
  <si>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</si>
  <si>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</si>
  <si>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</si>
  <si>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</si>
  <si>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</si>
  <si>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</si>
  <si>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</si>
  <si>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</si>
  <si>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</si>
  <si>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</si>
  <si>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</si>
  <si>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</si>
  <si>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</si>
  <si>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</si>
  <si>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</si>
  <si>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</si>
  <si>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</si>
  <si>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</si>
  <si>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</si>
  <si>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</si>
  <si>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</si>
  <si>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</si>
  <si>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</si>
  <si>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</si>
  <si>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</si>
  <si>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</si>
  <si>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</si>
  <si>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</si>
  <si>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</si>
  <si>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</si>
  <si>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</si>
  <si>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 xml:space="preserve">Форма по ОКУД </t>
  </si>
  <si>
    <t xml:space="preserve">по ОКПО </t>
  </si>
  <si>
    <t>(организация, адрес, телефон, факс)</t>
  </si>
  <si>
    <t>Заказчик (Генподрядчик)</t>
  </si>
  <si>
    <t>(наименование заказчика, структурного подразделения заказчика)</t>
  </si>
  <si>
    <t xml:space="preserve">БЕ </t>
  </si>
  <si>
    <t>Подрядчик (Субподрядчик)</t>
  </si>
  <si>
    <t xml:space="preserve"> (организация, адрес, телефон, факс)</t>
  </si>
  <si>
    <t>(наименование, адрес)</t>
  </si>
  <si>
    <t xml:space="preserve">Код объекта </t>
  </si>
  <si>
    <t xml:space="preserve">                                                        (наименование)</t>
  </si>
  <si>
    <t xml:space="preserve">Вид деятельности по ОКДП </t>
  </si>
  <si>
    <t xml:space="preserve">Договор подряда(контракт)  </t>
  </si>
  <si>
    <t xml:space="preserve">Вид операции </t>
  </si>
  <si>
    <t>п/п</t>
  </si>
  <si>
    <t>Поз. по смете</t>
  </si>
  <si>
    <t>Цена за единицу измерения, руб.</t>
  </si>
  <si>
    <t>Индекс пере-счета</t>
  </si>
  <si>
    <t>Стоимость строительно-монтажных работ на январь 2000 года</t>
  </si>
  <si>
    <t>Стоимость строительно-монтажных работ на январь 2017 года</t>
  </si>
  <si>
    <t>Стоимость в ценах на январь 2000 года</t>
  </si>
  <si>
    <t>Зарплата рабочих</t>
  </si>
  <si>
    <t>ЗТР</t>
  </si>
  <si>
    <t>Сдал</t>
  </si>
  <si>
    <t>(должность)</t>
  </si>
  <si>
    <t>(подпись)</t>
  </si>
  <si>
    <t>(расшифровка подписи)</t>
  </si>
  <si>
    <t>Принял</t>
  </si>
  <si>
    <t>Объем выполненых работ</t>
  </si>
  <si>
    <t xml:space="preserve">подтверждаю. Качество </t>
  </si>
  <si>
    <t>работ ________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</si>
  <si>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</si>
  <si>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</si>
  <si>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</si>
  <si>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</si>
  <si>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</si>
  <si>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</si>
  <si>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</si>
  <si>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</si>
  <si>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</si>
  <si>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</si>
  <si>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</si>
  <si>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</si>
  <si>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</si>
  <si>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</si>
  <si>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</si>
  <si>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</si>
  <si>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</si>
  <si>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</si>
  <si>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 xml:space="preserve">Сумма НДС </t>
  </si>
  <si>
    <t xml:space="preserve">Всего с учетом НДС </t>
  </si>
  <si>
    <t>МП</t>
  </si>
  <si>
    <t>СМЕТА</t>
  </si>
  <si>
    <t>Составлена в ценах IV квартал 2017 года</t>
  </si>
  <si>
    <t>Капитальный ремонт  оконных проемов с заменой деревянных оконных блоков на оконные блоки из ПВХ в актовом зале учебного корпуса № 3 Димитровградского инженерно-технологического института - филиала НИЯУ МИФИ (ДИТИ НИЯУ МИФИ) по адресу: Ульяновская область, г. Димитровград, ул. Куйбышева, д.294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</si>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</sst>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\-\ #,##0.00"/>
    <numFmt numFmtId="165" formatCode="#,##0.00####;[Red]\-\ #,##0.00####"/>
    <numFmt numFmtId="166" formatCode="dd/mm/yy;@"/>
  </numFmts>
  <fonts count="24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sz val="11"/>
      <name val="Arial Cyr"/>
      <charset val="204"/>
    </font>
    <font>
      <sz val="11"/>
      <color theme="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2" xfId="0" applyFont="1" applyBorder="1"/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0" xfId="0" applyFont="1" applyBorder="1" applyAlignment="1"/>
    <xf numFmtId="0" fontId="13" fillId="0" borderId="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4" xfId="0" applyFont="1" applyBorder="1" applyAlignment="1"/>
    <xf numFmtId="166" fontId="13" fillId="0" borderId="4" xfId="0" applyNumberFormat="1" applyFont="1" applyBorder="1" applyAlignment="1"/>
    <xf numFmtId="0" fontId="13" fillId="0" borderId="3" xfId="0" applyFont="1" applyBorder="1" applyAlignment="1"/>
    <xf numFmtId="0" fontId="20" fillId="0" borderId="0" xfId="0" applyFont="1"/>
    <xf numFmtId="0" fontId="21" fillId="0" borderId="0" xfId="0" applyFont="1"/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vertical="center"/>
    </xf>
    <xf numFmtId="0" fontId="2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/>
    <xf numFmtId="0" fontId="13" fillId="0" borderId="6" xfId="0" applyFont="1" applyBorder="1" applyAlignment="1">
      <alignment horizontal="center"/>
    </xf>
    <xf numFmtId="14" fontId="13" fillId="0" borderId="0" xfId="0" applyNumberFormat="1" applyFont="1"/>
    <xf numFmtId="0" fontId="13" fillId="0" borderId="5" xfId="0" applyFont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left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164" fontId="16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4" fillId="0" borderId="0" xfId="0" applyFont="1" applyAlignment="1">
      <alignment horizontal="center" wrapText="1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49" fontId="13" fillId="0" borderId="4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0" fontId="13" fillId="0" borderId="5" xfId="0" applyNumberFormat="1" applyFont="1" applyBorder="1" applyAlignment="1" applyProtection="1">
      <alignment horizontal="center"/>
      <protection hidden="1"/>
    </xf>
    <xf numFmtId="0" fontId="13" fillId="0" borderId="6" xfId="0" applyNumberFormat="1" applyFont="1" applyBorder="1" applyAlignment="1" applyProtection="1">
      <alignment horizontal="center"/>
      <protection hidden="1"/>
    </xf>
    <xf numFmtId="0" fontId="13" fillId="0" borderId="9" xfId="0" applyNumberFormat="1" applyFont="1" applyBorder="1" applyAlignment="1" applyProtection="1">
      <alignment horizontal="center"/>
      <protection hidden="1"/>
    </xf>
    <xf numFmtId="0" fontId="13" fillId="0" borderId="10" xfId="0" applyNumberFormat="1" applyFont="1" applyBorder="1" applyAlignment="1" applyProtection="1">
      <alignment horizontal="center"/>
      <protection hidden="1"/>
    </xf>
    <xf numFmtId="0" fontId="13" fillId="0" borderId="4" xfId="0" applyFont="1" applyBorder="1" applyAlignment="1" applyProtection="1">
      <alignment horizontal="center"/>
      <protection hidden="1"/>
    </xf>
    <xf numFmtId="0" fontId="13" fillId="0" borderId="11" xfId="0" applyFont="1" applyBorder="1" applyAlignment="1" applyProtection="1">
      <alignment horizontal="center"/>
      <protection hidden="1"/>
    </xf>
    <xf numFmtId="14" fontId="13" fillId="0" borderId="4" xfId="0" applyNumberFormat="1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2" fillId="0" borderId="0" xfId="0" applyFont="1"/>
    <xf numFmtId="0" fontId="13" fillId="0" borderId="2" xfId="0" applyFont="1" applyBorder="1"/>
    <xf numFmtId="0" fontId="13" fillId="0" borderId="5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13" fillId="0" borderId="16" xfId="0" applyFont="1" applyBorder="1" applyAlignment="1">
      <alignment horizontal="right"/>
    </xf>
    <xf numFmtId="0" fontId="13" fillId="0" borderId="4" xfId="0" applyFont="1" applyBorder="1"/>
    <xf numFmtId="0" fontId="13" fillId="0" borderId="11" xfId="0" applyFont="1" applyBorder="1"/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14" fontId="13" fillId="0" borderId="16" xfId="0" applyNumberFormat="1" applyFont="1" applyBorder="1" applyAlignment="1">
      <alignment horizontal="center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right" vertical="center" wrapText="1" shrinkToFit="1"/>
    </xf>
    <xf numFmtId="164" fontId="13" fillId="0" borderId="4" xfId="0" applyNumberFormat="1" applyFont="1" applyBorder="1" applyAlignment="1">
      <alignment horizontal="right" vertical="center" wrapText="1" shrinkToFit="1"/>
    </xf>
    <xf numFmtId="0" fontId="13" fillId="0" borderId="11" xfId="0" applyFont="1" applyBorder="1" applyAlignment="1">
      <alignment horizontal="right" vertical="center" wrapText="1" shrinkToFit="1"/>
    </xf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justify" vertical="top" wrapText="1" shrinkToFit="1"/>
    </xf>
    <xf numFmtId="164" fontId="13" fillId="0" borderId="5" xfId="0" applyNumberFormat="1" applyFont="1" applyBorder="1" applyAlignment="1">
      <alignment horizontal="right" wrapText="1" shrinkToFit="1"/>
    </xf>
    <xf numFmtId="0" fontId="13" fillId="0" borderId="1" xfId="0" applyFont="1" applyBorder="1" applyAlignment="1">
      <alignment horizontal="right" wrapText="1" shrinkToFit="1"/>
    </xf>
    <xf numFmtId="0" fontId="13" fillId="0" borderId="6" xfId="0" applyFont="1" applyBorder="1" applyAlignment="1">
      <alignment horizontal="right" wrapText="1" shrinkToFit="1"/>
    </xf>
    <xf numFmtId="0" fontId="13" fillId="0" borderId="4" xfId="0" applyFont="1" applyBorder="1" applyAlignment="1">
      <alignment horizontal="justify" vertical="top" wrapText="1" shrinkToFit="1"/>
    </xf>
    <xf numFmtId="0" fontId="13" fillId="0" borderId="1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right"/>
    </xf>
    <xf numFmtId="164" fontId="13" fillId="0" borderId="5" xfId="0" applyNumberFormat="1" applyFont="1" applyBorder="1" applyAlignment="1">
      <alignment horizontal="right"/>
    </xf>
    <xf numFmtId="164" fontId="13" fillId="0" borderId="5" xfId="0" applyNumberFormat="1" applyFont="1" applyBorder="1" applyAlignment="1">
      <alignment horizontal="right" vertical="center" wrapText="1" shrinkToFit="1"/>
    </xf>
    <xf numFmtId="0" fontId="13" fillId="0" borderId="6" xfId="0" applyFont="1" applyBorder="1" applyAlignment="1">
      <alignment horizontal="right" vertical="center" wrapText="1" shrinkToFit="1"/>
    </xf>
    <xf numFmtId="0" fontId="13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top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37"/>
  <sheetViews>
    <sheetView tabSelected="1" topLeftCell="A18" zoomScaleNormal="100" workbookViewId="0">
      <selection activeCell="AL33" sqref="AL33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2" t="str">
        <f>Source!B1</f>
        <v>Smeta.RU  (495) 974-1589</v>
      </c>
      <c r="I1" t="s">
        <v>513</v>
      </c>
    </row>
    <row r="2" spans="1:30" ht="15.75" x14ac:dyDescent="0.25">
      <c r="A2" s="19"/>
      <c r="B2" s="96" t="s">
        <v>510</v>
      </c>
      <c r="C2" s="96"/>
      <c r="D2" s="96"/>
      <c r="E2" s="96"/>
      <c r="F2" s="96"/>
      <c r="G2" s="96"/>
      <c r="H2" s="96"/>
      <c r="I2" s="96"/>
      <c r="J2" s="96"/>
      <c r="K2" s="96"/>
      <c r="L2" s="19"/>
    </row>
    <row r="3" spans="1:30" ht="15.75" x14ac:dyDescent="0.25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19"/>
    </row>
    <row r="4" spans="1:30" ht="18" hidden="1" x14ac:dyDescent="0.25">
      <c r="A4" s="19"/>
      <c r="B4" s="97" t="str">
        <f>IF(Source!G20&lt;&gt;"Новая локальная смета", Source!G20, "")</f>
        <v/>
      </c>
      <c r="C4" s="97"/>
      <c r="D4" s="97"/>
      <c r="E4" s="97"/>
      <c r="F4" s="97"/>
      <c r="G4" s="97"/>
      <c r="H4" s="97"/>
      <c r="I4" s="97"/>
      <c r="J4" s="97"/>
      <c r="K4" s="97"/>
      <c r="L4" s="19"/>
    </row>
    <row r="5" spans="1:30" ht="14.25" hidden="1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1:30" ht="59.25" customHeight="1" x14ac:dyDescent="0.25">
      <c r="A6" s="14"/>
      <c r="B6" s="97" t="s">
        <v>512</v>
      </c>
      <c r="C6" s="97"/>
      <c r="D6" s="97"/>
      <c r="E6" s="97"/>
      <c r="F6" s="97"/>
      <c r="G6" s="97"/>
      <c r="H6" s="97"/>
      <c r="I6" s="97"/>
      <c r="J6" s="97"/>
      <c r="K6" s="97"/>
      <c r="L6" s="21"/>
      <c r="AD6" s="58" t="str">
        <f>IF(Source!G12&lt;&gt;"Новый объект", Source!G12, "")</f>
        <v>Капитальный ремонт окооных проемов в актовом зале учебного корпуса общежития ДИТИ НИЯУ МИФИ_</v>
      </c>
    </row>
    <row r="7" spans="1:30" ht="14.25" x14ac:dyDescent="0.2">
      <c r="A7" s="14"/>
      <c r="B7" s="98"/>
      <c r="C7" s="98"/>
      <c r="D7" s="98"/>
      <c r="E7" s="98"/>
      <c r="F7" s="98"/>
      <c r="G7" s="98"/>
      <c r="H7" s="98"/>
      <c r="I7" s="98"/>
      <c r="J7" s="98"/>
      <c r="K7" s="98"/>
      <c r="L7" s="17"/>
    </row>
    <row r="8" spans="1:30" ht="14.25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30" ht="14.25" x14ac:dyDescent="0.2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spans="1:30" ht="14.25" x14ac:dyDescent="0.2">
      <c r="A10" s="14"/>
      <c r="B10" s="14"/>
      <c r="C10" s="14"/>
      <c r="D10" s="14"/>
      <c r="E10" s="22"/>
      <c r="F10" s="22"/>
      <c r="G10" s="99" t="s">
        <v>372</v>
      </c>
      <c r="H10" s="99"/>
      <c r="I10" s="99" t="s">
        <v>373</v>
      </c>
      <c r="J10" s="99"/>
      <c r="K10" s="14"/>
      <c r="L10" s="14"/>
    </row>
    <row r="11" spans="1:30" ht="15" x14ac:dyDescent="0.25">
      <c r="A11" s="14"/>
      <c r="B11" s="14"/>
      <c r="C11" s="100" t="s">
        <v>374</v>
      </c>
      <c r="D11" s="100"/>
      <c r="E11" s="100"/>
      <c r="F11" s="100"/>
      <c r="G11" s="101">
        <f>SUM(O22:O134)/1000</f>
        <v>216.05290999999997</v>
      </c>
      <c r="H11" s="101"/>
      <c r="I11" s="101">
        <f>(Source!P120/1000)</f>
        <v>1525.95884</v>
      </c>
      <c r="J11" s="101"/>
      <c r="K11" s="102" t="s">
        <v>375</v>
      </c>
      <c r="L11" s="102"/>
    </row>
    <row r="12" spans="1:30" ht="14.25" x14ac:dyDescent="0.2">
      <c r="A12" s="14"/>
      <c r="B12" s="14"/>
      <c r="C12" s="103" t="s">
        <v>376</v>
      </c>
      <c r="D12" s="103"/>
      <c r="E12" s="103"/>
      <c r="F12" s="103"/>
      <c r="G12" s="101">
        <f>SUM(W22:W134)/1000</f>
        <v>216.05291000000003</v>
      </c>
      <c r="H12" s="101"/>
      <c r="I12" s="101">
        <f>(Source!P102)/1000</f>
        <v>1294.2320099999999</v>
      </c>
      <c r="J12" s="101"/>
      <c r="K12" s="102" t="s">
        <v>375</v>
      </c>
      <c r="L12" s="102"/>
    </row>
    <row r="13" spans="1:30" ht="14.25" x14ac:dyDescent="0.2">
      <c r="A13" s="14"/>
      <c r="B13" s="14"/>
      <c r="C13" s="103" t="s">
        <v>377</v>
      </c>
      <c r="D13" s="103"/>
      <c r="E13" s="103"/>
      <c r="F13" s="103"/>
      <c r="G13" s="101">
        <f>SUM(X22:X134)/1000</f>
        <v>0</v>
      </c>
      <c r="H13" s="101"/>
      <c r="I13" s="101">
        <f>(Source!P103)/1000</f>
        <v>0</v>
      </c>
      <c r="J13" s="101"/>
      <c r="K13" s="102" t="s">
        <v>375</v>
      </c>
      <c r="L13" s="102"/>
    </row>
    <row r="14" spans="1:30" ht="14.25" x14ac:dyDescent="0.2">
      <c r="A14" s="14"/>
      <c r="B14" s="14"/>
      <c r="C14" s="103" t="s">
        <v>378</v>
      </c>
      <c r="D14" s="103"/>
      <c r="E14" s="103"/>
      <c r="F14" s="103"/>
      <c r="G14" s="101">
        <f>SUM(Y22:Y134)/1000</f>
        <v>0</v>
      </c>
      <c r="H14" s="101"/>
      <c r="I14" s="101">
        <f>(Source!P94)/1000</f>
        <v>0</v>
      </c>
      <c r="J14" s="101"/>
      <c r="K14" s="102" t="s">
        <v>375</v>
      </c>
      <c r="L14" s="102"/>
    </row>
    <row r="15" spans="1:30" ht="14.25" x14ac:dyDescent="0.2">
      <c r="A15" s="14"/>
      <c r="B15" s="14"/>
      <c r="C15" s="103" t="s">
        <v>379</v>
      </c>
      <c r="D15" s="103"/>
      <c r="E15" s="103"/>
      <c r="F15" s="103"/>
      <c r="G15" s="101">
        <f>SUM(Z22:Z134)/1000</f>
        <v>0</v>
      </c>
      <c r="H15" s="101"/>
      <c r="I15" s="101">
        <f>(Source!P104+Source!P105)/1000</f>
        <v>0</v>
      </c>
      <c r="J15" s="101"/>
      <c r="K15" s="102" t="s">
        <v>375</v>
      </c>
      <c r="L15" s="102"/>
    </row>
    <row r="16" spans="1:30" ht="15" x14ac:dyDescent="0.25">
      <c r="A16" s="14"/>
      <c r="B16" s="14"/>
      <c r="C16" s="100" t="s">
        <v>380</v>
      </c>
      <c r="D16" s="100"/>
      <c r="E16" s="100"/>
      <c r="F16" s="100"/>
      <c r="G16" s="101">
        <f>I16</f>
        <v>411.24849799999993</v>
      </c>
      <c r="H16" s="101"/>
      <c r="I16" s="101">
        <f>(Source!P107+Source!P108)</f>
        <v>411.24849799999993</v>
      </c>
      <c r="J16" s="101"/>
      <c r="K16" s="102" t="s">
        <v>381</v>
      </c>
      <c r="L16" s="102"/>
    </row>
    <row r="17" spans="1:26" ht="15" x14ac:dyDescent="0.25">
      <c r="A17" s="14"/>
      <c r="B17" s="14"/>
      <c r="C17" s="100" t="s">
        <v>382</v>
      </c>
      <c r="D17" s="100"/>
      <c r="E17" s="100"/>
      <c r="F17" s="100"/>
      <c r="G17" s="101">
        <f>SUM(R22:R134)/1000</f>
        <v>3.5387199999999996</v>
      </c>
      <c r="H17" s="101"/>
      <c r="I17" s="101">
        <f>((Source!P100 + Source!P99)/1000)</f>
        <v>21.197009999999999</v>
      </c>
      <c r="J17" s="101"/>
      <c r="K17" s="102" t="s">
        <v>375</v>
      </c>
      <c r="L17" s="102"/>
    </row>
    <row r="18" spans="1:26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26" ht="14.25" x14ac:dyDescent="0.2">
      <c r="A19" s="104" t="s">
        <v>511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</row>
    <row r="20" spans="1:26" ht="57" x14ac:dyDescent="0.2">
      <c r="A20" s="23" t="s">
        <v>383</v>
      </c>
      <c r="B20" s="23" t="s">
        <v>384</v>
      </c>
      <c r="C20" s="23" t="s">
        <v>385</v>
      </c>
      <c r="D20" s="23" t="s">
        <v>386</v>
      </c>
      <c r="E20" s="23" t="s">
        <v>387</v>
      </c>
      <c r="F20" s="23" t="s">
        <v>388</v>
      </c>
      <c r="G20" s="23" t="s">
        <v>389</v>
      </c>
      <c r="H20" s="23" t="s">
        <v>390</v>
      </c>
      <c r="I20" s="23" t="s">
        <v>391</v>
      </c>
      <c r="J20" s="23" t="s">
        <v>392</v>
      </c>
      <c r="K20" s="23" t="s">
        <v>393</v>
      </c>
      <c r="L20" s="23" t="s">
        <v>394</v>
      </c>
    </row>
    <row r="21" spans="1:26" ht="14.25" x14ac:dyDescent="0.2">
      <c r="A21" s="24">
        <v>1</v>
      </c>
      <c r="B21" s="24">
        <v>2</v>
      </c>
      <c r="C21" s="24">
        <v>3</v>
      </c>
      <c r="D21" s="24">
        <v>4</v>
      </c>
      <c r="E21" s="24">
        <v>5</v>
      </c>
      <c r="F21" s="24">
        <v>6</v>
      </c>
      <c r="G21" s="24">
        <v>7</v>
      </c>
      <c r="H21" s="24">
        <v>8</v>
      </c>
      <c r="I21" s="24">
        <v>9</v>
      </c>
      <c r="J21" s="24">
        <v>10</v>
      </c>
      <c r="K21" s="24">
        <v>11</v>
      </c>
      <c r="L21" s="25">
        <v>12</v>
      </c>
    </row>
    <row r="22" spans="1:26" ht="42.75" x14ac:dyDescent="0.2">
      <c r="A22" s="53" t="str">
        <f>Source!E25</f>
        <v>1</v>
      </c>
      <c r="B22" s="54" t="str">
        <f>Source!F25</f>
        <v>46-04-012-01</v>
      </c>
      <c r="C22" s="54" t="str">
        <f>Source!G25</f>
        <v>Разборка деревянных заполнений проемов оконных с подоконными досками</v>
      </c>
      <c r="D22" s="35" t="str">
        <f>Source!H25</f>
        <v>100 м2</v>
      </c>
      <c r="E22" s="13">
        <f>Source!I25</f>
        <v>0.93640000000000001</v>
      </c>
      <c r="F22" s="36">
        <f>Source!AL25+Source!AM25+Source!AO25</f>
        <v>1767.24</v>
      </c>
      <c r="G22" s="37"/>
      <c r="H22" s="38"/>
      <c r="I22" s="37" t="str">
        <f>Source!BO25</f>
        <v/>
      </c>
      <c r="J22" s="37"/>
      <c r="K22" s="38"/>
      <c r="L22" s="39"/>
      <c r="S22">
        <f>ROUND((Source!FX25/100)*((ROUND(Source!AF25*Source!I25, 2)+ROUND(Source!AE25*Source!I25, 2))), 2)</f>
        <v>1510.86</v>
      </c>
      <c r="T22">
        <f>Source!X25</f>
        <v>9050.09</v>
      </c>
      <c r="U22">
        <f>ROUND((Source!FY25/100)*((ROUND(Source!AF25*Source!I25, 2)+ROUND(Source!AE25*Source!I25, 2))), 2)</f>
        <v>908.04</v>
      </c>
      <c r="V22">
        <f>Source!Y25</f>
        <v>5484.9</v>
      </c>
    </row>
    <row r="23" spans="1:26" x14ac:dyDescent="0.2">
      <c r="C23" s="28" t="str">
        <f>"Объем: "&amp;Source!I25&amp;"=93,64/"&amp;"100"</f>
        <v>Объем: 0,9364=93,64/100</v>
      </c>
    </row>
    <row r="24" spans="1:26" ht="14.25" x14ac:dyDescent="0.2">
      <c r="A24" s="53"/>
      <c r="B24" s="54"/>
      <c r="C24" s="54" t="s">
        <v>395</v>
      </c>
      <c r="D24" s="35"/>
      <c r="E24" s="13"/>
      <c r="F24" s="36">
        <f>Source!AO25</f>
        <v>1525.29</v>
      </c>
      <c r="G24" s="37" t="str">
        <f>Source!DG25</f>
        <v/>
      </c>
      <c r="H24" s="38">
        <f>ROUND(Source!AF25*Source!I25, 2)</f>
        <v>1428.28</v>
      </c>
      <c r="I24" s="37"/>
      <c r="J24" s="37">
        <f>IF(Source!BA25&lt;&gt; 0, Source!BA25, 1)</f>
        <v>5.99</v>
      </c>
      <c r="K24" s="38">
        <f>Source!S25</f>
        <v>8555.41</v>
      </c>
      <c r="L24" s="39"/>
      <c r="R24">
        <f>H24</f>
        <v>1428.28</v>
      </c>
    </row>
    <row r="25" spans="1:26" ht="14.25" x14ac:dyDescent="0.2">
      <c r="A25" s="53"/>
      <c r="B25" s="54"/>
      <c r="C25" s="54" t="s">
        <v>170</v>
      </c>
      <c r="D25" s="35"/>
      <c r="E25" s="13"/>
      <c r="F25" s="36">
        <f>Source!AM25</f>
        <v>241.95</v>
      </c>
      <c r="G25" s="37" t="str">
        <f>Source!DE25</f>
        <v/>
      </c>
      <c r="H25" s="38">
        <f>ROUND(Source!AD25*Source!I25, 2)</f>
        <v>226.56</v>
      </c>
      <c r="I25" s="37"/>
      <c r="J25" s="37">
        <f>IF(Source!BB25&lt;&gt; 0, Source!BB25, 1)</f>
        <v>5.99</v>
      </c>
      <c r="K25" s="38">
        <f>Source!Q25</f>
        <v>1357.11</v>
      </c>
      <c r="L25" s="39"/>
    </row>
    <row r="26" spans="1:26" ht="14.25" x14ac:dyDescent="0.2">
      <c r="A26" s="53"/>
      <c r="B26" s="54"/>
      <c r="C26" s="54" t="s">
        <v>396</v>
      </c>
      <c r="D26" s="35"/>
      <c r="E26" s="13"/>
      <c r="F26" s="36">
        <f>Source!AN25</f>
        <v>104.49</v>
      </c>
      <c r="G26" s="37" t="str">
        <f>Source!DF25</f>
        <v/>
      </c>
      <c r="H26" s="40">
        <f>ROUND(Source!AE25*Source!I25, 2)</f>
        <v>97.84</v>
      </c>
      <c r="I26" s="37"/>
      <c r="J26" s="37">
        <f>IF(Source!BS25&lt;&gt; 0, Source!BS25, 1)</f>
        <v>5.99</v>
      </c>
      <c r="K26" s="40">
        <f>Source!R25</f>
        <v>586.09</v>
      </c>
      <c r="L26" s="39"/>
      <c r="R26">
        <f>H26</f>
        <v>97.84</v>
      </c>
    </row>
    <row r="27" spans="1:26" ht="14.25" x14ac:dyDescent="0.2">
      <c r="A27" s="53"/>
      <c r="B27" s="54"/>
      <c r="C27" s="54" t="s">
        <v>397</v>
      </c>
      <c r="D27" s="35" t="s">
        <v>398</v>
      </c>
      <c r="E27" s="13">
        <f>Source!BZ25</f>
        <v>110</v>
      </c>
      <c r="F27" s="108" t="str">
        <f>CONCATENATE(" )", Source!DL25, Source!FT25, "=", Source!FX25)</f>
        <v xml:space="preserve"> )*0,9=99</v>
      </c>
      <c r="G27" s="109"/>
      <c r="H27" s="38">
        <f>SUM(S22:S29)</f>
        <v>1510.86</v>
      </c>
      <c r="I27" s="41"/>
      <c r="J27" s="32">
        <f>Source!AT25</f>
        <v>99</v>
      </c>
      <c r="K27" s="38">
        <f>SUM(T22:T29)</f>
        <v>9050.09</v>
      </c>
      <c r="L27" s="39"/>
    </row>
    <row r="28" spans="1:26" ht="14.25" x14ac:dyDescent="0.2">
      <c r="A28" s="53"/>
      <c r="B28" s="54"/>
      <c r="C28" s="54" t="s">
        <v>399</v>
      </c>
      <c r="D28" s="35" t="s">
        <v>398</v>
      </c>
      <c r="E28" s="13">
        <f>Source!CA25</f>
        <v>70</v>
      </c>
      <c r="F28" s="108" t="str">
        <f>CONCATENATE(" )", Source!DM25, Source!FU25, "=", Source!FY25)</f>
        <v xml:space="preserve"> )*0,85=59,5</v>
      </c>
      <c r="G28" s="109"/>
      <c r="H28" s="38">
        <f>SUM(U22:U29)</f>
        <v>908.04</v>
      </c>
      <c r="I28" s="41"/>
      <c r="J28" s="32">
        <f>Source!AU25</f>
        <v>60</v>
      </c>
      <c r="K28" s="38">
        <f>SUM(V22:V29)</f>
        <v>5484.9</v>
      </c>
      <c r="L28" s="39"/>
    </row>
    <row r="29" spans="1:26" ht="14.25" x14ac:dyDescent="0.2">
      <c r="A29" s="55"/>
      <c r="B29" s="56"/>
      <c r="C29" s="56" t="s">
        <v>400</v>
      </c>
      <c r="D29" s="42" t="s">
        <v>401</v>
      </c>
      <c r="E29" s="43">
        <f>Source!AQ25</f>
        <v>188.54</v>
      </c>
      <c r="F29" s="44"/>
      <c r="G29" s="45" t="str">
        <f>Source!DI25</f>
        <v/>
      </c>
      <c r="H29" s="46"/>
      <c r="I29" s="45"/>
      <c r="J29" s="45"/>
      <c r="K29" s="46"/>
      <c r="L29" s="47">
        <f>Source!U25</f>
        <v>176.548856</v>
      </c>
    </row>
    <row r="30" spans="1:26" ht="15" x14ac:dyDescent="0.25">
      <c r="G30" s="107">
        <f>H24+H25+H27+H28</f>
        <v>4073.74</v>
      </c>
      <c r="H30" s="107"/>
      <c r="J30" s="107">
        <f>K24+K25+K27+K28</f>
        <v>24447.510000000002</v>
      </c>
      <c r="K30" s="107"/>
      <c r="L30" s="48">
        <f>Source!U25</f>
        <v>176.548856</v>
      </c>
      <c r="O30" s="29">
        <f>G30</f>
        <v>4073.74</v>
      </c>
      <c r="P30" s="29">
        <f>J30</f>
        <v>24447.510000000002</v>
      </c>
      <c r="Q30" s="29">
        <f>L30</f>
        <v>176.548856</v>
      </c>
      <c r="W30">
        <f>IF(Source!BI25&lt;=1,H24+H25+H27+H28, 0)</f>
        <v>4073.74</v>
      </c>
      <c r="X30">
        <f>IF(Source!BI25=2,H24+H25+H27+H28, 0)</f>
        <v>0</v>
      </c>
      <c r="Y30">
        <f>IF(Source!BI25=3,H24+H25+H27+H28, 0)</f>
        <v>0</v>
      </c>
      <c r="Z30">
        <f>IF(Source!BI25=4,H24+H25+H27+H28, 0)</f>
        <v>0</v>
      </c>
    </row>
    <row r="31" spans="1:26" ht="99.75" x14ac:dyDescent="0.2">
      <c r="A31" s="53" t="str">
        <f>Source!E27</f>
        <v>2</v>
      </c>
      <c r="B31" s="54" t="str">
        <f>Source!F27</f>
        <v>10-01-034-08</v>
      </c>
      <c r="C31" s="54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31" s="35" t="str">
        <f>Source!H27</f>
        <v>100 м2</v>
      </c>
      <c r="E31" s="13">
        <f>Source!I27</f>
        <v>0.93640000000000001</v>
      </c>
      <c r="F31" s="36">
        <f>Source!AL27+Source!AM27+Source!AO27</f>
        <v>10107.89</v>
      </c>
      <c r="G31" s="37"/>
      <c r="H31" s="38"/>
      <c r="I31" s="37" t="str">
        <f>Source!BO27</f>
        <v/>
      </c>
      <c r="J31" s="37"/>
      <c r="K31" s="38"/>
      <c r="L31" s="39"/>
      <c r="S31">
        <f>ROUND((Source!FX27/100)*((ROUND(Source!AF27*Source!I27, 2)+ROUND(Source!AE27*Source!I27, 2))), 2)</f>
        <v>1346.48</v>
      </c>
      <c r="T31">
        <f>Source!X27</f>
        <v>8050.2</v>
      </c>
      <c r="U31">
        <f>ROUND((Source!FY27/100)*((ROUND(Source!AF27*Source!I27, 2)+ROUND(Source!AE27*Source!I27, 2))), 2)</f>
        <v>678.94</v>
      </c>
      <c r="V31">
        <f>Source!Y27</f>
        <v>4101.05</v>
      </c>
    </row>
    <row r="32" spans="1:26" x14ac:dyDescent="0.2">
      <c r="C32" s="28" t="str">
        <f>"Объем: "&amp;Source!I27&amp;"=93,64/"&amp;"100"</f>
        <v>Объем: 0,9364=93,64/100</v>
      </c>
    </row>
    <row r="33" spans="1:26" ht="14.25" x14ac:dyDescent="0.2">
      <c r="A33" s="53"/>
      <c r="B33" s="54"/>
      <c r="C33" s="54" t="s">
        <v>395</v>
      </c>
      <c r="D33" s="35"/>
      <c r="E33" s="13"/>
      <c r="F33" s="36">
        <f>Source!AO27</f>
        <v>1303.6600000000001</v>
      </c>
      <c r="G33" s="37" t="str">
        <f>Source!DG27</f>
        <v/>
      </c>
      <c r="H33" s="38">
        <f>ROUND(Source!AF27*Source!I27, 2)</f>
        <v>1220.75</v>
      </c>
      <c r="I33" s="37"/>
      <c r="J33" s="37">
        <f>IF(Source!BA27&lt;&gt; 0, Source!BA27, 1)</f>
        <v>5.99</v>
      </c>
      <c r="K33" s="38">
        <f>Source!S27</f>
        <v>7312.28</v>
      </c>
      <c r="L33" s="39"/>
      <c r="R33">
        <f>H33</f>
        <v>1220.75</v>
      </c>
    </row>
    <row r="34" spans="1:26" ht="14.25" x14ac:dyDescent="0.2">
      <c r="A34" s="53"/>
      <c r="B34" s="54"/>
      <c r="C34" s="54" t="s">
        <v>170</v>
      </c>
      <c r="D34" s="35"/>
      <c r="E34" s="13"/>
      <c r="F34" s="36">
        <f>Source!AM27</f>
        <v>255.21</v>
      </c>
      <c r="G34" s="37" t="str">
        <f>Source!DE27</f>
        <v/>
      </c>
      <c r="H34" s="38">
        <f>ROUND(Source!AD27*Source!I27, 2)</f>
        <v>238.98</v>
      </c>
      <c r="I34" s="37"/>
      <c r="J34" s="37">
        <f>IF(Source!BB27&lt;&gt; 0, Source!BB27, 1)</f>
        <v>5.99</v>
      </c>
      <c r="K34" s="38">
        <f>Source!Q27</f>
        <v>1431.48</v>
      </c>
      <c r="L34" s="39"/>
    </row>
    <row r="35" spans="1:26" ht="14.25" x14ac:dyDescent="0.2">
      <c r="A35" s="53"/>
      <c r="B35" s="54"/>
      <c r="C35" s="54" t="s">
        <v>396</v>
      </c>
      <c r="D35" s="35"/>
      <c r="E35" s="13"/>
      <c r="F35" s="36">
        <f>Source!AN27</f>
        <v>50.32</v>
      </c>
      <c r="G35" s="37" t="str">
        <f>Source!DF27</f>
        <v/>
      </c>
      <c r="H35" s="40">
        <f>ROUND(Source!AE27*Source!I27, 2)</f>
        <v>47.12</v>
      </c>
      <c r="I35" s="37"/>
      <c r="J35" s="37">
        <f>IF(Source!BS27&lt;&gt; 0, Source!BS27, 1)</f>
        <v>5.99</v>
      </c>
      <c r="K35" s="40">
        <f>Source!R27</f>
        <v>282.25</v>
      </c>
      <c r="L35" s="39"/>
      <c r="R35">
        <f>H35</f>
        <v>47.12</v>
      </c>
    </row>
    <row r="36" spans="1:26" ht="14.25" x14ac:dyDescent="0.2">
      <c r="A36" s="53"/>
      <c r="B36" s="54"/>
      <c r="C36" s="54" t="s">
        <v>402</v>
      </c>
      <c r="D36" s="35"/>
      <c r="E36" s="13"/>
      <c r="F36" s="36">
        <f>Source!AL27</f>
        <v>8549.02</v>
      </c>
      <c r="G36" s="37" t="str">
        <f>Source!DD27</f>
        <v/>
      </c>
      <c r="H36" s="38">
        <f>ROUND(Source!AC27*Source!I27, 2)</f>
        <v>8005.3</v>
      </c>
      <c r="I36" s="37"/>
      <c r="J36" s="37">
        <f>IF(Source!BC27&lt;&gt; 0, Source!BC27, 1)</f>
        <v>5.99</v>
      </c>
      <c r="K36" s="38">
        <f>Source!P27</f>
        <v>47951.76</v>
      </c>
      <c r="L36" s="39"/>
    </row>
    <row r="37" spans="1:26" ht="14.25" x14ac:dyDescent="0.2">
      <c r="A37" s="53"/>
      <c r="B37" s="54"/>
      <c r="C37" s="54" t="s">
        <v>397</v>
      </c>
      <c r="D37" s="35" t="s">
        <v>398</v>
      </c>
      <c r="E37" s="13">
        <f>Source!BZ27</f>
        <v>118</v>
      </c>
      <c r="F37" s="108" t="str">
        <f>CONCATENATE(" )", Source!DL27, Source!FT27, "=", Source!FX27)</f>
        <v xml:space="preserve"> )*0,9=106,2</v>
      </c>
      <c r="G37" s="109"/>
      <c r="H37" s="38">
        <f>SUM(S31:S41)</f>
        <v>1346.48</v>
      </c>
      <c r="I37" s="41"/>
      <c r="J37" s="32">
        <f>Source!AT27</f>
        <v>106</v>
      </c>
      <c r="K37" s="38">
        <f>SUM(T31:T41)</f>
        <v>8050.2</v>
      </c>
      <c r="L37" s="39"/>
    </row>
    <row r="38" spans="1:26" ht="14.25" x14ac:dyDescent="0.2">
      <c r="A38" s="53"/>
      <c r="B38" s="54"/>
      <c r="C38" s="54" t="s">
        <v>399</v>
      </c>
      <c r="D38" s="35" t="s">
        <v>398</v>
      </c>
      <c r="E38" s="13">
        <f>Source!CA27</f>
        <v>63</v>
      </c>
      <c r="F38" s="108" t="str">
        <f>CONCATENATE(" )", Source!DM27, Source!FU27, "=", Source!FY27)</f>
        <v xml:space="preserve"> )*0,85=53,55</v>
      </c>
      <c r="G38" s="109"/>
      <c r="H38" s="38">
        <f>SUM(U31:U41)</f>
        <v>678.94</v>
      </c>
      <c r="I38" s="41"/>
      <c r="J38" s="32">
        <f>Source!AU27</f>
        <v>54</v>
      </c>
      <c r="K38" s="38">
        <f>SUM(V31:V41)</f>
        <v>4101.05</v>
      </c>
      <c r="L38" s="39"/>
    </row>
    <row r="39" spans="1:26" ht="14.25" x14ac:dyDescent="0.2">
      <c r="A39" s="53"/>
      <c r="B39" s="54"/>
      <c r="C39" s="54" t="s">
        <v>400</v>
      </c>
      <c r="D39" s="35" t="s">
        <v>401</v>
      </c>
      <c r="E39" s="13">
        <f>Source!AQ27</f>
        <v>149.16</v>
      </c>
      <c r="F39" s="36"/>
      <c r="G39" s="37" t="str">
        <f>Source!DI27</f>
        <v/>
      </c>
      <c r="H39" s="38"/>
      <c r="I39" s="37"/>
      <c r="J39" s="37"/>
      <c r="K39" s="38"/>
      <c r="L39" s="49">
        <f>Source!U27</f>
        <v>139.67342400000001</v>
      </c>
    </row>
    <row r="40" spans="1:26" ht="14.25" x14ac:dyDescent="0.2">
      <c r="A40" s="53" t="str">
        <f>Source!E29</f>
        <v>2,1</v>
      </c>
      <c r="B40" s="54" t="str">
        <f>Source!F29</f>
        <v>11.3.02.03</v>
      </c>
      <c r="C40" s="54" t="str">
        <f>Source!G29</f>
        <v>Блоки оконные пластиковые</v>
      </c>
      <c r="D40" s="35" t="str">
        <f>Source!H29</f>
        <v>м2</v>
      </c>
      <c r="E40" s="13">
        <f>Source!I29</f>
        <v>93.64</v>
      </c>
      <c r="F40" s="36">
        <f>Source!AL29+Source!AM29+Source!AO29</f>
        <v>0</v>
      </c>
      <c r="G40" s="50" t="s">
        <v>6</v>
      </c>
      <c r="H40" s="38">
        <f>ROUND(Source!AC29*Source!I29, 2)+ROUND(Source!AD29*Source!I29, 2)+ROUND(Source!AF29*Source!I29, 2)</f>
        <v>0</v>
      </c>
      <c r="I40" s="37"/>
      <c r="J40" s="37">
        <f>IF(Source!BC29&lt;&gt; 0, Source!BC29, 1)</f>
        <v>5.99</v>
      </c>
      <c r="K40" s="38">
        <f>Source!O29</f>
        <v>0</v>
      </c>
      <c r="L40" s="39"/>
      <c r="S40">
        <f>ROUND((Source!FX29/100)*((ROUND(Source!AF29*Source!I29, 2)+ROUND(Source!AE29*Source!I29, 2))), 2)</f>
        <v>0</v>
      </c>
      <c r="T40">
        <f>Source!X29</f>
        <v>0</v>
      </c>
      <c r="U40">
        <f>ROUND((Source!FY29/100)*((ROUND(Source!AF29*Source!I29, 2)+ROUND(Source!AE29*Source!I29, 2))), 2)</f>
        <v>0</v>
      </c>
      <c r="V40">
        <f>Source!Y29</f>
        <v>0</v>
      </c>
      <c r="W40">
        <f>IF(Source!BI29&lt;=1,H40, 0)</f>
        <v>0</v>
      </c>
      <c r="X40">
        <f>IF(Source!BI29=2,H40, 0)</f>
        <v>0</v>
      </c>
      <c r="Y40">
        <f>IF(Source!BI29=3,H40, 0)</f>
        <v>0</v>
      </c>
      <c r="Z40">
        <f>IF(Source!BI29=4,H40, 0)</f>
        <v>0</v>
      </c>
    </row>
    <row r="41" spans="1:26" ht="71.25" x14ac:dyDescent="0.2">
      <c r="A41" s="55" t="str">
        <f>Source!E31</f>
        <v>2,2</v>
      </c>
      <c r="B41" s="56" t="str">
        <f>Source!F31</f>
        <v>11.3.02.01-0021</v>
      </c>
      <c r="C41" s="56" t="str">
        <f>Source!G31</f>
        <v>Блок оконный пластиковый  с 6-ю глухими створками остекления, с 2-мя   поворотно-откидными  створками, 5-ти камерным стеклопакетом (42 мм), площадью более 3,5 м2</v>
      </c>
      <c r="D41" s="42" t="str">
        <f>Source!H31</f>
        <v>м2</v>
      </c>
      <c r="E41" s="43">
        <f>Source!I31</f>
        <v>93.64</v>
      </c>
      <c r="F41" s="44">
        <f>Source!AL31+Source!AM31+Source!AO31</f>
        <v>2074.38</v>
      </c>
      <c r="G41" s="51" t="s">
        <v>6</v>
      </c>
      <c r="H41" s="46">
        <f>ROUND(Source!AC31*Source!I31, 2)+ROUND(Source!AD31*Source!I31, 2)+ROUND(Source!AF31*Source!I31, 2)</f>
        <v>194244.94</v>
      </c>
      <c r="I41" s="45"/>
      <c r="J41" s="45">
        <f>IF(Source!BC31&lt;&gt; 0, Source!BC31, 1)</f>
        <v>5.99</v>
      </c>
      <c r="K41" s="46">
        <f>Source!O31</f>
        <v>1163527.21</v>
      </c>
      <c r="L41" s="52"/>
      <c r="S41">
        <f>ROUND((Source!FX31/100)*((ROUND(Source!AF31*Source!I31, 2)+ROUND(Source!AE31*Source!I31, 2))), 2)</f>
        <v>0</v>
      </c>
      <c r="T41">
        <f>Source!X31</f>
        <v>0</v>
      </c>
      <c r="U41">
        <f>ROUND((Source!FY31/100)*((ROUND(Source!AF31*Source!I31, 2)+ROUND(Source!AE31*Source!I31, 2))), 2)</f>
        <v>0</v>
      </c>
      <c r="V41">
        <f>Source!Y31</f>
        <v>0</v>
      </c>
      <c r="W41">
        <f>IF(Source!BI31&lt;=1,H41, 0)</f>
        <v>194244.94</v>
      </c>
      <c r="X41">
        <f>IF(Source!BI31=2,H41, 0)</f>
        <v>0</v>
      </c>
      <c r="Y41">
        <f>IF(Source!BI31=3,H41, 0)</f>
        <v>0</v>
      </c>
      <c r="Z41">
        <f>IF(Source!BI31=4,H41, 0)</f>
        <v>0</v>
      </c>
    </row>
    <row r="42" spans="1:26" ht="15" x14ac:dyDescent="0.25">
      <c r="G42" s="107">
        <f>H33+H34+H36+H37+H38+SUM(H40:H41)</f>
        <v>205735.39</v>
      </c>
      <c r="H42" s="107"/>
      <c r="J42" s="107">
        <f>K33+K34+K36+K37+K38+SUM(K40:K41)</f>
        <v>1232373.98</v>
      </c>
      <c r="K42" s="107"/>
      <c r="L42" s="48">
        <f>Source!U27</f>
        <v>139.67342400000001</v>
      </c>
      <c r="O42" s="29">
        <f>G42</f>
        <v>205735.39</v>
      </c>
      <c r="P42" s="29">
        <f>J42</f>
        <v>1232373.98</v>
      </c>
      <c r="Q42" s="29">
        <f>L42</f>
        <v>139.67342400000001</v>
      </c>
      <c r="W42">
        <f>IF(Source!BI27&lt;=1,H33+H34+H36+H37+H38, 0)</f>
        <v>11490.45</v>
      </c>
      <c r="X42">
        <f>IF(Source!BI27=2,H33+H34+H36+H37+H38, 0)</f>
        <v>0</v>
      </c>
      <c r="Y42">
        <f>IF(Source!BI27=3,H33+H34+H36+H37+H38, 0)</f>
        <v>0</v>
      </c>
      <c r="Z42">
        <f>IF(Source!BI27=4,H33+H34+H36+H37+H38, 0)</f>
        <v>0</v>
      </c>
    </row>
    <row r="43" spans="1:26" ht="42.75" x14ac:dyDescent="0.2">
      <c r="A43" s="53" t="str">
        <f>Source!E33</f>
        <v>3</v>
      </c>
      <c r="B43" s="54" t="str">
        <f>Source!F33</f>
        <v>10-01-035-03</v>
      </c>
      <c r="C43" s="54" t="str">
        <f>Source!G33</f>
        <v>Установка подоконных досок из ПВХ в каменных стенах толщиной свыше 0,51 м</v>
      </c>
      <c r="D43" s="35" t="str">
        <f>Source!H33</f>
        <v>100 м</v>
      </c>
      <c r="E43" s="13">
        <f>Source!I33</f>
        <v>0.18360000000000001</v>
      </c>
      <c r="F43" s="36">
        <f>Source!AL33+Source!AM33+Source!AO33</f>
        <v>6481.1699999999992</v>
      </c>
      <c r="G43" s="37"/>
      <c r="H43" s="38"/>
      <c r="I43" s="37" t="str">
        <f>Source!BO33</f>
        <v/>
      </c>
      <c r="J43" s="37"/>
      <c r="K43" s="38"/>
      <c r="L43" s="39"/>
      <c r="S43">
        <f>ROUND((Source!FX33/100)*((ROUND(Source!AF33*Source!I33, 2)+ROUND(Source!AE33*Source!I33, 2))), 2)</f>
        <v>36.42</v>
      </c>
      <c r="T43">
        <f>Source!X33</f>
        <v>217.76</v>
      </c>
      <c r="U43">
        <f>ROUND((Source!FY33/100)*((ROUND(Source!AF33*Source!I33, 2)+ROUND(Source!AE33*Source!I33, 2))), 2)</f>
        <v>18.36</v>
      </c>
      <c r="V43">
        <f>Source!Y33</f>
        <v>110.93</v>
      </c>
    </row>
    <row r="44" spans="1:26" x14ac:dyDescent="0.2">
      <c r="C44" s="28" t="str">
        <f>"Объем: "&amp;Source!I33&amp;"=18,36/"&amp;"100"</f>
        <v>Объем: 0,1836=18,36/100</v>
      </c>
    </row>
    <row r="45" spans="1:26" ht="14.25" x14ac:dyDescent="0.2">
      <c r="A45" s="53"/>
      <c r="B45" s="54"/>
      <c r="C45" s="54" t="s">
        <v>395</v>
      </c>
      <c r="D45" s="35"/>
      <c r="E45" s="13"/>
      <c r="F45" s="36">
        <f>Source!AO33</f>
        <v>182.37</v>
      </c>
      <c r="G45" s="37" t="str">
        <f>Source!DG33</f>
        <v/>
      </c>
      <c r="H45" s="38">
        <f>ROUND(Source!AF33*Source!I33, 2)</f>
        <v>33.479999999999997</v>
      </c>
      <c r="I45" s="37"/>
      <c r="J45" s="37">
        <f>IF(Source!BA33&lt;&gt; 0, Source!BA33, 1)</f>
        <v>5.99</v>
      </c>
      <c r="K45" s="38">
        <f>Source!S33</f>
        <v>200.56</v>
      </c>
      <c r="L45" s="39"/>
      <c r="R45">
        <f>H45</f>
        <v>33.479999999999997</v>
      </c>
    </row>
    <row r="46" spans="1:26" ht="14.25" x14ac:dyDescent="0.2">
      <c r="A46" s="53"/>
      <c r="B46" s="54"/>
      <c r="C46" s="54" t="s">
        <v>170</v>
      </c>
      <c r="D46" s="35"/>
      <c r="E46" s="13"/>
      <c r="F46" s="36">
        <f>Source!AM33</f>
        <v>21.9</v>
      </c>
      <c r="G46" s="37" t="str">
        <f>Source!DE33</f>
        <v/>
      </c>
      <c r="H46" s="38">
        <f>ROUND(Source!AD33*Source!I33, 2)</f>
        <v>4.0199999999999996</v>
      </c>
      <c r="I46" s="37"/>
      <c r="J46" s="37">
        <f>IF(Source!BB33&lt;&gt; 0, Source!BB33, 1)</f>
        <v>5.99</v>
      </c>
      <c r="K46" s="38">
        <f>Source!Q33</f>
        <v>24.08</v>
      </c>
      <c r="L46" s="39"/>
    </row>
    <row r="47" spans="1:26" ht="14.25" x14ac:dyDescent="0.2">
      <c r="A47" s="53"/>
      <c r="B47" s="54"/>
      <c r="C47" s="54" t="s">
        <v>396</v>
      </c>
      <c r="D47" s="35"/>
      <c r="E47" s="13"/>
      <c r="F47" s="36">
        <f>Source!AN33</f>
        <v>4.43</v>
      </c>
      <c r="G47" s="37" t="str">
        <f>Source!DF33</f>
        <v/>
      </c>
      <c r="H47" s="40">
        <f>ROUND(Source!AE33*Source!I33, 2)</f>
        <v>0.81</v>
      </c>
      <c r="I47" s="37"/>
      <c r="J47" s="37">
        <f>IF(Source!BS33&lt;&gt; 0, Source!BS33, 1)</f>
        <v>5.99</v>
      </c>
      <c r="K47" s="40">
        <f>Source!R33</f>
        <v>4.87</v>
      </c>
      <c r="L47" s="39"/>
      <c r="R47">
        <f>H47</f>
        <v>0.81</v>
      </c>
    </row>
    <row r="48" spans="1:26" ht="14.25" x14ac:dyDescent="0.2">
      <c r="A48" s="53"/>
      <c r="B48" s="54"/>
      <c r="C48" s="54" t="s">
        <v>402</v>
      </c>
      <c r="D48" s="35"/>
      <c r="E48" s="13"/>
      <c r="F48" s="36">
        <f>Source!AL33</f>
        <v>6276.9</v>
      </c>
      <c r="G48" s="37" t="str">
        <f>Source!DD33</f>
        <v/>
      </c>
      <c r="H48" s="38">
        <f>ROUND(Source!AC33*Source!I33, 2)</f>
        <v>1152.44</v>
      </c>
      <c r="I48" s="37"/>
      <c r="J48" s="37">
        <f>IF(Source!BC33&lt;&gt; 0, Source!BC33, 1)</f>
        <v>5.99</v>
      </c>
      <c r="K48" s="38">
        <f>Source!P33</f>
        <v>6903.11</v>
      </c>
      <c r="L48" s="39"/>
    </row>
    <row r="49" spans="1:26" ht="14.25" x14ac:dyDescent="0.2">
      <c r="A49" s="53"/>
      <c r="B49" s="54"/>
      <c r="C49" s="54" t="s">
        <v>397</v>
      </c>
      <c r="D49" s="35" t="s">
        <v>398</v>
      </c>
      <c r="E49" s="13">
        <f>Source!BZ33</f>
        <v>118</v>
      </c>
      <c r="F49" s="108" t="str">
        <f>CONCATENATE(" )", Source!DL33, Source!FT33, "=", Source!FX33)</f>
        <v xml:space="preserve"> )*0,9=106,2</v>
      </c>
      <c r="G49" s="109"/>
      <c r="H49" s="38">
        <f>SUM(S43:S52)</f>
        <v>36.42</v>
      </c>
      <c r="I49" s="41"/>
      <c r="J49" s="32">
        <f>Source!AT33</f>
        <v>106</v>
      </c>
      <c r="K49" s="38">
        <f>SUM(T43:T52)</f>
        <v>217.76</v>
      </c>
      <c r="L49" s="39"/>
    </row>
    <row r="50" spans="1:26" ht="14.25" x14ac:dyDescent="0.2">
      <c r="A50" s="53"/>
      <c r="B50" s="54"/>
      <c r="C50" s="54" t="s">
        <v>399</v>
      </c>
      <c r="D50" s="35" t="s">
        <v>398</v>
      </c>
      <c r="E50" s="13">
        <f>Source!CA33</f>
        <v>63</v>
      </c>
      <c r="F50" s="108" t="str">
        <f>CONCATENATE(" )", Source!DM33, Source!FU33, "=", Source!FY33)</f>
        <v xml:space="preserve"> )*0,85=53,55</v>
      </c>
      <c r="G50" s="109"/>
      <c r="H50" s="38">
        <f>SUM(U43:U52)</f>
        <v>18.36</v>
      </c>
      <c r="I50" s="41"/>
      <c r="J50" s="32">
        <f>Source!AU33</f>
        <v>54</v>
      </c>
      <c r="K50" s="38">
        <f>SUM(V43:V52)</f>
        <v>110.93</v>
      </c>
      <c r="L50" s="39"/>
    </row>
    <row r="51" spans="1:26" ht="14.25" x14ac:dyDescent="0.2">
      <c r="A51" s="53"/>
      <c r="B51" s="54"/>
      <c r="C51" s="54" t="s">
        <v>400</v>
      </c>
      <c r="D51" s="35" t="s">
        <v>401</v>
      </c>
      <c r="E51" s="13">
        <f>Source!AQ33</f>
        <v>21.38</v>
      </c>
      <c r="F51" s="36"/>
      <c r="G51" s="37" t="str">
        <f>Source!DI33</f>
        <v/>
      </c>
      <c r="H51" s="38"/>
      <c r="I51" s="37"/>
      <c r="J51" s="37"/>
      <c r="K51" s="38"/>
      <c r="L51" s="49">
        <f>Source!U33</f>
        <v>3.9253680000000002</v>
      </c>
    </row>
    <row r="52" spans="1:26" ht="28.5" x14ac:dyDescent="0.2">
      <c r="A52" s="55" t="str">
        <f>Source!E35</f>
        <v>3,1</v>
      </c>
      <c r="B52" s="56" t="str">
        <f>Source!F35</f>
        <v>11.3.03.01-0010</v>
      </c>
      <c r="C52" s="56" t="str">
        <f>Source!G35</f>
        <v>Доски подоконные ПВХ, шириной 500 мм</v>
      </c>
      <c r="D52" s="42" t="str">
        <f>Source!H35</f>
        <v>м</v>
      </c>
      <c r="E52" s="43">
        <f>Source!I35</f>
        <v>18.36</v>
      </c>
      <c r="F52" s="44">
        <f>Source!AL35+Source!AM35+Source!AO35</f>
        <v>64.349999999999994</v>
      </c>
      <c r="G52" s="51" t="s">
        <v>6</v>
      </c>
      <c r="H52" s="46">
        <f>ROUND(Source!AC35*Source!I35, 2)+ROUND(Source!AD35*Source!I35, 2)+ROUND(Source!AF35*Source!I35, 2)</f>
        <v>1181.47</v>
      </c>
      <c r="I52" s="45"/>
      <c r="J52" s="45">
        <f>IF(Source!BC35&lt;&gt; 0, Source!BC35, 1)</f>
        <v>5.99</v>
      </c>
      <c r="K52" s="46">
        <f>Source!O35</f>
        <v>7076.98</v>
      </c>
      <c r="L52" s="52"/>
      <c r="S52">
        <f>ROUND((Source!FX35/100)*((ROUND(Source!AF35*Source!I35, 2)+ROUND(Source!AE35*Source!I35, 2))), 2)</f>
        <v>0</v>
      </c>
      <c r="T52">
        <f>Source!X35</f>
        <v>0</v>
      </c>
      <c r="U52">
        <f>ROUND((Source!FY35/100)*((ROUND(Source!AF35*Source!I35, 2)+ROUND(Source!AE35*Source!I35, 2))), 2)</f>
        <v>0</v>
      </c>
      <c r="V52">
        <f>Source!Y35</f>
        <v>0</v>
      </c>
      <c r="W52">
        <f>IF(Source!BI35&lt;=1,H52, 0)</f>
        <v>1181.47</v>
      </c>
      <c r="X52">
        <f>IF(Source!BI35=2,H52, 0)</f>
        <v>0</v>
      </c>
      <c r="Y52">
        <f>IF(Source!BI35=3,H52, 0)</f>
        <v>0</v>
      </c>
      <c r="Z52">
        <f>IF(Source!BI35=4,H52, 0)</f>
        <v>0</v>
      </c>
    </row>
    <row r="53" spans="1:26" ht="15" x14ac:dyDescent="0.25">
      <c r="G53" s="107">
        <f>H45+H46+H48+H49+H50+SUM(H52:H52)</f>
        <v>2426.19</v>
      </c>
      <c r="H53" s="107"/>
      <c r="J53" s="107">
        <f>K45+K46+K48+K49+K50+SUM(K52:K52)</f>
        <v>14533.42</v>
      </c>
      <c r="K53" s="107"/>
      <c r="L53" s="48">
        <f>Source!U33</f>
        <v>3.9253680000000002</v>
      </c>
      <c r="O53" s="29">
        <f>G53</f>
        <v>2426.19</v>
      </c>
      <c r="P53" s="29">
        <f>J53</f>
        <v>14533.42</v>
      </c>
      <c r="Q53" s="29">
        <f>L53</f>
        <v>3.9253680000000002</v>
      </c>
      <c r="W53">
        <f>IF(Source!BI33&lt;=1,H45+H46+H48+H49+H50, 0)</f>
        <v>1244.72</v>
      </c>
      <c r="X53">
        <f>IF(Source!BI33=2,H45+H46+H48+H49+H50, 0)</f>
        <v>0</v>
      </c>
      <c r="Y53">
        <f>IF(Source!BI33=3,H45+H46+H48+H49+H50, 0)</f>
        <v>0</v>
      </c>
      <c r="Z53">
        <f>IF(Source!BI33=4,H45+H46+H48+H49+H50, 0)</f>
        <v>0</v>
      </c>
    </row>
    <row r="54" spans="1:26" ht="42.75" x14ac:dyDescent="0.2">
      <c r="A54" s="53" t="str">
        <f>Source!E37</f>
        <v>4</v>
      </c>
      <c r="B54" s="54" t="str">
        <f>Source!F37</f>
        <v>58-20-1</v>
      </c>
      <c r="C54" s="54" t="str">
        <f>Source!G37</f>
        <v>Смена обделок из листовой стали (поясков, сандриков, отливов, карнизов) шириной до 0,4 м</v>
      </c>
      <c r="D54" s="35" t="str">
        <f>Source!H37</f>
        <v>100 м</v>
      </c>
      <c r="E54" s="13">
        <f>Source!I37</f>
        <v>0.18360000000000001</v>
      </c>
      <c r="F54" s="36">
        <f>Source!AL37+Source!AM37+Source!AO37</f>
        <v>454.41</v>
      </c>
      <c r="G54" s="37"/>
      <c r="H54" s="38"/>
      <c r="I54" s="37" t="str">
        <f>Source!BO37</f>
        <v/>
      </c>
      <c r="J54" s="37"/>
      <c r="K54" s="38"/>
      <c r="L54" s="39"/>
      <c r="S54">
        <f>ROUND((Source!FX37/100)*((ROUND(Source!AF37*Source!I37, 2)+ROUND(Source!AE37*Source!I37, 2))), 2)</f>
        <v>54.06</v>
      </c>
      <c r="T54">
        <f>Source!X37</f>
        <v>323.83</v>
      </c>
      <c r="U54">
        <f>ROUND((Source!FY37/100)*((ROUND(Source!AF37*Source!I37, 2)+ROUND(Source!AE37*Source!I37, 2))), 2)</f>
        <v>42.33</v>
      </c>
      <c r="V54">
        <f>Source!Y37</f>
        <v>253.6</v>
      </c>
    </row>
    <row r="55" spans="1:26" x14ac:dyDescent="0.2">
      <c r="C55" s="28" t="str">
        <f>"Объем: "&amp;Source!I37&amp;"=18,36/"&amp;"100"</f>
        <v>Объем: 0,1836=18,36/100</v>
      </c>
    </row>
    <row r="56" spans="1:26" ht="14.25" x14ac:dyDescent="0.2">
      <c r="A56" s="53"/>
      <c r="B56" s="54"/>
      <c r="C56" s="54" t="s">
        <v>395</v>
      </c>
      <c r="D56" s="35"/>
      <c r="E56" s="13"/>
      <c r="F56" s="36">
        <f>Source!AO37</f>
        <v>353.23</v>
      </c>
      <c r="G56" s="37" t="str">
        <f>Source!DG37</f>
        <v/>
      </c>
      <c r="H56" s="38">
        <f>ROUND(Source!AF37*Source!I37, 2)</f>
        <v>64.849999999999994</v>
      </c>
      <c r="I56" s="37"/>
      <c r="J56" s="37">
        <f>IF(Source!BA37&lt;&gt; 0, Source!BA37, 1)</f>
        <v>5.99</v>
      </c>
      <c r="K56" s="38">
        <f>Source!S37</f>
        <v>388.47</v>
      </c>
      <c r="L56" s="39"/>
      <c r="R56">
        <f>H56</f>
        <v>64.849999999999994</v>
      </c>
    </row>
    <row r="57" spans="1:26" ht="14.25" x14ac:dyDescent="0.2">
      <c r="A57" s="53"/>
      <c r="B57" s="54"/>
      <c r="C57" s="54" t="s">
        <v>170</v>
      </c>
      <c r="D57" s="35"/>
      <c r="E57" s="13"/>
      <c r="F57" s="36">
        <f>Source!AM37</f>
        <v>5.13</v>
      </c>
      <c r="G57" s="37" t="str">
        <f>Source!DE37</f>
        <v/>
      </c>
      <c r="H57" s="38">
        <f>ROUND(Source!AD37*Source!I37, 2)</f>
        <v>0.94</v>
      </c>
      <c r="I57" s="37"/>
      <c r="J57" s="37">
        <f>IF(Source!BB37&lt;&gt; 0, Source!BB37, 1)</f>
        <v>5.99</v>
      </c>
      <c r="K57" s="38">
        <f>Source!Q37</f>
        <v>5.64</v>
      </c>
      <c r="L57" s="39"/>
    </row>
    <row r="58" spans="1:26" ht="14.25" x14ac:dyDescent="0.2">
      <c r="A58" s="53"/>
      <c r="B58" s="54"/>
      <c r="C58" s="54" t="s">
        <v>396</v>
      </c>
      <c r="D58" s="35"/>
      <c r="E58" s="13"/>
      <c r="F58" s="36">
        <f>Source!AN37</f>
        <v>1.54</v>
      </c>
      <c r="G58" s="37" t="str">
        <f>Source!DF37</f>
        <v/>
      </c>
      <c r="H58" s="40">
        <f>ROUND(Source!AE37*Source!I37, 2)</f>
        <v>0.28000000000000003</v>
      </c>
      <c r="I58" s="37"/>
      <c r="J58" s="37">
        <f>IF(Source!BS37&lt;&gt; 0, Source!BS37, 1)</f>
        <v>5.99</v>
      </c>
      <c r="K58" s="40">
        <f>Source!R37</f>
        <v>1.69</v>
      </c>
      <c r="L58" s="39"/>
      <c r="R58">
        <f>H58</f>
        <v>0.28000000000000003</v>
      </c>
    </row>
    <row r="59" spans="1:26" ht="14.25" x14ac:dyDescent="0.2">
      <c r="A59" s="53"/>
      <c r="B59" s="54"/>
      <c r="C59" s="54" t="s">
        <v>402</v>
      </c>
      <c r="D59" s="35"/>
      <c r="E59" s="13"/>
      <c r="F59" s="36">
        <f>Source!AL37</f>
        <v>96.05</v>
      </c>
      <c r="G59" s="37" t="str">
        <f>Source!DD37</f>
        <v/>
      </c>
      <c r="H59" s="38">
        <f>ROUND(Source!AC37*Source!I37, 2)</f>
        <v>17.63</v>
      </c>
      <c r="I59" s="37"/>
      <c r="J59" s="37">
        <f>IF(Source!BC37&lt;&gt; 0, Source!BC37, 1)</f>
        <v>5.99</v>
      </c>
      <c r="K59" s="38">
        <f>Source!P37</f>
        <v>105.63</v>
      </c>
      <c r="L59" s="39"/>
    </row>
    <row r="60" spans="1:26" ht="14.25" x14ac:dyDescent="0.2">
      <c r="A60" s="53"/>
      <c r="B60" s="54"/>
      <c r="C60" s="54" t="s">
        <v>397</v>
      </c>
      <c r="D60" s="35" t="s">
        <v>398</v>
      </c>
      <c r="E60" s="13">
        <f>Source!BZ37</f>
        <v>83</v>
      </c>
      <c r="F60" s="57"/>
      <c r="G60" s="37"/>
      <c r="H60" s="38">
        <f>SUM(S54:S66)</f>
        <v>54.06</v>
      </c>
      <c r="I60" s="41"/>
      <c r="J60" s="32">
        <f>Source!AT37</f>
        <v>83</v>
      </c>
      <c r="K60" s="38">
        <f>SUM(T54:T66)</f>
        <v>323.83</v>
      </c>
      <c r="L60" s="39"/>
    </row>
    <row r="61" spans="1:26" ht="14.25" x14ac:dyDescent="0.2">
      <c r="A61" s="53"/>
      <c r="B61" s="54"/>
      <c r="C61" s="54" t="s">
        <v>399</v>
      </c>
      <c r="D61" s="35" t="s">
        <v>398</v>
      </c>
      <c r="E61" s="13">
        <f>Source!CA37</f>
        <v>65</v>
      </c>
      <c r="F61" s="57"/>
      <c r="G61" s="37"/>
      <c r="H61" s="38">
        <f>SUM(U54:U66)</f>
        <v>42.33</v>
      </c>
      <c r="I61" s="41"/>
      <c r="J61" s="32">
        <f>Source!AU37</f>
        <v>65</v>
      </c>
      <c r="K61" s="38">
        <f>SUM(V54:V66)</f>
        <v>253.6</v>
      </c>
      <c r="L61" s="39"/>
    </row>
    <row r="62" spans="1:26" ht="14.25" x14ac:dyDescent="0.2">
      <c r="A62" s="53"/>
      <c r="B62" s="54"/>
      <c r="C62" s="54" t="s">
        <v>400</v>
      </c>
      <c r="D62" s="35" t="s">
        <v>401</v>
      </c>
      <c r="E62" s="13">
        <f>Source!AQ37</f>
        <v>41.41</v>
      </c>
      <c r="F62" s="36"/>
      <c r="G62" s="37" t="str">
        <f>Source!DI37</f>
        <v/>
      </c>
      <c r="H62" s="38"/>
      <c r="I62" s="37"/>
      <c r="J62" s="37"/>
      <c r="K62" s="38"/>
      <c r="L62" s="49">
        <f>Source!U37</f>
        <v>7.6028760000000002</v>
      </c>
    </row>
    <row r="63" spans="1:26" ht="14.25" x14ac:dyDescent="0.2">
      <c r="A63" s="53" t="str">
        <f>Source!E39</f>
        <v>4,1</v>
      </c>
      <c r="B63" s="54" t="str">
        <f>Source!F39</f>
        <v>01.7.07.07</v>
      </c>
      <c r="C63" s="54" t="str">
        <f>Source!G39</f>
        <v>Строительный мусор</v>
      </c>
      <c r="D63" s="35" t="str">
        <f>Source!H39</f>
        <v>т</v>
      </c>
      <c r="E63" s="13">
        <f>Source!I39</f>
        <v>4.1126000000000003E-2</v>
      </c>
      <c r="F63" s="36">
        <f>Source!AL39+Source!AM39+Source!AO39</f>
        <v>0</v>
      </c>
      <c r="G63" s="50" t="s">
        <v>6</v>
      </c>
      <c r="H63" s="38">
        <f>ROUND(Source!AC39*Source!I39, 2)+ROUND(Source!AD39*Source!I39, 2)+ROUND(Source!AF39*Source!I39, 2)</f>
        <v>0</v>
      </c>
      <c r="I63" s="37"/>
      <c r="J63" s="37">
        <f>IF(Source!BC39&lt;&gt; 0, Source!BC39, 1)</f>
        <v>5.99</v>
      </c>
      <c r="K63" s="38">
        <f>Source!O39</f>
        <v>0</v>
      </c>
      <c r="L63" s="39"/>
      <c r="S63">
        <f>ROUND((Source!FX39/100)*((ROUND(Source!AF39*Source!I39, 2)+ROUND(Source!AE39*Source!I39, 2))), 2)</f>
        <v>0</v>
      </c>
      <c r="T63">
        <f>Source!X39</f>
        <v>0</v>
      </c>
      <c r="U63">
        <f>ROUND((Source!FY39/100)*((ROUND(Source!AF39*Source!I39, 2)+ROUND(Source!AE39*Source!I39, 2))), 2)</f>
        <v>0</v>
      </c>
      <c r="V63">
        <f>Source!Y39</f>
        <v>0</v>
      </c>
      <c r="W63">
        <f>IF(Source!BI39&lt;=1,H63, 0)</f>
        <v>0</v>
      </c>
      <c r="X63">
        <f>IF(Source!BI39=2,H63, 0)</f>
        <v>0</v>
      </c>
      <c r="Y63">
        <f>IF(Source!BI39=3,H63, 0)</f>
        <v>0</v>
      </c>
      <c r="Z63">
        <f>IF(Source!BI39=4,H63, 0)</f>
        <v>0</v>
      </c>
    </row>
    <row r="64" spans="1:26" ht="14.25" x14ac:dyDescent="0.2">
      <c r="A64" s="53" t="str">
        <f>Source!E41</f>
        <v>4,2</v>
      </c>
      <c r="B64" s="54" t="str">
        <f>Source!F41</f>
        <v>08.3.05.05</v>
      </c>
      <c r="C64" s="54" t="str">
        <f>Source!G41</f>
        <v>Сталь листовая оцинкованная</v>
      </c>
      <c r="D64" s="35" t="str">
        <f>Source!H41</f>
        <v>т</v>
      </c>
      <c r="E64" s="13">
        <f>Source!I41</f>
        <v>3.3782E-2</v>
      </c>
      <c r="F64" s="36">
        <f>Source!AL41+Source!AM41+Source!AO41</f>
        <v>0</v>
      </c>
      <c r="G64" s="50" t="s">
        <v>6</v>
      </c>
      <c r="H64" s="38">
        <f>ROUND(Source!AC41*Source!I41, 2)+ROUND(Source!AD41*Source!I41, 2)+ROUND(Source!AF41*Source!I41, 2)</f>
        <v>0</v>
      </c>
      <c r="I64" s="37"/>
      <c r="J64" s="37">
        <f>IF(Source!BC41&lt;&gt; 0, Source!BC41, 1)</f>
        <v>5.99</v>
      </c>
      <c r="K64" s="38">
        <f>Source!O41</f>
        <v>0</v>
      </c>
      <c r="L64" s="39"/>
      <c r="S64">
        <f>ROUND((Source!FX41/100)*((ROUND(Source!AF41*Source!I41, 2)+ROUND(Source!AE41*Source!I41, 2))), 2)</f>
        <v>0</v>
      </c>
      <c r="T64">
        <f>Source!X41</f>
        <v>0</v>
      </c>
      <c r="U64">
        <f>ROUND((Source!FY41/100)*((ROUND(Source!AF41*Source!I41, 2)+ROUND(Source!AE41*Source!I41, 2))), 2)</f>
        <v>0</v>
      </c>
      <c r="V64">
        <f>Source!Y41</f>
        <v>0</v>
      </c>
      <c r="W64">
        <f>IF(Source!BI41&lt;=1,H64, 0)</f>
        <v>0</v>
      </c>
      <c r="X64">
        <f>IF(Source!BI41=2,H64, 0)</f>
        <v>0</v>
      </c>
      <c r="Y64">
        <f>IF(Source!BI41=3,H64, 0)</f>
        <v>0</v>
      </c>
      <c r="Z64">
        <f>IF(Source!BI41=4,H64, 0)</f>
        <v>0</v>
      </c>
    </row>
    <row r="65" spans="1:26" ht="42.75" x14ac:dyDescent="0.2">
      <c r="A65" s="53" t="str">
        <f>Source!E43</f>
        <v>4,3</v>
      </c>
      <c r="B65" s="54" t="str">
        <f>Source!F43</f>
        <v>08.3.05.05-0081</v>
      </c>
      <c r="C65" s="54" t="str">
        <f>Source!G43</f>
        <v>Сталь оцинкованная в рулонах толщиной 0,5 мм, с полимерным покрытием</v>
      </c>
      <c r="D65" s="35" t="str">
        <f>Source!H43</f>
        <v>т</v>
      </c>
      <c r="E65" s="13">
        <f>Source!I43</f>
        <v>3.3782E-2</v>
      </c>
      <c r="F65" s="36">
        <f>Source!AL43+Source!AM43+Source!AO43</f>
        <v>8715.1</v>
      </c>
      <c r="G65" s="50" t="s">
        <v>6</v>
      </c>
      <c r="H65" s="38">
        <f>ROUND(Source!AC43*Source!I43, 2)+ROUND(Source!AD43*Source!I43, 2)+ROUND(Source!AF43*Source!I43, 2)</f>
        <v>294.41000000000003</v>
      </c>
      <c r="I65" s="37"/>
      <c r="J65" s="37">
        <f>IF(Source!BC43&lt;&gt; 0, Source!BC43, 1)</f>
        <v>5.99</v>
      </c>
      <c r="K65" s="38">
        <f>Source!O43</f>
        <v>1763.54</v>
      </c>
      <c r="L65" s="39"/>
      <c r="S65">
        <f>ROUND((Source!FX43/100)*((ROUND(Source!AF43*Source!I43, 2)+ROUND(Source!AE43*Source!I43, 2))), 2)</f>
        <v>0</v>
      </c>
      <c r="T65">
        <f>Source!X43</f>
        <v>0</v>
      </c>
      <c r="U65">
        <f>ROUND((Source!FY43/100)*((ROUND(Source!AF43*Source!I43, 2)+ROUND(Source!AE43*Source!I43, 2))), 2)</f>
        <v>0</v>
      </c>
      <c r="V65">
        <f>Source!Y43</f>
        <v>0</v>
      </c>
      <c r="W65">
        <f>IF(Source!BI43&lt;=1,H65, 0)</f>
        <v>294.41000000000003</v>
      </c>
      <c r="X65">
        <f>IF(Source!BI43=2,H65, 0)</f>
        <v>0</v>
      </c>
      <c r="Y65">
        <f>IF(Source!BI43=3,H65, 0)</f>
        <v>0</v>
      </c>
      <c r="Z65">
        <f>IF(Source!BI43=4,H65, 0)</f>
        <v>0</v>
      </c>
    </row>
    <row r="66" spans="1:26" ht="42.75" x14ac:dyDescent="0.2">
      <c r="A66" s="55" t="str">
        <f>Source!E45</f>
        <v>4,4</v>
      </c>
      <c r="B66" s="56" t="str">
        <f>Source!F45</f>
        <v>08.1.02.03-0021</v>
      </c>
      <c r="C66" s="56" t="str">
        <f>Source!G45</f>
        <v>Водоотлив оконный шириной планки 250 мм из оцинкованной стали с полимерным покрытием</v>
      </c>
      <c r="D66" s="42" t="str">
        <f>Source!H45</f>
        <v>П.М</v>
      </c>
      <c r="E66" s="43">
        <f>Source!I45</f>
        <v>18.36</v>
      </c>
      <c r="F66" s="44">
        <f>Source!AL45+Source!AM45+Source!AO45</f>
        <v>26.41</v>
      </c>
      <c r="G66" s="51" t="s">
        <v>6</v>
      </c>
      <c r="H66" s="46">
        <f>ROUND(Source!AC45*Source!I45, 2)+ROUND(Source!AD45*Source!I45, 2)+ROUND(Source!AF45*Source!I45, 2)</f>
        <v>484.89</v>
      </c>
      <c r="I66" s="45"/>
      <c r="J66" s="45">
        <f>IF(Source!BC45&lt;&gt; 0, Source!BC45, 1)</f>
        <v>5.99</v>
      </c>
      <c r="K66" s="46">
        <f>Source!O45</f>
        <v>2904.48</v>
      </c>
      <c r="L66" s="52"/>
      <c r="S66">
        <f>ROUND((Source!FX45/100)*((ROUND(Source!AF45*Source!I45, 2)+ROUND(Source!AE45*Source!I45, 2))), 2)</f>
        <v>0</v>
      </c>
      <c r="T66">
        <f>Source!X45</f>
        <v>0</v>
      </c>
      <c r="U66">
        <f>ROUND((Source!FY45/100)*((ROUND(Source!AF45*Source!I45, 2)+ROUND(Source!AE45*Source!I45, 2))), 2)</f>
        <v>0</v>
      </c>
      <c r="V66">
        <f>Source!Y45</f>
        <v>0</v>
      </c>
      <c r="W66">
        <f>IF(Source!BI45&lt;=1,H66, 0)</f>
        <v>484.89</v>
      </c>
      <c r="X66">
        <f>IF(Source!BI45=2,H66, 0)</f>
        <v>0</v>
      </c>
      <c r="Y66">
        <f>IF(Source!BI45=3,H66, 0)</f>
        <v>0</v>
      </c>
      <c r="Z66">
        <f>IF(Source!BI45=4,H66, 0)</f>
        <v>0</v>
      </c>
    </row>
    <row r="67" spans="1:26" ht="15" x14ac:dyDescent="0.25">
      <c r="G67" s="107">
        <f>H56+H57+H59+H60+H61+SUM(H63:H66)</f>
        <v>959.1099999999999</v>
      </c>
      <c r="H67" s="107"/>
      <c r="J67" s="107">
        <f>K56+K57+K59+K60+K61+SUM(K63:K66)</f>
        <v>5745.1900000000005</v>
      </c>
      <c r="K67" s="107"/>
      <c r="L67" s="48">
        <f>Source!U37</f>
        <v>7.6028760000000002</v>
      </c>
      <c r="O67" s="29">
        <f>G67</f>
        <v>959.1099999999999</v>
      </c>
      <c r="P67" s="29">
        <f>J67</f>
        <v>5745.1900000000005</v>
      </c>
      <c r="Q67" s="29">
        <f>L67</f>
        <v>7.6028760000000002</v>
      </c>
      <c r="W67">
        <f>IF(Source!BI37&lt;=1,H56+H57+H59+H60+H61, 0)</f>
        <v>179.81</v>
      </c>
      <c r="X67">
        <f>IF(Source!BI37=2,H56+H57+H59+H60+H61, 0)</f>
        <v>0</v>
      </c>
      <c r="Y67">
        <f>IF(Source!BI37=3,H56+H57+H59+H60+H61, 0)</f>
        <v>0</v>
      </c>
      <c r="Z67">
        <f>IF(Source!BI37=4,H56+H57+H59+H60+H61, 0)</f>
        <v>0</v>
      </c>
    </row>
    <row r="68" spans="1:26" ht="57" x14ac:dyDescent="0.2">
      <c r="A68" s="53" t="str">
        <f>Source!E47</f>
        <v>5</v>
      </c>
      <c r="B68" s="54" t="str">
        <f>Source!F47</f>
        <v>15-01-050-04</v>
      </c>
      <c r="C68" s="54" t="str">
        <f>Source!G47</f>
        <v>Облицовка оконных и дверных откосов декоративным бумажно-слоистым пластиком или листами из синтетических материалов на клее</v>
      </c>
      <c r="D68" s="35" t="str">
        <f>Source!H47</f>
        <v>100 м2</v>
      </c>
      <c r="E68" s="13">
        <f>Source!I47</f>
        <v>0.1346</v>
      </c>
      <c r="F68" s="36">
        <f>Source!AL47+Source!AM47+Source!AO47</f>
        <v>1563.91</v>
      </c>
      <c r="G68" s="37"/>
      <c r="H68" s="38"/>
      <c r="I68" s="37" t="str">
        <f>Source!BO47</f>
        <v/>
      </c>
      <c r="J68" s="37"/>
      <c r="K68" s="38"/>
      <c r="L68" s="39"/>
      <c r="S68">
        <f>ROUND((Source!FX47/100)*((ROUND(Source!AF47*Source!I47, 2)+ROUND(Source!AE47*Source!I47, 2))), 2)</f>
        <v>195.26</v>
      </c>
      <c r="T68">
        <f>Source!X47</f>
        <v>1175.78</v>
      </c>
      <c r="U68">
        <f>ROUND((Source!FY47/100)*((ROUND(Source!AF47*Source!I47, 2)+ROUND(Source!AE47*Source!I47, 2))), 2)</f>
        <v>96.59</v>
      </c>
      <c r="V68">
        <f>Source!Y47</f>
        <v>581.70000000000005</v>
      </c>
    </row>
    <row r="69" spans="1:26" x14ac:dyDescent="0.2">
      <c r="C69" s="28" t="str">
        <f>"Объем: "&amp;Source!I47&amp;"=13,46/"&amp;"100"</f>
        <v>Объем: 0,1346=13,46/100</v>
      </c>
    </row>
    <row r="70" spans="1:26" ht="14.25" x14ac:dyDescent="0.2">
      <c r="A70" s="53"/>
      <c r="B70" s="54"/>
      <c r="C70" s="54" t="s">
        <v>395</v>
      </c>
      <c r="D70" s="35"/>
      <c r="E70" s="13"/>
      <c r="F70" s="36">
        <f>Source!AO47</f>
        <v>1528.19</v>
      </c>
      <c r="G70" s="37" t="str">
        <f>Source!DG47</f>
        <v/>
      </c>
      <c r="H70" s="38">
        <f>ROUND(Source!AF47*Source!I47, 2)</f>
        <v>205.69</v>
      </c>
      <c r="I70" s="37"/>
      <c r="J70" s="37">
        <f>IF(Source!BA47&lt;&gt; 0, Source!BA47, 1)</f>
        <v>5.99</v>
      </c>
      <c r="K70" s="38">
        <f>Source!S47</f>
        <v>1232.1099999999999</v>
      </c>
      <c r="L70" s="39"/>
      <c r="R70">
        <f>H70</f>
        <v>205.69</v>
      </c>
    </row>
    <row r="71" spans="1:26" ht="14.25" x14ac:dyDescent="0.2">
      <c r="A71" s="53"/>
      <c r="B71" s="54"/>
      <c r="C71" s="54" t="s">
        <v>170</v>
      </c>
      <c r="D71" s="35"/>
      <c r="E71" s="13"/>
      <c r="F71" s="36">
        <f>Source!AM47</f>
        <v>35.36</v>
      </c>
      <c r="G71" s="37" t="str">
        <f>Source!DE47</f>
        <v/>
      </c>
      <c r="H71" s="38">
        <f>ROUND(Source!AD47*Source!I47, 2)</f>
        <v>4.76</v>
      </c>
      <c r="I71" s="37"/>
      <c r="J71" s="37">
        <f>IF(Source!BB47&lt;&gt; 0, Source!BB47, 1)</f>
        <v>5.99</v>
      </c>
      <c r="K71" s="38">
        <f>Source!Q47</f>
        <v>28.51</v>
      </c>
      <c r="L71" s="39"/>
    </row>
    <row r="72" spans="1:26" ht="14.25" x14ac:dyDescent="0.2">
      <c r="A72" s="53"/>
      <c r="B72" s="54"/>
      <c r="C72" s="54" t="s">
        <v>396</v>
      </c>
      <c r="D72" s="35"/>
      <c r="E72" s="13"/>
      <c r="F72" s="36">
        <f>Source!AN47</f>
        <v>6.88</v>
      </c>
      <c r="G72" s="37" t="str">
        <f>Source!DF47</f>
        <v/>
      </c>
      <c r="H72" s="40">
        <f>ROUND(Source!AE47*Source!I47, 2)</f>
        <v>0.93</v>
      </c>
      <c r="I72" s="37"/>
      <c r="J72" s="37">
        <f>IF(Source!BS47&lt;&gt; 0, Source!BS47, 1)</f>
        <v>5.99</v>
      </c>
      <c r="K72" s="40">
        <f>Source!R47</f>
        <v>5.55</v>
      </c>
      <c r="L72" s="39"/>
      <c r="R72">
        <f>H72</f>
        <v>0.93</v>
      </c>
    </row>
    <row r="73" spans="1:26" ht="14.25" x14ac:dyDescent="0.2">
      <c r="A73" s="53"/>
      <c r="B73" s="54"/>
      <c r="C73" s="54" t="s">
        <v>402</v>
      </c>
      <c r="D73" s="35"/>
      <c r="E73" s="13"/>
      <c r="F73" s="36">
        <f>Source!AL47</f>
        <v>0.36</v>
      </c>
      <c r="G73" s="37" t="str">
        <f>Source!DD47</f>
        <v/>
      </c>
      <c r="H73" s="38">
        <f>ROUND(Source!AC47*Source!I47, 2)</f>
        <v>0.05</v>
      </c>
      <c r="I73" s="37"/>
      <c r="J73" s="37">
        <f>IF(Source!BC47&lt;&gt; 0, Source!BC47, 1)</f>
        <v>5.99</v>
      </c>
      <c r="K73" s="38">
        <f>Source!P47</f>
        <v>0.28999999999999998</v>
      </c>
      <c r="L73" s="39"/>
    </row>
    <row r="74" spans="1:26" ht="14.25" x14ac:dyDescent="0.2">
      <c r="A74" s="53"/>
      <c r="B74" s="54"/>
      <c r="C74" s="54" t="s">
        <v>397</v>
      </c>
      <c r="D74" s="35" t="s">
        <v>398</v>
      </c>
      <c r="E74" s="13">
        <f>Source!BZ47</f>
        <v>105</v>
      </c>
      <c r="F74" s="108" t="str">
        <f>CONCATENATE(" )", Source!DL47, Source!FT47, "=", Source!FX47)</f>
        <v xml:space="preserve"> )*0,9=94,5</v>
      </c>
      <c r="G74" s="109"/>
      <c r="H74" s="38">
        <f>SUM(S68:S82)</f>
        <v>195.26</v>
      </c>
      <c r="I74" s="41"/>
      <c r="J74" s="32">
        <f>Source!AT47</f>
        <v>95</v>
      </c>
      <c r="K74" s="38">
        <f>SUM(T68:T82)</f>
        <v>1175.78</v>
      </c>
      <c r="L74" s="39"/>
    </row>
    <row r="75" spans="1:26" ht="14.25" x14ac:dyDescent="0.2">
      <c r="A75" s="53"/>
      <c r="B75" s="54"/>
      <c r="C75" s="54" t="s">
        <v>399</v>
      </c>
      <c r="D75" s="35" t="s">
        <v>398</v>
      </c>
      <c r="E75" s="13">
        <f>Source!CA47</f>
        <v>55</v>
      </c>
      <c r="F75" s="108" t="str">
        <f>CONCATENATE(" )", Source!DM47, Source!FU47, "=", Source!FY47)</f>
        <v xml:space="preserve"> )*0,85=46,75</v>
      </c>
      <c r="G75" s="109"/>
      <c r="H75" s="38">
        <f>SUM(U68:U82)</f>
        <v>96.59</v>
      </c>
      <c r="I75" s="41"/>
      <c r="J75" s="32">
        <f>Source!AU47</f>
        <v>47</v>
      </c>
      <c r="K75" s="38">
        <f>SUM(V68:V82)</f>
        <v>581.70000000000005</v>
      </c>
      <c r="L75" s="39"/>
    </row>
    <row r="76" spans="1:26" ht="14.25" x14ac:dyDescent="0.2">
      <c r="A76" s="53"/>
      <c r="B76" s="54"/>
      <c r="C76" s="54" t="s">
        <v>400</v>
      </c>
      <c r="D76" s="35" t="s">
        <v>401</v>
      </c>
      <c r="E76" s="13">
        <f>Source!AQ47</f>
        <v>166.47</v>
      </c>
      <c r="F76" s="36"/>
      <c r="G76" s="37" t="str">
        <f>Source!DI47</f>
        <v/>
      </c>
      <c r="H76" s="38"/>
      <c r="I76" s="37"/>
      <c r="J76" s="37"/>
      <c r="K76" s="38"/>
      <c r="L76" s="49">
        <f>Source!U47</f>
        <v>22.406862</v>
      </c>
    </row>
    <row r="77" spans="1:26" ht="14.25" x14ac:dyDescent="0.2">
      <c r="A77" s="53" t="str">
        <f>Source!E49</f>
        <v>5,1</v>
      </c>
      <c r="B77" s="54" t="str">
        <f>Source!F49</f>
        <v>01.6.01.11</v>
      </c>
      <c r="C77" s="54" t="str">
        <f>Source!G49</f>
        <v>Листы облицовочные декоративные</v>
      </c>
      <c r="D77" s="35" t="str">
        <f>Source!H49</f>
        <v>м2</v>
      </c>
      <c r="E77" s="13">
        <f>Source!I49</f>
        <v>14.132999999999999</v>
      </c>
      <c r="F77" s="36">
        <f>Source!AL49+Source!AM49+Source!AO49</f>
        <v>0</v>
      </c>
      <c r="G77" s="50" t="s">
        <v>6</v>
      </c>
      <c r="H77" s="38">
        <f>ROUND(Source!AC49*Source!I49, 2)+ROUND(Source!AD49*Source!I49, 2)+ROUND(Source!AF49*Source!I49, 2)</f>
        <v>0</v>
      </c>
      <c r="I77" s="37"/>
      <c r="J77" s="37">
        <f>IF(Source!BC49&lt;&gt; 0, Source!BC49, 1)</f>
        <v>5.99</v>
      </c>
      <c r="K77" s="38">
        <f>Source!O49</f>
        <v>0</v>
      </c>
      <c r="L77" s="39"/>
      <c r="S77">
        <f>ROUND((Source!FX49/100)*((ROUND(Source!AF49*Source!I49, 2)+ROUND(Source!AE49*Source!I49, 2))), 2)</f>
        <v>0</v>
      </c>
      <c r="T77">
        <f>Source!X49</f>
        <v>0</v>
      </c>
      <c r="U77">
        <f>ROUND((Source!FY49/100)*((ROUND(Source!AF49*Source!I49, 2)+ROUND(Source!AE49*Source!I49, 2))), 2)</f>
        <v>0</v>
      </c>
      <c r="V77">
        <f>Source!Y49</f>
        <v>0</v>
      </c>
      <c r="W77">
        <f>IF(Source!BI49&lt;=1,H77, 0)</f>
        <v>0</v>
      </c>
      <c r="X77">
        <f>IF(Source!BI49=2,H77, 0)</f>
        <v>0</v>
      </c>
      <c r="Y77">
        <f>IF(Source!BI49=3,H77, 0)</f>
        <v>0</v>
      </c>
      <c r="Z77">
        <f>IF(Source!BI49=4,H77, 0)</f>
        <v>0</v>
      </c>
    </row>
    <row r="78" spans="1:26" ht="42.75" x14ac:dyDescent="0.2">
      <c r="A78" s="53" t="str">
        <f>Source!E51</f>
        <v>5,2</v>
      </c>
      <c r="B78" s="54" t="str">
        <f>Source!F51</f>
        <v>11.3.03.05-0001</v>
      </c>
      <c r="C78" s="54" t="str">
        <f>Source!G51</f>
        <v>Панели пластиковые для откосов "Реас Пласт" шириной 0,4 м, длиной 3,0 м, белые матовые, лакированные</v>
      </c>
      <c r="D78" s="35" t="str">
        <f>Source!H51</f>
        <v>м2</v>
      </c>
      <c r="E78" s="13">
        <f>Source!I51</f>
        <v>14.132999999999999</v>
      </c>
      <c r="F78" s="36">
        <f>Source!AL51+Source!AM51+Source!AO51</f>
        <v>34.380000000000003</v>
      </c>
      <c r="G78" s="50" t="s">
        <v>6</v>
      </c>
      <c r="H78" s="38">
        <f>ROUND(Source!AC51*Source!I51, 2)+ROUND(Source!AD51*Source!I51, 2)+ROUND(Source!AF51*Source!I51, 2)</f>
        <v>485.89</v>
      </c>
      <c r="I78" s="37"/>
      <c r="J78" s="37">
        <f>IF(Source!BC51&lt;&gt; 0, Source!BC51, 1)</f>
        <v>5.99</v>
      </c>
      <c r="K78" s="38">
        <f>Source!O51</f>
        <v>2910.5</v>
      </c>
      <c r="L78" s="39"/>
      <c r="S78">
        <f>ROUND((Source!FX51/100)*((ROUND(Source!AF51*Source!I51, 2)+ROUND(Source!AE51*Source!I51, 2))), 2)</f>
        <v>0</v>
      </c>
      <c r="T78">
        <f>Source!X51</f>
        <v>0</v>
      </c>
      <c r="U78">
        <f>ROUND((Source!FY51/100)*((ROUND(Source!AF51*Source!I51, 2)+ROUND(Source!AE51*Source!I51, 2))), 2)</f>
        <v>0</v>
      </c>
      <c r="V78">
        <f>Source!Y51</f>
        <v>0</v>
      </c>
      <c r="W78">
        <f>IF(Source!BI51&lt;=1,H78, 0)</f>
        <v>485.89</v>
      </c>
      <c r="X78">
        <f>IF(Source!BI51=2,H78, 0)</f>
        <v>0</v>
      </c>
      <c r="Y78">
        <f>IF(Source!BI51=3,H78, 0)</f>
        <v>0</v>
      </c>
      <c r="Z78">
        <f>IF(Source!BI51=4,H78, 0)</f>
        <v>0</v>
      </c>
    </row>
    <row r="79" spans="1:26" ht="14.25" x14ac:dyDescent="0.2">
      <c r="A79" s="53" t="str">
        <f>Source!E53</f>
        <v>5,3</v>
      </c>
      <c r="B79" s="54" t="str">
        <f>Source!F53</f>
        <v>14.1.06.05</v>
      </c>
      <c r="C79" s="54" t="str">
        <f>Source!G53</f>
        <v>Клей</v>
      </c>
      <c r="D79" s="35" t="str">
        <f>Source!H53</f>
        <v>кг</v>
      </c>
      <c r="E79" s="13">
        <f>Source!I53</f>
        <v>4.0380000000000003</v>
      </c>
      <c r="F79" s="36">
        <f>Source!AL53+Source!AM53+Source!AO53</f>
        <v>0</v>
      </c>
      <c r="G79" s="50" t="s">
        <v>6</v>
      </c>
      <c r="H79" s="38">
        <f>ROUND(Source!AC53*Source!I53, 2)+ROUND(Source!AD53*Source!I53, 2)+ROUND(Source!AF53*Source!I53, 2)</f>
        <v>0</v>
      </c>
      <c r="I79" s="37"/>
      <c r="J79" s="37">
        <f>IF(Source!BC53&lt;&gt; 0, Source!BC53, 1)</f>
        <v>5.99</v>
      </c>
      <c r="K79" s="38">
        <f>Source!O53</f>
        <v>0</v>
      </c>
      <c r="L79" s="39"/>
      <c r="S79">
        <f>ROUND((Source!FX53/100)*((ROUND(Source!AF53*Source!I53, 2)+ROUND(Source!AE53*Source!I53, 2))), 2)</f>
        <v>0</v>
      </c>
      <c r="T79">
        <f>Source!X53</f>
        <v>0</v>
      </c>
      <c r="U79">
        <f>ROUND((Source!FY53/100)*((ROUND(Source!AF53*Source!I53, 2)+ROUND(Source!AE53*Source!I53, 2))), 2)</f>
        <v>0</v>
      </c>
      <c r="V79">
        <f>Source!Y53</f>
        <v>0</v>
      </c>
      <c r="W79">
        <f>IF(Source!BI53&lt;=1,H79, 0)</f>
        <v>0</v>
      </c>
      <c r="X79">
        <f>IF(Source!BI53=2,H79, 0)</f>
        <v>0</v>
      </c>
      <c r="Y79">
        <f>IF(Source!BI53=3,H79, 0)</f>
        <v>0</v>
      </c>
      <c r="Z79">
        <f>IF(Source!BI53=4,H79, 0)</f>
        <v>0</v>
      </c>
    </row>
    <row r="80" spans="1:26" ht="28.5" x14ac:dyDescent="0.2">
      <c r="A80" s="53" t="str">
        <f>Source!E55</f>
        <v>5,4</v>
      </c>
      <c r="B80" s="54" t="str">
        <f>Source!F55</f>
        <v>14.1.02.03-0002</v>
      </c>
      <c r="C80" s="54" t="str">
        <f>Source!G55</f>
        <v>Клей ПВА</v>
      </c>
      <c r="D80" s="35" t="str">
        <f>Source!H55</f>
        <v>кг</v>
      </c>
      <c r="E80" s="13">
        <f>Source!I55</f>
        <v>4.0380000000000003</v>
      </c>
      <c r="F80" s="36">
        <f>Source!AL55+Source!AM55+Source!AO55</f>
        <v>15.9</v>
      </c>
      <c r="G80" s="50" t="s">
        <v>6</v>
      </c>
      <c r="H80" s="38">
        <f>ROUND(Source!AC55*Source!I55, 2)+ROUND(Source!AD55*Source!I55, 2)+ROUND(Source!AF55*Source!I55, 2)</f>
        <v>64.2</v>
      </c>
      <c r="I80" s="37"/>
      <c r="J80" s="37">
        <f>IF(Source!BC55&lt;&gt; 0, Source!BC55, 1)</f>
        <v>5.99</v>
      </c>
      <c r="K80" s="38">
        <f>Source!O55</f>
        <v>384.58</v>
      </c>
      <c r="L80" s="39"/>
      <c r="S80">
        <f>ROUND((Source!FX55/100)*((ROUND(Source!AF55*Source!I55, 2)+ROUND(Source!AE55*Source!I55, 2))), 2)</f>
        <v>0</v>
      </c>
      <c r="T80">
        <f>Source!X55</f>
        <v>0</v>
      </c>
      <c r="U80">
        <f>ROUND((Source!FY55/100)*((ROUND(Source!AF55*Source!I55, 2)+ROUND(Source!AE55*Source!I55, 2))), 2)</f>
        <v>0</v>
      </c>
      <c r="V80">
        <f>Source!Y55</f>
        <v>0</v>
      </c>
      <c r="W80">
        <f>IF(Source!BI55&lt;=1,H80, 0)</f>
        <v>64.2</v>
      </c>
      <c r="X80">
        <f>IF(Source!BI55=2,H80, 0)</f>
        <v>0</v>
      </c>
      <c r="Y80">
        <f>IF(Source!BI55=3,H80, 0)</f>
        <v>0</v>
      </c>
      <c r="Z80">
        <f>IF(Source!BI55=4,H80, 0)</f>
        <v>0</v>
      </c>
    </row>
    <row r="81" spans="1:26" ht="28.5" x14ac:dyDescent="0.2">
      <c r="A81" s="53" t="str">
        <f>Source!E57</f>
        <v>5,5</v>
      </c>
      <c r="B81" s="54" t="str">
        <f>Source!F57</f>
        <v>14.3.01.01-0001</v>
      </c>
      <c r="C81" s="54" t="str">
        <f>Source!G57</f>
        <v>Грунтовка: «Бетоконтакт», КНАУФ</v>
      </c>
      <c r="D81" s="35" t="str">
        <f>Source!H57</f>
        <v>кг</v>
      </c>
      <c r="E81" s="13">
        <f>Source!I57</f>
        <v>1.1979649999999999</v>
      </c>
      <c r="F81" s="36">
        <f>Source!AL57+Source!AM57+Source!AO57</f>
        <v>15.09</v>
      </c>
      <c r="G81" s="50" t="s">
        <v>6</v>
      </c>
      <c r="H81" s="38">
        <f>ROUND(Source!AC57*Source!I57, 2)+ROUND(Source!AD57*Source!I57, 2)+ROUND(Source!AF57*Source!I57, 2)</f>
        <v>18.079999999999998</v>
      </c>
      <c r="I81" s="37"/>
      <c r="J81" s="37">
        <f>IF(Source!BC57&lt;&gt; 0, Source!BC57, 1)</f>
        <v>5.99</v>
      </c>
      <c r="K81" s="38">
        <f>Source!O57</f>
        <v>108.28</v>
      </c>
      <c r="L81" s="39"/>
      <c r="S81">
        <f>ROUND((Source!FX57/100)*((ROUND(Source!AF57*Source!I57, 2)+ROUND(Source!AE57*Source!I57, 2))), 2)</f>
        <v>0</v>
      </c>
      <c r="T81">
        <f>Source!X57</f>
        <v>0</v>
      </c>
      <c r="U81">
        <f>ROUND((Source!FY57/100)*((ROUND(Source!AF57*Source!I57, 2)+ROUND(Source!AE57*Source!I57, 2))), 2)</f>
        <v>0</v>
      </c>
      <c r="V81">
        <f>Source!Y57</f>
        <v>0</v>
      </c>
      <c r="W81">
        <f>IF(Source!BI57&lt;=1,H81, 0)</f>
        <v>18.079999999999998</v>
      </c>
      <c r="X81">
        <f>IF(Source!BI57=2,H81, 0)</f>
        <v>0</v>
      </c>
      <c r="Y81">
        <f>IF(Source!BI57=3,H81, 0)</f>
        <v>0</v>
      </c>
      <c r="Z81">
        <f>IF(Source!BI57=4,H81, 0)</f>
        <v>0</v>
      </c>
    </row>
    <row r="82" spans="1:26" ht="14.25" x14ac:dyDescent="0.2">
      <c r="A82" s="55" t="str">
        <f>Source!E59</f>
        <v>5,6</v>
      </c>
      <c r="B82" s="56" t="str">
        <f>Source!F59</f>
        <v>14.4.01.21</v>
      </c>
      <c r="C82" s="56" t="str">
        <f>Source!G59</f>
        <v>Грунтовка</v>
      </c>
      <c r="D82" s="42" t="str">
        <f>Source!H59</f>
        <v>т</v>
      </c>
      <c r="E82" s="43">
        <f>Source!I59</f>
        <v>1.1980000000000001E-3</v>
      </c>
      <c r="F82" s="44">
        <f>Source!AL59+Source!AM59+Source!AO59</f>
        <v>0</v>
      </c>
      <c r="G82" s="51" t="s">
        <v>6</v>
      </c>
      <c r="H82" s="46">
        <f>ROUND(Source!AC59*Source!I59, 2)+ROUND(Source!AD59*Source!I59, 2)+ROUND(Source!AF59*Source!I59, 2)</f>
        <v>0</v>
      </c>
      <c r="I82" s="45"/>
      <c r="J82" s="45">
        <f>IF(Source!BC59&lt;&gt; 0, Source!BC59, 1)</f>
        <v>5.99</v>
      </c>
      <c r="K82" s="46">
        <f>Source!O59</f>
        <v>0</v>
      </c>
      <c r="L82" s="52"/>
      <c r="S82">
        <f>ROUND((Source!FX59/100)*((ROUND(Source!AF59*Source!I59, 2)+ROUND(Source!AE59*Source!I59, 2))), 2)</f>
        <v>0</v>
      </c>
      <c r="T82">
        <f>Source!X59</f>
        <v>0</v>
      </c>
      <c r="U82">
        <f>ROUND((Source!FY59/100)*((ROUND(Source!AF59*Source!I59, 2)+ROUND(Source!AE59*Source!I59, 2))), 2)</f>
        <v>0</v>
      </c>
      <c r="V82">
        <f>Source!Y59</f>
        <v>0</v>
      </c>
      <c r="W82">
        <f>IF(Source!BI59&lt;=1,H82, 0)</f>
        <v>0</v>
      </c>
      <c r="X82">
        <f>IF(Source!BI59=2,H82, 0)</f>
        <v>0</v>
      </c>
      <c r="Y82">
        <f>IF(Source!BI59=3,H82, 0)</f>
        <v>0</v>
      </c>
      <c r="Z82">
        <f>IF(Source!BI59=4,H82, 0)</f>
        <v>0</v>
      </c>
    </row>
    <row r="83" spans="1:26" ht="15" x14ac:dyDescent="0.25">
      <c r="G83" s="107">
        <f>H70+H71+H73+H74+H75+SUM(H77:H82)</f>
        <v>1070.52</v>
      </c>
      <c r="H83" s="107"/>
      <c r="J83" s="107">
        <f>K70+K71+K73+K74+K75+SUM(K77:K82)</f>
        <v>6421.75</v>
      </c>
      <c r="K83" s="107"/>
      <c r="L83" s="48">
        <f>Source!U47</f>
        <v>22.406862</v>
      </c>
      <c r="O83" s="29">
        <f>G83</f>
        <v>1070.52</v>
      </c>
      <c r="P83" s="29">
        <f>J83</f>
        <v>6421.75</v>
      </c>
      <c r="Q83" s="29">
        <f>L83</f>
        <v>22.406862</v>
      </c>
      <c r="W83">
        <f>IF(Source!BI47&lt;=1,H70+H71+H73+H74+H75, 0)</f>
        <v>502.35</v>
      </c>
      <c r="X83">
        <f>IF(Source!BI47=2,H70+H71+H73+H74+H75, 0)</f>
        <v>0</v>
      </c>
      <c r="Y83">
        <f>IF(Source!BI47=3,H70+H71+H73+H74+H75, 0)</f>
        <v>0</v>
      </c>
      <c r="Z83">
        <f>IF(Source!BI47=4,H70+H71+H73+H74+H75, 0)</f>
        <v>0</v>
      </c>
    </row>
    <row r="84" spans="1:26" ht="71.25" x14ac:dyDescent="0.2">
      <c r="A84" s="53" t="str">
        <f>Source!E61</f>
        <v>6</v>
      </c>
      <c r="B84" s="54" t="str">
        <f>Source!F61</f>
        <v>61-2-7</v>
      </c>
      <c r="C84" s="54" t="str">
        <f>Source!G61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84" s="35" t="str">
        <f>Source!H61</f>
        <v>100 м2</v>
      </c>
      <c r="E84" s="13">
        <f>Source!I61</f>
        <v>0.1346</v>
      </c>
      <c r="F84" s="36">
        <f>Source!AL61+Source!AM61+Source!AO61</f>
        <v>3184.37</v>
      </c>
      <c r="G84" s="37"/>
      <c r="H84" s="38"/>
      <c r="I84" s="37" t="str">
        <f>Source!BO61</f>
        <v/>
      </c>
      <c r="J84" s="37"/>
      <c r="K84" s="38"/>
      <c r="L84" s="39"/>
      <c r="S84">
        <f>ROUND((Source!FX61/100)*((ROUND(Source!AF61*Source!I61, 2)+ROUND(Source!AE61*Source!I61, 2))), 2)</f>
        <v>216.1</v>
      </c>
      <c r="T84">
        <f>Source!X61</f>
        <v>1294.42</v>
      </c>
      <c r="U84">
        <f>ROUND((Source!FY61/100)*((ROUND(Source!AF61*Source!I61, 2)+ROUND(Source!AE61*Source!I61, 2))), 2)</f>
        <v>136.77000000000001</v>
      </c>
      <c r="V84">
        <f>Source!Y61</f>
        <v>819.25</v>
      </c>
    </row>
    <row r="85" spans="1:26" x14ac:dyDescent="0.2">
      <c r="C85" s="28" t="str">
        <f>"Объем: "&amp;Source!I61&amp;"=13,46/"&amp;"100"</f>
        <v>Объем: 0,1346=13,46/100</v>
      </c>
    </row>
    <row r="86" spans="1:26" ht="14.25" x14ac:dyDescent="0.2">
      <c r="A86" s="53"/>
      <c r="B86" s="54"/>
      <c r="C86" s="54" t="s">
        <v>395</v>
      </c>
      <c r="D86" s="35"/>
      <c r="E86" s="13"/>
      <c r="F86" s="36">
        <f>Source!AO61</f>
        <v>2023.18</v>
      </c>
      <c r="G86" s="37" t="str">
        <f>Source!DG61</f>
        <v/>
      </c>
      <c r="H86" s="38">
        <f>ROUND(Source!AF61*Source!I61, 2)</f>
        <v>272.32</v>
      </c>
      <c r="I86" s="37"/>
      <c r="J86" s="37">
        <f>IF(Source!BA61&lt;&gt; 0, Source!BA61, 1)</f>
        <v>5.99</v>
      </c>
      <c r="K86" s="38">
        <f>Source!S61</f>
        <v>1631.2</v>
      </c>
      <c r="L86" s="39"/>
      <c r="R86">
        <f>H86</f>
        <v>272.32</v>
      </c>
    </row>
    <row r="87" spans="1:26" ht="14.25" x14ac:dyDescent="0.2">
      <c r="A87" s="53"/>
      <c r="B87" s="54"/>
      <c r="C87" s="54" t="s">
        <v>170</v>
      </c>
      <c r="D87" s="35"/>
      <c r="E87" s="13"/>
      <c r="F87" s="36">
        <f>Source!AM61</f>
        <v>20.94</v>
      </c>
      <c r="G87" s="37" t="str">
        <f>Source!DE61</f>
        <v/>
      </c>
      <c r="H87" s="38">
        <f>ROUND(Source!AD61*Source!I61, 2)</f>
        <v>2.82</v>
      </c>
      <c r="I87" s="37"/>
      <c r="J87" s="37">
        <f>IF(Source!BB61&lt;&gt; 0, Source!BB61, 1)</f>
        <v>5.99</v>
      </c>
      <c r="K87" s="38">
        <f>Source!Q61</f>
        <v>16.88</v>
      </c>
      <c r="L87" s="39"/>
    </row>
    <row r="88" spans="1:26" ht="14.25" x14ac:dyDescent="0.2">
      <c r="A88" s="53"/>
      <c r="B88" s="54"/>
      <c r="C88" s="54" t="s">
        <v>396</v>
      </c>
      <c r="D88" s="35"/>
      <c r="E88" s="13"/>
      <c r="F88" s="36">
        <f>Source!AN61</f>
        <v>9.0500000000000007</v>
      </c>
      <c r="G88" s="37" t="str">
        <f>Source!DF61</f>
        <v/>
      </c>
      <c r="H88" s="40">
        <f>ROUND(Source!AE61*Source!I61, 2)</f>
        <v>1.22</v>
      </c>
      <c r="I88" s="37"/>
      <c r="J88" s="37">
        <f>IF(Source!BS61&lt;&gt; 0, Source!BS61, 1)</f>
        <v>5.99</v>
      </c>
      <c r="K88" s="40">
        <f>Source!R61</f>
        <v>7.3</v>
      </c>
      <c r="L88" s="39"/>
      <c r="R88">
        <f>H88</f>
        <v>1.22</v>
      </c>
    </row>
    <row r="89" spans="1:26" ht="14.25" x14ac:dyDescent="0.2">
      <c r="A89" s="53"/>
      <c r="B89" s="54"/>
      <c r="C89" s="54" t="s">
        <v>402</v>
      </c>
      <c r="D89" s="35"/>
      <c r="E89" s="13"/>
      <c r="F89" s="36">
        <f>Source!AL61</f>
        <v>1140.25</v>
      </c>
      <c r="G89" s="37" t="str">
        <f>Source!DD61</f>
        <v/>
      </c>
      <c r="H89" s="38">
        <f>ROUND(Source!AC61*Source!I61, 2)</f>
        <v>153.47999999999999</v>
      </c>
      <c r="I89" s="37"/>
      <c r="J89" s="37">
        <f>IF(Source!BC61&lt;&gt; 0, Source!BC61, 1)</f>
        <v>5.99</v>
      </c>
      <c r="K89" s="38">
        <f>Source!P61</f>
        <v>919.33</v>
      </c>
      <c r="L89" s="39"/>
    </row>
    <row r="90" spans="1:26" ht="14.25" x14ac:dyDescent="0.2">
      <c r="A90" s="53"/>
      <c r="B90" s="54"/>
      <c r="C90" s="54" t="s">
        <v>397</v>
      </c>
      <c r="D90" s="35" t="s">
        <v>398</v>
      </c>
      <c r="E90" s="13">
        <f>Source!BZ61</f>
        <v>79</v>
      </c>
      <c r="F90" s="57"/>
      <c r="G90" s="37"/>
      <c r="H90" s="38">
        <f>SUM(S84:S93)</f>
        <v>216.1</v>
      </c>
      <c r="I90" s="41"/>
      <c r="J90" s="32">
        <f>Source!AT61</f>
        <v>79</v>
      </c>
      <c r="K90" s="38">
        <f>SUM(T84:T93)</f>
        <v>1294.42</v>
      </c>
      <c r="L90" s="39"/>
    </row>
    <row r="91" spans="1:26" ht="14.25" x14ac:dyDescent="0.2">
      <c r="A91" s="53"/>
      <c r="B91" s="54"/>
      <c r="C91" s="54" t="s">
        <v>399</v>
      </c>
      <c r="D91" s="35" t="s">
        <v>398</v>
      </c>
      <c r="E91" s="13">
        <f>Source!CA61</f>
        <v>50</v>
      </c>
      <c r="F91" s="57"/>
      <c r="G91" s="37"/>
      <c r="H91" s="38">
        <f>SUM(U84:U93)</f>
        <v>136.77000000000001</v>
      </c>
      <c r="I91" s="41"/>
      <c r="J91" s="32">
        <f>Source!AU61</f>
        <v>50</v>
      </c>
      <c r="K91" s="38">
        <f>SUM(V84:V93)</f>
        <v>819.25</v>
      </c>
      <c r="L91" s="39"/>
    </row>
    <row r="92" spans="1:26" ht="14.25" x14ac:dyDescent="0.2">
      <c r="A92" s="53"/>
      <c r="B92" s="54"/>
      <c r="C92" s="54" t="s">
        <v>400</v>
      </c>
      <c r="D92" s="35" t="s">
        <v>401</v>
      </c>
      <c r="E92" s="13">
        <f>Source!AQ61</f>
        <v>228.35</v>
      </c>
      <c r="F92" s="36"/>
      <c r="G92" s="37" t="str">
        <f>Source!DI61</f>
        <v/>
      </c>
      <c r="H92" s="38"/>
      <c r="I92" s="37"/>
      <c r="J92" s="37"/>
      <c r="K92" s="38"/>
      <c r="L92" s="49">
        <f>Source!U61</f>
        <v>30.735909999999997</v>
      </c>
    </row>
    <row r="93" spans="1:26" ht="14.25" x14ac:dyDescent="0.2">
      <c r="A93" s="55" t="str">
        <f>Source!E63</f>
        <v>6,1</v>
      </c>
      <c r="B93" s="56" t="str">
        <f>Source!F63</f>
        <v>01.7.07.07</v>
      </c>
      <c r="C93" s="56" t="str">
        <f>Source!G63</f>
        <v>Строительный мусор</v>
      </c>
      <c r="D93" s="42" t="str">
        <f>Source!H63</f>
        <v>т</v>
      </c>
      <c r="E93" s="43">
        <f>Source!I63</f>
        <v>0.45494800000000002</v>
      </c>
      <c r="F93" s="44">
        <f>Source!AL63+Source!AM63+Source!AO63</f>
        <v>0</v>
      </c>
      <c r="G93" s="51" t="s">
        <v>6</v>
      </c>
      <c r="H93" s="46">
        <f>ROUND(Source!AC63*Source!I63, 2)+ROUND(Source!AD63*Source!I63, 2)+ROUND(Source!AF63*Source!I63, 2)</f>
        <v>0</v>
      </c>
      <c r="I93" s="45"/>
      <c r="J93" s="45">
        <f>IF(Source!BC63&lt;&gt; 0, Source!BC63, 1)</f>
        <v>5.99</v>
      </c>
      <c r="K93" s="46">
        <f>Source!O63</f>
        <v>0</v>
      </c>
      <c r="L93" s="52"/>
      <c r="S93">
        <f>ROUND((Source!FX63/100)*((ROUND(Source!AF63*Source!I63, 2)+ROUND(Source!AE63*Source!I63, 2))), 2)</f>
        <v>0</v>
      </c>
      <c r="T93">
        <f>Source!X63</f>
        <v>0</v>
      </c>
      <c r="U93">
        <f>ROUND((Source!FY63/100)*((ROUND(Source!AF63*Source!I63, 2)+ROUND(Source!AE63*Source!I63, 2))), 2)</f>
        <v>0</v>
      </c>
      <c r="V93">
        <f>Source!Y63</f>
        <v>0</v>
      </c>
      <c r="W93">
        <f>IF(Source!BI63&lt;=1,H93, 0)</f>
        <v>0</v>
      </c>
      <c r="X93">
        <f>IF(Source!BI63=2,H93, 0)</f>
        <v>0</v>
      </c>
      <c r="Y93">
        <f>IF(Source!BI63=3,H93, 0)</f>
        <v>0</v>
      </c>
      <c r="Z93">
        <f>IF(Source!BI63=4,H93, 0)</f>
        <v>0</v>
      </c>
    </row>
    <row r="94" spans="1:26" ht="15" x14ac:dyDescent="0.25">
      <c r="G94" s="107">
        <f>H86+H87+H89+H90+H91+SUM(H93:H93)</f>
        <v>781.49</v>
      </c>
      <c r="H94" s="107"/>
      <c r="J94" s="107">
        <f>K86+K87+K89+K90+K91+SUM(K93:K93)</f>
        <v>4681.08</v>
      </c>
      <c r="K94" s="107"/>
      <c r="L94" s="48">
        <f>Source!U61</f>
        <v>30.735909999999997</v>
      </c>
      <c r="O94" s="29">
        <f>G94</f>
        <v>781.49</v>
      </c>
      <c r="P94" s="29">
        <f>J94</f>
        <v>4681.08</v>
      </c>
      <c r="Q94" s="29">
        <f>L94</f>
        <v>30.735909999999997</v>
      </c>
      <c r="W94">
        <f>IF(Source!BI61&lt;=1,H86+H87+H89+H90+H91, 0)</f>
        <v>781.49</v>
      </c>
      <c r="X94">
        <f>IF(Source!BI61=2,H86+H87+H89+H90+H91, 0)</f>
        <v>0</v>
      </c>
      <c r="Y94">
        <f>IF(Source!BI61=3,H86+H87+H89+H90+H91, 0)</f>
        <v>0</v>
      </c>
      <c r="Z94">
        <f>IF(Source!BI61=4,H86+H87+H89+H90+H91, 0)</f>
        <v>0</v>
      </c>
    </row>
    <row r="95" spans="1:26" ht="71.25" x14ac:dyDescent="0.2">
      <c r="A95" s="53" t="str">
        <f>Source!E65</f>
        <v>7</v>
      </c>
      <c r="B95" s="54" t="str">
        <f>Source!F65</f>
        <v>62-16-4</v>
      </c>
      <c r="C95" s="54" t="str">
        <f>Source!G65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D95" s="35" t="str">
        <f>Source!H65</f>
        <v>100 м2</v>
      </c>
      <c r="E95" s="13">
        <f>Source!I65</f>
        <v>0.1346</v>
      </c>
      <c r="F95" s="36">
        <f>Source!AL65+Source!AM65+Source!AO65</f>
        <v>759.03</v>
      </c>
      <c r="G95" s="37"/>
      <c r="H95" s="38"/>
      <c r="I95" s="37" t="str">
        <f>Source!BO65</f>
        <v/>
      </c>
      <c r="J95" s="37"/>
      <c r="K95" s="38"/>
      <c r="L95" s="39"/>
      <c r="S95">
        <f>ROUND((Source!FX65/100)*((ROUND(Source!AF65*Source!I65, 2)+ROUND(Source!AE65*Source!I65, 2))), 2)</f>
        <v>27.76</v>
      </c>
      <c r="T95">
        <f>Source!X65</f>
        <v>166.27</v>
      </c>
      <c r="U95">
        <f>ROUND((Source!FY65/100)*((ROUND(Source!AF65*Source!I65, 2)+ROUND(Source!AE65*Source!I65, 2))), 2)</f>
        <v>17.350000000000001</v>
      </c>
      <c r="V95">
        <f>Source!Y65</f>
        <v>103.92</v>
      </c>
    </row>
    <row r="96" spans="1:26" x14ac:dyDescent="0.2">
      <c r="C96" s="28" t="str">
        <f>"Объем: "&amp;Source!I65&amp;"=13,46/"&amp;"100"</f>
        <v>Объем: 0,1346=13,46/100</v>
      </c>
    </row>
    <row r="97" spans="1:26" ht="14.25" x14ac:dyDescent="0.2">
      <c r="A97" s="53"/>
      <c r="B97" s="54"/>
      <c r="C97" s="54" t="s">
        <v>395</v>
      </c>
      <c r="D97" s="35"/>
      <c r="E97" s="13"/>
      <c r="F97" s="36">
        <f>Source!AO65</f>
        <v>255.74</v>
      </c>
      <c r="G97" s="37" t="str">
        <f>Source!DG65</f>
        <v/>
      </c>
      <c r="H97" s="38">
        <f>ROUND(Source!AF65*Source!I65, 2)</f>
        <v>34.42</v>
      </c>
      <c r="I97" s="37"/>
      <c r="J97" s="37">
        <f>IF(Source!BA65&lt;&gt; 0, Source!BA65, 1)</f>
        <v>5.99</v>
      </c>
      <c r="K97" s="38">
        <f>Source!S65</f>
        <v>206.19</v>
      </c>
      <c r="L97" s="39"/>
      <c r="R97">
        <f>H97</f>
        <v>34.42</v>
      </c>
    </row>
    <row r="98" spans="1:26" ht="14.25" x14ac:dyDescent="0.2">
      <c r="A98" s="53"/>
      <c r="B98" s="54"/>
      <c r="C98" s="54" t="s">
        <v>170</v>
      </c>
      <c r="D98" s="35"/>
      <c r="E98" s="13"/>
      <c r="F98" s="36">
        <f>Source!AM65</f>
        <v>7.07</v>
      </c>
      <c r="G98" s="37" t="str">
        <f>Source!DE65</f>
        <v/>
      </c>
      <c r="H98" s="38">
        <f>ROUND(Source!AD65*Source!I65, 2)</f>
        <v>0.95</v>
      </c>
      <c r="I98" s="37"/>
      <c r="J98" s="37">
        <f>IF(Source!BB65&lt;&gt; 0, Source!BB65, 1)</f>
        <v>5.99</v>
      </c>
      <c r="K98" s="38">
        <f>Source!Q65</f>
        <v>5.7</v>
      </c>
      <c r="L98" s="39"/>
    </row>
    <row r="99" spans="1:26" ht="14.25" x14ac:dyDescent="0.2">
      <c r="A99" s="53"/>
      <c r="B99" s="54"/>
      <c r="C99" s="54" t="s">
        <v>396</v>
      </c>
      <c r="D99" s="35"/>
      <c r="E99" s="13"/>
      <c r="F99" s="36">
        <f>Source!AN65</f>
        <v>2.0499999999999998</v>
      </c>
      <c r="G99" s="37" t="str">
        <f>Source!DF65</f>
        <v/>
      </c>
      <c r="H99" s="40">
        <f>ROUND(Source!AE65*Source!I65, 2)</f>
        <v>0.28000000000000003</v>
      </c>
      <c r="I99" s="37"/>
      <c r="J99" s="37">
        <f>IF(Source!BS65&lt;&gt; 0, Source!BS65, 1)</f>
        <v>5.99</v>
      </c>
      <c r="K99" s="40">
        <f>Source!R65</f>
        <v>1.65</v>
      </c>
      <c r="L99" s="39"/>
      <c r="R99">
        <f>H99</f>
        <v>0.28000000000000003</v>
      </c>
    </row>
    <row r="100" spans="1:26" ht="14.25" x14ac:dyDescent="0.2">
      <c r="A100" s="53"/>
      <c r="B100" s="54"/>
      <c r="C100" s="54" t="s">
        <v>402</v>
      </c>
      <c r="D100" s="35"/>
      <c r="E100" s="13"/>
      <c r="F100" s="36">
        <f>Source!AL65</f>
        <v>496.22</v>
      </c>
      <c r="G100" s="37" t="str">
        <f>Source!DD65</f>
        <v/>
      </c>
      <c r="H100" s="38">
        <f>ROUND(Source!AC65*Source!I65, 2)</f>
        <v>66.790000000000006</v>
      </c>
      <c r="I100" s="37"/>
      <c r="J100" s="37">
        <f>IF(Source!BC65&lt;&gt; 0, Source!BC65, 1)</f>
        <v>5.99</v>
      </c>
      <c r="K100" s="38">
        <f>Source!P65</f>
        <v>400.08</v>
      </c>
      <c r="L100" s="39"/>
    </row>
    <row r="101" spans="1:26" ht="14.25" x14ac:dyDescent="0.2">
      <c r="A101" s="53"/>
      <c r="B101" s="54"/>
      <c r="C101" s="54" t="s">
        <v>397</v>
      </c>
      <c r="D101" s="35" t="s">
        <v>398</v>
      </c>
      <c r="E101" s="13">
        <f>Source!BZ65</f>
        <v>80</v>
      </c>
      <c r="F101" s="57"/>
      <c r="G101" s="37"/>
      <c r="H101" s="38">
        <f>SUM(S95:S105)</f>
        <v>27.76</v>
      </c>
      <c r="I101" s="41"/>
      <c r="J101" s="32">
        <f>Source!AT65</f>
        <v>80</v>
      </c>
      <c r="K101" s="38">
        <f>SUM(T95:T105)</f>
        <v>166.27</v>
      </c>
      <c r="L101" s="39"/>
    </row>
    <row r="102" spans="1:26" ht="14.25" x14ac:dyDescent="0.2">
      <c r="A102" s="53"/>
      <c r="B102" s="54"/>
      <c r="C102" s="54" t="s">
        <v>399</v>
      </c>
      <c r="D102" s="35" t="s">
        <v>398</v>
      </c>
      <c r="E102" s="13">
        <f>Source!CA65</f>
        <v>50</v>
      </c>
      <c r="F102" s="57"/>
      <c r="G102" s="37"/>
      <c r="H102" s="38">
        <f>SUM(U95:U105)</f>
        <v>17.350000000000001</v>
      </c>
      <c r="I102" s="41"/>
      <c r="J102" s="32">
        <f>Source!AU65</f>
        <v>50</v>
      </c>
      <c r="K102" s="38">
        <f>SUM(V95:V105)</f>
        <v>103.92</v>
      </c>
      <c r="L102" s="39"/>
    </row>
    <row r="103" spans="1:26" ht="14.25" x14ac:dyDescent="0.2">
      <c r="A103" s="53"/>
      <c r="B103" s="54"/>
      <c r="C103" s="54" t="s">
        <v>400</v>
      </c>
      <c r="D103" s="35" t="s">
        <v>401</v>
      </c>
      <c r="E103" s="13">
        <f>Source!AQ65</f>
        <v>29.6</v>
      </c>
      <c r="F103" s="36"/>
      <c r="G103" s="37" t="str">
        <f>Source!DI65</f>
        <v/>
      </c>
      <c r="H103" s="38"/>
      <c r="I103" s="37"/>
      <c r="J103" s="37"/>
      <c r="K103" s="38"/>
      <c r="L103" s="49">
        <f>Source!U65</f>
        <v>3.9841600000000001</v>
      </c>
    </row>
    <row r="104" spans="1:26" ht="14.25" x14ac:dyDescent="0.2">
      <c r="A104" s="53" t="str">
        <f>Source!E67</f>
        <v>7,1</v>
      </c>
      <c r="B104" s="54" t="str">
        <f>Source!F67</f>
        <v>14.3.02.01</v>
      </c>
      <c r="C104" s="54" t="str">
        <f>Source!G67</f>
        <v>Краска водоэмульсионная</v>
      </c>
      <c r="D104" s="35" t="str">
        <f>Source!H67</f>
        <v>т</v>
      </c>
      <c r="E104" s="13">
        <f>Source!I67</f>
        <v>9.5569999999999995E-3</v>
      </c>
      <c r="F104" s="36">
        <f>Source!AL67+Source!AM67+Source!AO67</f>
        <v>0</v>
      </c>
      <c r="G104" s="50" t="s">
        <v>6</v>
      </c>
      <c r="H104" s="38">
        <f>ROUND(Source!AC67*Source!I67, 2)+ROUND(Source!AD67*Source!I67, 2)+ROUND(Source!AF67*Source!I67, 2)</f>
        <v>0</v>
      </c>
      <c r="I104" s="37"/>
      <c r="J104" s="37">
        <f>IF(Source!BC67&lt;&gt; 0, Source!BC67, 1)</f>
        <v>5.99</v>
      </c>
      <c r="K104" s="38">
        <f>Source!O67</f>
        <v>0</v>
      </c>
      <c r="L104" s="39"/>
      <c r="S104">
        <f>ROUND((Source!FX67/100)*((ROUND(Source!AF67*Source!I67, 2)+ROUND(Source!AE67*Source!I67, 2))), 2)</f>
        <v>0</v>
      </c>
      <c r="T104">
        <f>Source!X67</f>
        <v>0</v>
      </c>
      <c r="U104">
        <f>ROUND((Source!FY67/100)*((ROUND(Source!AF67*Source!I67, 2)+ROUND(Source!AE67*Source!I67, 2))), 2)</f>
        <v>0</v>
      </c>
      <c r="V104">
        <f>Source!Y67</f>
        <v>0</v>
      </c>
      <c r="W104">
        <f>IF(Source!BI67&lt;=1,H104, 0)</f>
        <v>0</v>
      </c>
      <c r="X104">
        <f>IF(Source!BI67=2,H104, 0)</f>
        <v>0</v>
      </c>
      <c r="Y104">
        <f>IF(Source!BI67=3,H104, 0)</f>
        <v>0</v>
      </c>
      <c r="Z104">
        <f>IF(Source!BI67=4,H104, 0)</f>
        <v>0</v>
      </c>
    </row>
    <row r="105" spans="1:26" ht="28.5" x14ac:dyDescent="0.2">
      <c r="A105" s="55" t="str">
        <f>Source!E69</f>
        <v>7,2</v>
      </c>
      <c r="B105" s="56" t="str">
        <f>Source!F69</f>
        <v>14.3.02.01-0223</v>
      </c>
      <c r="C105" s="56" t="str">
        <f>Source!G69</f>
        <v>Краска водоэмульсионная для внутренних работ ВАК-15</v>
      </c>
      <c r="D105" s="42" t="str">
        <f>Source!H69</f>
        <v>т</v>
      </c>
      <c r="E105" s="43">
        <f>Source!I69</f>
        <v>9.5569999999999995E-3</v>
      </c>
      <c r="F105" s="44">
        <f>Source!AL69+Source!AM69+Source!AO69</f>
        <v>19973.669999999998</v>
      </c>
      <c r="G105" s="51" t="s">
        <v>6</v>
      </c>
      <c r="H105" s="46">
        <f>ROUND(Source!AC69*Source!I69, 2)+ROUND(Source!AD69*Source!I69, 2)+ROUND(Source!AF69*Source!I69, 2)</f>
        <v>190.89</v>
      </c>
      <c r="I105" s="45"/>
      <c r="J105" s="45">
        <f>IF(Source!BC69&lt;&gt; 0, Source!BC69, 1)</f>
        <v>5.99</v>
      </c>
      <c r="K105" s="46">
        <f>Source!O69</f>
        <v>1143.42</v>
      </c>
      <c r="L105" s="52"/>
      <c r="S105">
        <f>ROUND((Source!FX69/100)*((ROUND(Source!AF69*Source!I69, 2)+ROUND(Source!AE69*Source!I69, 2))), 2)</f>
        <v>0</v>
      </c>
      <c r="T105">
        <f>Source!X69</f>
        <v>0</v>
      </c>
      <c r="U105">
        <f>ROUND((Source!FY69/100)*((ROUND(Source!AF69*Source!I69, 2)+ROUND(Source!AE69*Source!I69, 2))), 2)</f>
        <v>0</v>
      </c>
      <c r="V105">
        <f>Source!Y69</f>
        <v>0</v>
      </c>
      <c r="W105">
        <f>IF(Source!BI69&lt;=1,H105, 0)</f>
        <v>190.89</v>
      </c>
      <c r="X105">
        <f>IF(Source!BI69=2,H105, 0)</f>
        <v>0</v>
      </c>
      <c r="Y105">
        <f>IF(Source!BI69=3,H105, 0)</f>
        <v>0</v>
      </c>
      <c r="Z105">
        <f>IF(Source!BI69=4,H105, 0)</f>
        <v>0</v>
      </c>
    </row>
    <row r="106" spans="1:26" ht="15" x14ac:dyDescent="0.25">
      <c r="G106" s="107">
        <f>H97+H98+H100+H101+H102+SUM(H104:H105)</f>
        <v>338.15999999999997</v>
      </c>
      <c r="H106" s="107"/>
      <c r="J106" s="107">
        <f>K97+K98+K100+K101+K102+SUM(K104:K105)</f>
        <v>2025.58</v>
      </c>
      <c r="K106" s="107"/>
      <c r="L106" s="48">
        <f>Source!U65</f>
        <v>3.9841600000000001</v>
      </c>
      <c r="O106" s="29">
        <f>G106</f>
        <v>338.15999999999997</v>
      </c>
      <c r="P106" s="29">
        <f>J106</f>
        <v>2025.58</v>
      </c>
      <c r="Q106" s="29">
        <f>L106</f>
        <v>3.9841600000000001</v>
      </c>
      <c r="W106">
        <f>IF(Source!BI65&lt;=1,H97+H98+H100+H101+H102, 0)</f>
        <v>147.27000000000001</v>
      </c>
      <c r="X106">
        <f>IF(Source!BI65=2,H97+H98+H100+H101+H102, 0)</f>
        <v>0</v>
      </c>
      <c r="Y106">
        <f>IF(Source!BI65=3,H97+H98+H100+H101+H102, 0)</f>
        <v>0</v>
      </c>
      <c r="Z106">
        <f>IF(Source!BI65=4,H97+H98+H100+H101+H102, 0)</f>
        <v>0</v>
      </c>
    </row>
    <row r="107" spans="1:26" ht="71.25" x14ac:dyDescent="0.2">
      <c r="A107" s="53" t="str">
        <f>Source!E71</f>
        <v>8</v>
      </c>
      <c r="B107" s="54" t="str">
        <f>Source!F71</f>
        <v>61-10-3</v>
      </c>
      <c r="C107" s="54" t="str">
        <f>Source!G71</f>
        <v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v>
      </c>
      <c r="D107" s="35" t="str">
        <f>Source!H71</f>
        <v>100 м2</v>
      </c>
      <c r="E107" s="13">
        <f>Source!I71</f>
        <v>7.3400000000000007E-2</v>
      </c>
      <c r="F107" s="36">
        <f>Source!AL71+Source!AM71+Source!AO71</f>
        <v>2786.77</v>
      </c>
      <c r="G107" s="37"/>
      <c r="H107" s="38"/>
      <c r="I107" s="37" t="str">
        <f>Source!BO71</f>
        <v/>
      </c>
      <c r="J107" s="37"/>
      <c r="K107" s="38"/>
      <c r="L107" s="39"/>
      <c r="S107">
        <f>ROUND((Source!FX71/100)*((ROUND(Source!AF71*Source!I71, 2)+ROUND(Source!AE71*Source!I71, 2))), 2)</f>
        <v>95.41</v>
      </c>
      <c r="T107">
        <f>Source!X71</f>
        <v>571.48</v>
      </c>
      <c r="U107">
        <f>ROUND((Source!FY71/100)*((ROUND(Source!AF71*Source!I71, 2)+ROUND(Source!AE71*Source!I71, 2))), 2)</f>
        <v>60.39</v>
      </c>
      <c r="V107">
        <f>Source!Y71</f>
        <v>361.7</v>
      </c>
    </row>
    <row r="108" spans="1:26" x14ac:dyDescent="0.2">
      <c r="C108" s="28" t="str">
        <f>"Объем: "&amp;Source!I71&amp;"=7,34/"&amp;"100"</f>
        <v>Объем: 0,0734=7,34/100</v>
      </c>
    </row>
    <row r="109" spans="1:26" ht="14.25" x14ac:dyDescent="0.2">
      <c r="A109" s="53"/>
      <c r="B109" s="54"/>
      <c r="C109" s="54" t="s">
        <v>395</v>
      </c>
      <c r="D109" s="35"/>
      <c r="E109" s="13"/>
      <c r="F109" s="36">
        <f>Source!AO71</f>
        <v>1645.31</v>
      </c>
      <c r="G109" s="37" t="str">
        <f>Source!DG71</f>
        <v/>
      </c>
      <c r="H109" s="38">
        <f>ROUND(Source!AF71*Source!I71, 2)</f>
        <v>120.77</v>
      </c>
      <c r="I109" s="37"/>
      <c r="J109" s="37">
        <f>IF(Source!BA71&lt;&gt; 0, Source!BA71, 1)</f>
        <v>5.99</v>
      </c>
      <c r="K109" s="38">
        <f>Source!S71</f>
        <v>723.39</v>
      </c>
      <c r="L109" s="39"/>
      <c r="R109">
        <f>H109</f>
        <v>120.77</v>
      </c>
    </row>
    <row r="110" spans="1:26" ht="14.25" x14ac:dyDescent="0.2">
      <c r="A110" s="53"/>
      <c r="B110" s="54"/>
      <c r="C110" s="54" t="s">
        <v>170</v>
      </c>
      <c r="D110" s="35"/>
      <c r="E110" s="13"/>
      <c r="F110" s="36">
        <f>Source!AM71</f>
        <v>1.21</v>
      </c>
      <c r="G110" s="37" t="str">
        <f>Source!DE71</f>
        <v/>
      </c>
      <c r="H110" s="38">
        <f>ROUND(Source!AD71*Source!I71, 2)</f>
        <v>0.09</v>
      </c>
      <c r="I110" s="37"/>
      <c r="J110" s="37">
        <f>IF(Source!BB71&lt;&gt; 0, Source!BB71, 1)</f>
        <v>5.99</v>
      </c>
      <c r="K110" s="38">
        <f>Source!Q71</f>
        <v>0.53</v>
      </c>
      <c r="L110" s="39"/>
    </row>
    <row r="111" spans="1:26" ht="14.25" x14ac:dyDescent="0.2">
      <c r="A111" s="53"/>
      <c r="B111" s="54"/>
      <c r="C111" s="54" t="s">
        <v>402</v>
      </c>
      <c r="D111" s="35"/>
      <c r="E111" s="13"/>
      <c r="F111" s="36">
        <f>Source!AL71</f>
        <v>1140.25</v>
      </c>
      <c r="G111" s="37" t="str">
        <f>Source!DD71</f>
        <v/>
      </c>
      <c r="H111" s="38">
        <f>ROUND(Source!AC71*Source!I71, 2)</f>
        <v>83.69</v>
      </c>
      <c r="I111" s="37"/>
      <c r="J111" s="37">
        <f>IF(Source!BC71&lt;&gt; 0, Source!BC71, 1)</f>
        <v>5.99</v>
      </c>
      <c r="K111" s="38">
        <f>Source!P71</f>
        <v>501.33</v>
      </c>
      <c r="L111" s="39"/>
    </row>
    <row r="112" spans="1:26" ht="14.25" x14ac:dyDescent="0.2">
      <c r="A112" s="53"/>
      <c r="B112" s="54"/>
      <c r="C112" s="54" t="s">
        <v>397</v>
      </c>
      <c r="D112" s="35" t="s">
        <v>398</v>
      </c>
      <c r="E112" s="13">
        <f>Source!BZ71</f>
        <v>79</v>
      </c>
      <c r="F112" s="57"/>
      <c r="G112" s="37"/>
      <c r="H112" s="38">
        <f>SUM(S107:S115)</f>
        <v>95.41</v>
      </c>
      <c r="I112" s="41"/>
      <c r="J112" s="32">
        <f>Source!AT71</f>
        <v>79</v>
      </c>
      <c r="K112" s="38">
        <f>SUM(T107:T115)</f>
        <v>571.48</v>
      </c>
      <c r="L112" s="39"/>
    </row>
    <row r="113" spans="1:26" ht="14.25" x14ac:dyDescent="0.2">
      <c r="A113" s="53"/>
      <c r="B113" s="54"/>
      <c r="C113" s="54" t="s">
        <v>399</v>
      </c>
      <c r="D113" s="35" t="s">
        <v>398</v>
      </c>
      <c r="E113" s="13">
        <f>Source!CA71</f>
        <v>50</v>
      </c>
      <c r="F113" s="57"/>
      <c r="G113" s="37"/>
      <c r="H113" s="38">
        <f>SUM(U107:U115)</f>
        <v>60.39</v>
      </c>
      <c r="I113" s="41"/>
      <c r="J113" s="32">
        <f>Source!AU71</f>
        <v>50</v>
      </c>
      <c r="K113" s="38">
        <f>SUM(V107:V115)</f>
        <v>361.7</v>
      </c>
      <c r="L113" s="39"/>
    </row>
    <row r="114" spans="1:26" ht="14.25" x14ac:dyDescent="0.2">
      <c r="A114" s="53"/>
      <c r="B114" s="54"/>
      <c r="C114" s="54" t="s">
        <v>400</v>
      </c>
      <c r="D114" s="35" t="s">
        <v>401</v>
      </c>
      <c r="E114" s="13">
        <f>Source!AQ71</f>
        <v>188.25</v>
      </c>
      <c r="F114" s="36"/>
      <c r="G114" s="37" t="str">
        <f>Source!DI71</f>
        <v/>
      </c>
      <c r="H114" s="38"/>
      <c r="I114" s="37"/>
      <c r="J114" s="37"/>
      <c r="K114" s="38"/>
      <c r="L114" s="49">
        <f>Source!U71</f>
        <v>13.817550000000001</v>
      </c>
    </row>
    <row r="115" spans="1:26" ht="14.25" x14ac:dyDescent="0.2">
      <c r="A115" s="55" t="str">
        <f>Source!E73</f>
        <v>8,1</v>
      </c>
      <c r="B115" s="56" t="str">
        <f>Source!F73</f>
        <v>01.7.07.07</v>
      </c>
      <c r="C115" s="56" t="str">
        <f>Source!G73</f>
        <v>Строительный мусор</v>
      </c>
      <c r="D115" s="42" t="str">
        <f>Source!H73</f>
        <v>т</v>
      </c>
      <c r="E115" s="43">
        <f>Source!I73</f>
        <v>0.35525600000000002</v>
      </c>
      <c r="F115" s="44">
        <f>Source!AL73+Source!AM73+Source!AO73</f>
        <v>0</v>
      </c>
      <c r="G115" s="51" t="s">
        <v>6</v>
      </c>
      <c r="H115" s="46">
        <f>ROUND(Source!AC73*Source!I73, 2)+ROUND(Source!AD73*Source!I73, 2)+ROUND(Source!AF73*Source!I73, 2)</f>
        <v>0</v>
      </c>
      <c r="I115" s="45"/>
      <c r="J115" s="45">
        <f>IF(Source!BC73&lt;&gt; 0, Source!BC73, 1)</f>
        <v>5.99</v>
      </c>
      <c r="K115" s="46">
        <f>Source!O73</f>
        <v>0</v>
      </c>
      <c r="L115" s="52"/>
      <c r="S115">
        <f>ROUND((Source!FX73/100)*((ROUND(Source!AF73*Source!I73, 2)+ROUND(Source!AE73*Source!I73, 2))), 2)</f>
        <v>0</v>
      </c>
      <c r="T115">
        <f>Source!X73</f>
        <v>0</v>
      </c>
      <c r="U115">
        <f>ROUND((Source!FY73/100)*((ROUND(Source!AF73*Source!I73, 2)+ROUND(Source!AE73*Source!I73, 2))), 2)</f>
        <v>0</v>
      </c>
      <c r="V115">
        <f>Source!Y73</f>
        <v>0</v>
      </c>
      <c r="W115">
        <f>IF(Source!BI73&lt;=1,H115, 0)</f>
        <v>0</v>
      </c>
      <c r="X115">
        <f>IF(Source!BI73=2,H115, 0)</f>
        <v>0</v>
      </c>
      <c r="Y115">
        <f>IF(Source!BI73=3,H115, 0)</f>
        <v>0</v>
      </c>
      <c r="Z115">
        <f>IF(Source!BI73=4,H115, 0)</f>
        <v>0</v>
      </c>
    </row>
    <row r="116" spans="1:26" ht="15" x14ac:dyDescent="0.25">
      <c r="G116" s="107">
        <f>H109+H110+H111+H112+H113+SUM(H115:H115)</f>
        <v>360.35</v>
      </c>
      <c r="H116" s="107"/>
      <c r="J116" s="107">
        <f>K109+K110+K111+K112+K113+SUM(K115:K115)</f>
        <v>2158.4299999999998</v>
      </c>
      <c r="K116" s="107"/>
      <c r="L116" s="48">
        <f>Source!U71</f>
        <v>13.817550000000001</v>
      </c>
      <c r="O116" s="29">
        <f>G116</f>
        <v>360.35</v>
      </c>
      <c r="P116" s="29">
        <f>J116</f>
        <v>2158.4299999999998</v>
      </c>
      <c r="Q116" s="29">
        <f>L116</f>
        <v>13.817550000000001</v>
      </c>
      <c r="W116">
        <f>IF(Source!BI71&lt;=1,H109+H110+H111+H112+H113, 0)</f>
        <v>360.35</v>
      </c>
      <c r="X116">
        <f>IF(Source!BI71=2,H109+H110+H111+H112+H113, 0)</f>
        <v>0</v>
      </c>
      <c r="Y116">
        <f>IF(Source!BI71=3,H109+H110+H111+H112+H113, 0)</f>
        <v>0</v>
      </c>
      <c r="Z116">
        <f>IF(Source!BI71=4,H109+H110+H111+H112+H113, 0)</f>
        <v>0</v>
      </c>
    </row>
    <row r="117" spans="1:26" ht="42.75" x14ac:dyDescent="0.2">
      <c r="A117" s="53" t="str">
        <f>Source!E75</f>
        <v>9</v>
      </c>
      <c r="B117" s="54" t="str">
        <f>Source!F75</f>
        <v>15-04-012-01</v>
      </c>
      <c r="C117" s="54" t="str">
        <f>Source!G75</f>
        <v>Окраска фасадов с лесов с подготовкой поверхности перхлорвиниловая</v>
      </c>
      <c r="D117" s="35" t="str">
        <f>Source!H75</f>
        <v>100 м2</v>
      </c>
      <c r="E117" s="13">
        <f>Source!I75</f>
        <v>7.3400000000000007E-2</v>
      </c>
      <c r="F117" s="36">
        <f>Source!AL75+Source!AM75+Source!AO75</f>
        <v>685.42</v>
      </c>
      <c r="G117" s="37"/>
      <c r="H117" s="38"/>
      <c r="I117" s="37" t="str">
        <f>Source!BO75</f>
        <v/>
      </c>
      <c r="J117" s="37"/>
      <c r="K117" s="38"/>
      <c r="L117" s="39"/>
      <c r="S117">
        <f>ROUND((Source!FX75/100)*((ROUND(Source!AF75*Source!I75, 2)+ROUND(Source!AE75*Source!I75, 2))), 2)</f>
        <v>9.15</v>
      </c>
      <c r="T117">
        <f>Source!X75</f>
        <v>55.1</v>
      </c>
      <c r="U117">
        <f>ROUND((Source!FY75/100)*((ROUND(Source!AF75*Source!I75, 2)+ROUND(Source!AE75*Source!I75, 2))), 2)</f>
        <v>4.53</v>
      </c>
      <c r="V117">
        <f>Source!Y75</f>
        <v>27.26</v>
      </c>
    </row>
    <row r="118" spans="1:26" x14ac:dyDescent="0.2">
      <c r="C118" s="28" t="str">
        <f>"Объем: "&amp;Source!I75&amp;"=7,34/"&amp;"100"</f>
        <v>Объем: 0,0734=7,34/100</v>
      </c>
    </row>
    <row r="119" spans="1:26" ht="14.25" x14ac:dyDescent="0.2">
      <c r="A119" s="53"/>
      <c r="B119" s="54"/>
      <c r="C119" s="54" t="s">
        <v>395</v>
      </c>
      <c r="D119" s="35"/>
      <c r="E119" s="13"/>
      <c r="F119" s="36">
        <f>Source!AO75</f>
        <v>130.52000000000001</v>
      </c>
      <c r="G119" s="37" t="str">
        <f>Source!DG75</f>
        <v/>
      </c>
      <c r="H119" s="38">
        <f>ROUND(Source!AF75*Source!I75, 2)</f>
        <v>9.58</v>
      </c>
      <c r="I119" s="37"/>
      <c r="J119" s="37">
        <f>IF(Source!BA75&lt;&gt; 0, Source!BA75, 1)</f>
        <v>5.99</v>
      </c>
      <c r="K119" s="38">
        <f>Source!S75</f>
        <v>57.39</v>
      </c>
      <c r="L119" s="39"/>
      <c r="R119">
        <f>H119</f>
        <v>9.58</v>
      </c>
    </row>
    <row r="120" spans="1:26" ht="14.25" x14ac:dyDescent="0.2">
      <c r="A120" s="53"/>
      <c r="B120" s="54"/>
      <c r="C120" s="54" t="s">
        <v>170</v>
      </c>
      <c r="D120" s="35"/>
      <c r="E120" s="13"/>
      <c r="F120" s="36">
        <f>Source!AM75</f>
        <v>8.3000000000000007</v>
      </c>
      <c r="G120" s="37" t="str">
        <f>Source!DE75</f>
        <v/>
      </c>
      <c r="H120" s="38">
        <f>ROUND(Source!AD75*Source!I75, 2)</f>
        <v>0.61</v>
      </c>
      <c r="I120" s="37"/>
      <c r="J120" s="37">
        <f>IF(Source!BB75&lt;&gt; 0, Source!BB75, 1)</f>
        <v>5.99</v>
      </c>
      <c r="K120" s="38">
        <f>Source!Q75</f>
        <v>3.65</v>
      </c>
      <c r="L120" s="39"/>
    </row>
    <row r="121" spans="1:26" ht="14.25" x14ac:dyDescent="0.2">
      <c r="A121" s="53"/>
      <c r="B121" s="54"/>
      <c r="C121" s="54" t="s">
        <v>396</v>
      </c>
      <c r="D121" s="35"/>
      <c r="E121" s="13"/>
      <c r="F121" s="36">
        <f>Source!AN75</f>
        <v>1.39</v>
      </c>
      <c r="G121" s="37" t="str">
        <f>Source!DF75</f>
        <v/>
      </c>
      <c r="H121" s="40">
        <f>ROUND(Source!AE75*Source!I75, 2)</f>
        <v>0.1</v>
      </c>
      <c r="I121" s="37"/>
      <c r="J121" s="37">
        <f>IF(Source!BS75&lt;&gt; 0, Source!BS75, 1)</f>
        <v>5.99</v>
      </c>
      <c r="K121" s="40">
        <f>Source!R75</f>
        <v>0.61</v>
      </c>
      <c r="L121" s="39"/>
      <c r="R121">
        <f>H121</f>
        <v>0.1</v>
      </c>
    </row>
    <row r="122" spans="1:26" ht="14.25" x14ac:dyDescent="0.2">
      <c r="A122" s="53"/>
      <c r="B122" s="54"/>
      <c r="C122" s="54" t="s">
        <v>402</v>
      </c>
      <c r="D122" s="35"/>
      <c r="E122" s="13"/>
      <c r="F122" s="36">
        <f>Source!AL75</f>
        <v>546.6</v>
      </c>
      <c r="G122" s="37" t="str">
        <f>Source!DD75</f>
        <v/>
      </c>
      <c r="H122" s="38">
        <f>ROUND(Source!AC75*Source!I75, 2)</f>
        <v>40.119999999999997</v>
      </c>
      <c r="I122" s="37"/>
      <c r="J122" s="37">
        <f>IF(Source!BC75&lt;&gt; 0, Source!BC75, 1)</f>
        <v>5.99</v>
      </c>
      <c r="K122" s="38">
        <f>Source!P75</f>
        <v>240.32</v>
      </c>
      <c r="L122" s="39"/>
    </row>
    <row r="123" spans="1:26" ht="14.25" x14ac:dyDescent="0.2">
      <c r="A123" s="53"/>
      <c r="B123" s="54"/>
      <c r="C123" s="54" t="s">
        <v>397</v>
      </c>
      <c r="D123" s="35" t="s">
        <v>398</v>
      </c>
      <c r="E123" s="13">
        <f>Source!BZ75</f>
        <v>105</v>
      </c>
      <c r="F123" s="108" t="str">
        <f>CONCATENATE(" )", Source!DL75, Source!FT75, "=", Source!FX75)</f>
        <v xml:space="preserve"> )*0,9=94,5</v>
      </c>
      <c r="G123" s="109"/>
      <c r="H123" s="38">
        <f>SUM(S117:S127)</f>
        <v>9.15</v>
      </c>
      <c r="I123" s="41"/>
      <c r="J123" s="32">
        <f>Source!AT75</f>
        <v>95</v>
      </c>
      <c r="K123" s="38">
        <f>SUM(T117:T127)</f>
        <v>55.1</v>
      </c>
      <c r="L123" s="39"/>
    </row>
    <row r="124" spans="1:26" ht="14.25" x14ac:dyDescent="0.2">
      <c r="A124" s="53"/>
      <c r="B124" s="54"/>
      <c r="C124" s="54" t="s">
        <v>399</v>
      </c>
      <c r="D124" s="35" t="s">
        <v>398</v>
      </c>
      <c r="E124" s="13">
        <f>Source!CA75</f>
        <v>55</v>
      </c>
      <c r="F124" s="108" t="str">
        <f>CONCATENATE(" )", Source!DM75, Source!FU75, "=", Source!FY75)</f>
        <v xml:space="preserve"> )*0,85=46,75</v>
      </c>
      <c r="G124" s="109"/>
      <c r="H124" s="38">
        <f>SUM(U117:U127)</f>
        <v>4.53</v>
      </c>
      <c r="I124" s="41"/>
      <c r="J124" s="32">
        <f>Source!AU75</f>
        <v>47</v>
      </c>
      <c r="K124" s="38">
        <f>SUM(V117:V127)</f>
        <v>27.26</v>
      </c>
      <c r="L124" s="39"/>
    </row>
    <row r="125" spans="1:26" ht="14.25" x14ac:dyDescent="0.2">
      <c r="A125" s="53"/>
      <c r="B125" s="54"/>
      <c r="C125" s="54" t="s">
        <v>400</v>
      </c>
      <c r="D125" s="35" t="s">
        <v>401</v>
      </c>
      <c r="E125" s="13">
        <f>Source!AQ75</f>
        <v>14.39</v>
      </c>
      <c r="F125" s="36"/>
      <c r="G125" s="37" t="str">
        <f>Source!DI75</f>
        <v/>
      </c>
      <c r="H125" s="38"/>
      <c r="I125" s="37"/>
      <c r="J125" s="37"/>
      <c r="K125" s="38"/>
      <c r="L125" s="49">
        <f>Source!U75</f>
        <v>1.0562260000000001</v>
      </c>
    </row>
    <row r="126" spans="1:26" ht="14.25" x14ac:dyDescent="0.2">
      <c r="A126" s="53" t="str">
        <f>Source!E77</f>
        <v>9,1</v>
      </c>
      <c r="B126" s="54" t="str">
        <f>Source!F77</f>
        <v>14.4.02.07</v>
      </c>
      <c r="C126" s="54" t="str">
        <f>Source!G77</f>
        <v>Краски перхлорвиниловые</v>
      </c>
      <c r="D126" s="35" t="str">
        <f>Source!H77</f>
        <v>т</v>
      </c>
      <c r="E126" s="13">
        <f>Source!I77</f>
        <v>4.3309999999999998E-3</v>
      </c>
      <c r="F126" s="36">
        <f>Source!AL77+Source!AM77+Source!AO77</f>
        <v>0</v>
      </c>
      <c r="G126" s="50" t="s">
        <v>6</v>
      </c>
      <c r="H126" s="38">
        <f>ROUND(Source!AC77*Source!I77, 2)+ROUND(Source!AD77*Source!I77, 2)+ROUND(Source!AF77*Source!I77, 2)</f>
        <v>0</v>
      </c>
      <c r="I126" s="37"/>
      <c r="J126" s="37">
        <f>IF(Source!BC77&lt;&gt; 0, Source!BC77, 1)</f>
        <v>5.99</v>
      </c>
      <c r="K126" s="38">
        <f>Source!O77</f>
        <v>0</v>
      </c>
      <c r="L126" s="39"/>
      <c r="S126">
        <f>ROUND((Source!FX77/100)*((ROUND(Source!AF77*Source!I77, 2)+ROUND(Source!AE77*Source!I77, 2))), 2)</f>
        <v>0</v>
      </c>
      <c r="T126">
        <f>Source!X77</f>
        <v>0</v>
      </c>
      <c r="U126">
        <f>ROUND((Source!FY77/100)*((ROUND(Source!AF77*Source!I77, 2)+ROUND(Source!AE77*Source!I77, 2))), 2)</f>
        <v>0</v>
      </c>
      <c r="V126">
        <f>Source!Y77</f>
        <v>0</v>
      </c>
      <c r="W126">
        <f>IF(Source!BI77&lt;=1,H126, 0)</f>
        <v>0</v>
      </c>
      <c r="X126">
        <f>IF(Source!BI77=2,H126, 0)</f>
        <v>0</v>
      </c>
      <c r="Y126">
        <f>IF(Source!BI77=3,H126, 0)</f>
        <v>0</v>
      </c>
      <c r="Z126">
        <f>IF(Source!BI77=4,H126, 0)</f>
        <v>0</v>
      </c>
    </row>
    <row r="127" spans="1:26" ht="28.5" x14ac:dyDescent="0.2">
      <c r="A127" s="55" t="str">
        <f>Source!E79</f>
        <v>9,2</v>
      </c>
      <c r="B127" s="56" t="str">
        <f>Source!F79</f>
        <v>14.4.02.07-0002</v>
      </c>
      <c r="C127" s="56" t="str">
        <f>Source!G79</f>
        <v>Краска ХВ-161 перхлорвиниловая фасадная марок А, Б</v>
      </c>
      <c r="D127" s="42" t="str">
        <f>Source!H79</f>
        <v>т</v>
      </c>
      <c r="E127" s="43">
        <f>Source!I79</f>
        <v>4.3309999999999998E-3</v>
      </c>
      <c r="F127" s="44">
        <f>Source!AL79+Source!AM79+Source!AO79</f>
        <v>15989</v>
      </c>
      <c r="G127" s="51" t="s">
        <v>6</v>
      </c>
      <c r="H127" s="46">
        <f>ROUND(Source!AC79*Source!I79, 2)+ROUND(Source!AD79*Source!I79, 2)+ROUND(Source!AF79*Source!I79, 2)</f>
        <v>69.25</v>
      </c>
      <c r="I127" s="45"/>
      <c r="J127" s="45">
        <f>IF(Source!BC79&lt;&gt; 0, Source!BC79, 1)</f>
        <v>5.99</v>
      </c>
      <c r="K127" s="46">
        <f>Source!O79</f>
        <v>414.8</v>
      </c>
      <c r="L127" s="52"/>
      <c r="S127">
        <f>ROUND((Source!FX79/100)*((ROUND(Source!AF79*Source!I79, 2)+ROUND(Source!AE79*Source!I79, 2))), 2)</f>
        <v>0</v>
      </c>
      <c r="T127">
        <f>Source!X79</f>
        <v>0</v>
      </c>
      <c r="U127">
        <f>ROUND((Source!FY79/100)*((ROUND(Source!AF79*Source!I79, 2)+ROUND(Source!AE79*Source!I79, 2))), 2)</f>
        <v>0</v>
      </c>
      <c r="V127">
        <f>Source!Y79</f>
        <v>0</v>
      </c>
      <c r="W127">
        <f>IF(Source!BI79&lt;=1,H127, 0)</f>
        <v>69.25</v>
      </c>
      <c r="X127">
        <f>IF(Source!BI79=2,H127, 0)</f>
        <v>0</v>
      </c>
      <c r="Y127">
        <f>IF(Source!BI79=3,H127, 0)</f>
        <v>0</v>
      </c>
      <c r="Z127">
        <f>IF(Source!BI79=4,H127, 0)</f>
        <v>0</v>
      </c>
    </row>
    <row r="128" spans="1:26" ht="15" x14ac:dyDescent="0.25">
      <c r="G128" s="107">
        <f>H119+H120+H122+H123+H124+SUM(H126:H127)</f>
        <v>133.24</v>
      </c>
      <c r="H128" s="107"/>
      <c r="J128" s="107">
        <f>K119+K120+K122+K123+K124+SUM(K126:K127)</f>
        <v>798.52</v>
      </c>
      <c r="K128" s="107"/>
      <c r="L128" s="48">
        <f>Source!U75</f>
        <v>1.0562260000000001</v>
      </c>
      <c r="O128" s="29">
        <f>G128</f>
        <v>133.24</v>
      </c>
      <c r="P128" s="29">
        <f>J128</f>
        <v>798.52</v>
      </c>
      <c r="Q128" s="29">
        <f>L128</f>
        <v>1.0562260000000001</v>
      </c>
      <c r="W128">
        <f>IF(Source!BI75&lt;=1,H119+H120+H122+H123+H124, 0)</f>
        <v>63.989999999999995</v>
      </c>
      <c r="X128">
        <f>IF(Source!BI75=2,H119+H120+H122+H123+H124, 0)</f>
        <v>0</v>
      </c>
      <c r="Y128">
        <f>IF(Source!BI75=3,H119+H120+H122+H123+H124, 0)</f>
        <v>0</v>
      </c>
      <c r="Z128">
        <f>IF(Source!BI75=4,H119+H120+H122+H123+H124, 0)</f>
        <v>0</v>
      </c>
    </row>
    <row r="129" spans="1:26" ht="42.75" x14ac:dyDescent="0.2">
      <c r="A129" s="55" t="str">
        <f>Source!E81</f>
        <v>10</v>
      </c>
      <c r="B129" s="56" t="str">
        <f>Source!F81</f>
        <v>т01-01-01-041</v>
      </c>
      <c r="C129" s="56" t="str">
        <f>Source!G81</f>
        <v>Погрузочные работы при автомобильных перевозках мусора строительного с погрузкой вручную</v>
      </c>
      <c r="D129" s="42" t="str">
        <f>Source!H81</f>
        <v>1 Т ГРУЗА</v>
      </c>
      <c r="E129" s="43">
        <f>Source!I81</f>
        <v>3.1</v>
      </c>
      <c r="F129" s="44">
        <f>Source!AK81</f>
        <v>42.98</v>
      </c>
      <c r="G129" s="45" t="str">
        <f>Source!DC81</f>
        <v/>
      </c>
      <c r="H129" s="46">
        <f>ROUND(Source!AB81*Source!I81, 2)</f>
        <v>133.24</v>
      </c>
      <c r="I129" s="45" t="str">
        <f>Source!BO81</f>
        <v/>
      </c>
      <c r="J129" s="45">
        <f>Source!AZ81</f>
        <v>5.99</v>
      </c>
      <c r="K129" s="46">
        <f>Source!GM81</f>
        <v>798.1</v>
      </c>
      <c r="L129" s="52"/>
      <c r="S129">
        <f>ROUND((Source!FX81/100)*((ROUND(0*Source!I81, 2)+ROUND(0*Source!I81, 2))), 2)</f>
        <v>0</v>
      </c>
      <c r="T129">
        <f>Source!X81</f>
        <v>0</v>
      </c>
      <c r="U129">
        <f>ROUND((Source!FY81/100)*((ROUND(0*Source!I81, 2)+ROUND(0*Source!I81, 2))), 2)</f>
        <v>0</v>
      </c>
      <c r="V129">
        <f>Source!Y81</f>
        <v>0</v>
      </c>
    </row>
    <row r="130" spans="1:26" ht="15" x14ac:dyDescent="0.25">
      <c r="G130" s="107">
        <f>H129</f>
        <v>133.24</v>
      </c>
      <c r="H130" s="107"/>
      <c r="J130" s="107">
        <f>K129</f>
        <v>798.1</v>
      </c>
      <c r="K130" s="107"/>
      <c r="L130" s="48">
        <f>Source!U81</f>
        <v>0</v>
      </c>
      <c r="O130" s="29">
        <f>G130</f>
        <v>133.24</v>
      </c>
      <c r="P130" s="29">
        <f>J130</f>
        <v>798.1</v>
      </c>
      <c r="Q130" s="29">
        <f>L130</f>
        <v>0</v>
      </c>
      <c r="W130">
        <f>IF(Source!BI81&lt;=1,H129, 0)</f>
        <v>133.24</v>
      </c>
      <c r="X130">
        <f>IF(Source!BI81=2,H129, 0)</f>
        <v>0</v>
      </c>
      <c r="Y130">
        <f>IF(Source!BI81=3,H129, 0)</f>
        <v>0</v>
      </c>
      <c r="Z130">
        <f>IF(Source!BI81=4,H129, 0)</f>
        <v>0</v>
      </c>
    </row>
    <row r="131" spans="1:26" ht="57" x14ac:dyDescent="0.2">
      <c r="A131" s="55" t="str">
        <f>Source!E83</f>
        <v>11</v>
      </c>
      <c r="B131" s="56" t="str">
        <f>Source!F83</f>
        <v>т03-21-01-015</v>
      </c>
      <c r="C131" s="56" t="str">
        <f>Source!G83</f>
        <v>Перевозка грузов I класса автомобилями-самосвалами грузоподъемностью 10 т работающих вне карьера на расстояние до 15 км</v>
      </c>
      <c r="D131" s="42" t="str">
        <f>Source!H83</f>
        <v>1 Т ГРУЗА</v>
      </c>
      <c r="E131" s="43">
        <f>Source!I83</f>
        <v>3.1</v>
      </c>
      <c r="F131" s="44">
        <f>Source!AK83</f>
        <v>13.38</v>
      </c>
      <c r="G131" s="45" t="str">
        <f>Source!DC83</f>
        <v/>
      </c>
      <c r="H131" s="46">
        <f>ROUND(Source!AB83*Source!I83, 2)</f>
        <v>41.48</v>
      </c>
      <c r="I131" s="45" t="str">
        <f>Source!BO83</f>
        <v/>
      </c>
      <c r="J131" s="45">
        <f>Source!AZ83</f>
        <v>5.99</v>
      </c>
      <c r="K131" s="46">
        <f>Source!GM83</f>
        <v>248.45</v>
      </c>
      <c r="L131" s="52"/>
      <c r="S131">
        <f>ROUND((Source!FX83/100)*((ROUND(0*Source!I83, 2)+ROUND(0*Source!I83, 2))), 2)</f>
        <v>0</v>
      </c>
      <c r="T131">
        <f>Source!X83</f>
        <v>0</v>
      </c>
      <c r="U131">
        <f>ROUND((Source!FY83/100)*((ROUND(0*Source!I83, 2)+ROUND(0*Source!I83, 2))), 2)</f>
        <v>0</v>
      </c>
      <c r="V131">
        <f>Source!Y83</f>
        <v>0</v>
      </c>
    </row>
    <row r="132" spans="1:26" ht="15" x14ac:dyDescent="0.25">
      <c r="G132" s="107">
        <f>H131</f>
        <v>41.48</v>
      </c>
      <c r="H132" s="107"/>
      <c r="J132" s="107">
        <f>K131</f>
        <v>248.45</v>
      </c>
      <c r="K132" s="107"/>
      <c r="L132" s="48">
        <f>Source!U83</f>
        <v>0</v>
      </c>
      <c r="O132" s="29">
        <f>G132</f>
        <v>41.48</v>
      </c>
      <c r="P132" s="29">
        <f>J132</f>
        <v>248.45</v>
      </c>
      <c r="Q132" s="29">
        <f>L132</f>
        <v>0</v>
      </c>
      <c r="W132">
        <f>IF(Source!BI83&lt;=1,H131, 0)</f>
        <v>41.48</v>
      </c>
      <c r="X132">
        <f>IF(Source!BI83=2,H131, 0)</f>
        <v>0</v>
      </c>
      <c r="Y132">
        <f>IF(Source!BI83=3,H131, 0)</f>
        <v>0</v>
      </c>
      <c r="Z132">
        <f>IF(Source!BI83=4,H131, 0)</f>
        <v>0</v>
      </c>
    </row>
    <row r="134" spans="1:26" ht="15" x14ac:dyDescent="0.25">
      <c r="A134" s="105" t="str">
        <f>CONCATENATE("Итого по локальной смете: ",IF(Source!G85&lt;&gt;"Новая локальная смета", Source!G85, ""))</f>
        <v xml:space="preserve">Итого по локальной смете: </v>
      </c>
      <c r="B134" s="105"/>
      <c r="C134" s="105"/>
      <c r="D134" s="105"/>
      <c r="E134" s="105"/>
      <c r="F134" s="105"/>
      <c r="G134" s="106">
        <f>SUM(O22:O133)</f>
        <v>216052.90999999997</v>
      </c>
      <c r="H134" s="106"/>
      <c r="I134" s="31"/>
      <c r="J134" s="106">
        <f>SUM(P22:P133)</f>
        <v>1294232.01</v>
      </c>
      <c r="K134" s="106"/>
      <c r="L134" s="48">
        <f>SUM(Q22:Q133)</f>
        <v>399.7512319999999</v>
      </c>
    </row>
    <row r="135" spans="1:26" ht="15" x14ac:dyDescent="0.25">
      <c r="C135" s="105" t="str">
        <f>Source!H118</f>
        <v>Итого</v>
      </c>
      <c r="D135" s="105"/>
      <c r="E135" s="105"/>
      <c r="F135" s="105"/>
      <c r="G135" s="105"/>
      <c r="H135" s="105"/>
      <c r="I135" s="105"/>
      <c r="J135" s="106">
        <f>IF(Source!P118=0, "", Source!P118)</f>
        <v>1293185.46</v>
      </c>
      <c r="K135" s="106"/>
    </row>
    <row r="136" spans="1:26" ht="15" x14ac:dyDescent="0.25">
      <c r="C136" s="105" t="str">
        <f>Source!H119</f>
        <v>НДС 18%</v>
      </c>
      <c r="D136" s="105"/>
      <c r="E136" s="105"/>
      <c r="F136" s="105"/>
      <c r="G136" s="105"/>
      <c r="H136" s="105"/>
      <c r="I136" s="105"/>
      <c r="J136" s="106">
        <f>IF(Source!P119=0, "", Source!P119)</f>
        <v>232773.38</v>
      </c>
      <c r="K136" s="106"/>
    </row>
    <row r="137" spans="1:26" ht="15" x14ac:dyDescent="0.25">
      <c r="C137" s="105" t="str">
        <f>Source!H120</f>
        <v>Всего</v>
      </c>
      <c r="D137" s="105"/>
      <c r="E137" s="105"/>
      <c r="F137" s="105"/>
      <c r="G137" s="105"/>
      <c r="H137" s="105"/>
      <c r="I137" s="105"/>
      <c r="J137" s="106">
        <f>IF(Source!P120=0, "", Source!P120)</f>
        <v>1525958.84</v>
      </c>
      <c r="K137" s="106"/>
    </row>
  </sheetData>
  <mergeCells count="76">
    <mergeCell ref="F28:G28"/>
    <mergeCell ref="F27:G27"/>
    <mergeCell ref="F38:G38"/>
    <mergeCell ref="F37:G37"/>
    <mergeCell ref="G134:H134"/>
    <mergeCell ref="J94:K94"/>
    <mergeCell ref="G94:H94"/>
    <mergeCell ref="J83:K83"/>
    <mergeCell ref="G83:H83"/>
    <mergeCell ref="F75:G75"/>
    <mergeCell ref="C136:I136"/>
    <mergeCell ref="J136:K136"/>
    <mergeCell ref="C137:I137"/>
    <mergeCell ref="J137:K137"/>
    <mergeCell ref="J30:K30"/>
    <mergeCell ref="G30:H30"/>
    <mergeCell ref="F74:G74"/>
    <mergeCell ref="J67:K67"/>
    <mergeCell ref="G67:H67"/>
    <mergeCell ref="J53:K53"/>
    <mergeCell ref="G53:H53"/>
    <mergeCell ref="F50:G50"/>
    <mergeCell ref="J128:K128"/>
    <mergeCell ref="F49:G49"/>
    <mergeCell ref="J42:K42"/>
    <mergeCell ref="G42:H42"/>
    <mergeCell ref="C135:I135"/>
    <mergeCell ref="J135:K135"/>
    <mergeCell ref="J116:K116"/>
    <mergeCell ref="G116:H116"/>
    <mergeCell ref="J106:K106"/>
    <mergeCell ref="G106:H106"/>
    <mergeCell ref="G128:H128"/>
    <mergeCell ref="F124:G124"/>
    <mergeCell ref="F123:G123"/>
    <mergeCell ref="J134:K134"/>
    <mergeCell ref="A134:F134"/>
    <mergeCell ref="J132:K132"/>
    <mergeCell ref="G132:H132"/>
    <mergeCell ref="J130:K130"/>
    <mergeCell ref="G130:H130"/>
    <mergeCell ref="C17:F17"/>
    <mergeCell ref="G17:H17"/>
    <mergeCell ref="I17:J17"/>
    <mergeCell ref="K17:L17"/>
    <mergeCell ref="A19:L19"/>
    <mergeCell ref="C15:F15"/>
    <mergeCell ref="G15:H15"/>
    <mergeCell ref="I15:J15"/>
    <mergeCell ref="K15:L15"/>
    <mergeCell ref="C16:F16"/>
    <mergeCell ref="G16:H16"/>
    <mergeCell ref="I16:J16"/>
    <mergeCell ref="K16:L16"/>
    <mergeCell ref="C13:F13"/>
    <mergeCell ref="G13:H13"/>
    <mergeCell ref="I13:J13"/>
    <mergeCell ref="K13:L13"/>
    <mergeCell ref="C14:F14"/>
    <mergeCell ref="G14:H14"/>
    <mergeCell ref="I14:J14"/>
    <mergeCell ref="K14:L14"/>
    <mergeCell ref="C11:F11"/>
    <mergeCell ref="G11:H11"/>
    <mergeCell ref="I11:J11"/>
    <mergeCell ref="K11:L11"/>
    <mergeCell ref="C12:F12"/>
    <mergeCell ref="G12:H12"/>
    <mergeCell ref="I12:J12"/>
    <mergeCell ref="K12:L12"/>
    <mergeCell ref="B2:K2"/>
    <mergeCell ref="B4:K4"/>
    <mergeCell ref="B6:K6"/>
    <mergeCell ref="B7:K7"/>
    <mergeCell ref="G10:H10"/>
    <mergeCell ref="I10:J10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4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1"/>
      <c r="B2" s="31"/>
      <c r="C2" s="31"/>
      <c r="D2" s="31"/>
      <c r="E2" s="115" t="s">
        <v>403</v>
      </c>
      <c r="F2" s="115"/>
      <c r="G2" s="115"/>
      <c r="H2" s="115"/>
    </row>
    <row r="3" spans="1:31" ht="14.25" x14ac:dyDescent="0.2">
      <c r="A3" s="14"/>
      <c r="B3" s="14"/>
      <c r="C3" s="14"/>
      <c r="D3" s="14"/>
      <c r="E3" s="115" t="s">
        <v>404</v>
      </c>
      <c r="F3" s="115"/>
      <c r="G3" s="115"/>
      <c r="H3" s="115"/>
    </row>
    <row r="4" spans="1:31" ht="14.25" x14ac:dyDescent="0.2">
      <c r="A4" s="14"/>
      <c r="B4" s="14"/>
      <c r="C4" s="14"/>
      <c r="D4" s="14"/>
      <c r="E4" s="115" t="s">
        <v>405</v>
      </c>
      <c r="F4" s="115"/>
      <c r="G4" s="115"/>
      <c r="H4" s="115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110" t="s">
        <v>406</v>
      </c>
      <c r="H6" s="111"/>
    </row>
    <row r="7" spans="1:31" ht="14.25" x14ac:dyDescent="0.2">
      <c r="A7" s="14"/>
      <c r="B7" s="14"/>
      <c r="C7" s="14"/>
      <c r="D7" s="14"/>
      <c r="E7" s="14"/>
      <c r="F7" s="13" t="s">
        <v>407</v>
      </c>
      <c r="G7" s="116" t="s">
        <v>408</v>
      </c>
      <c r="H7" s="111"/>
    </row>
    <row r="8" spans="1:31" ht="14.25" x14ac:dyDescent="0.2">
      <c r="A8" s="14"/>
      <c r="B8" s="14"/>
      <c r="C8" s="14"/>
      <c r="D8" s="14"/>
      <c r="E8" s="14"/>
      <c r="F8" s="14"/>
      <c r="G8" s="110" t="str">
        <f>IF(Source!AT15 &lt;&gt; "", Source!AT15, "")</f>
        <v/>
      </c>
      <c r="H8" s="111"/>
    </row>
    <row r="9" spans="1:31" ht="14.25" x14ac:dyDescent="0.2">
      <c r="A9" s="14" t="s">
        <v>409</v>
      </c>
      <c r="B9" s="14"/>
      <c r="C9" s="114" t="str">
        <f>IF(Source!BA15 &lt;&gt; "", Source!BA15, IF(Source!AU15 &lt;&gt; "", Source!AU15, ""))</f>
        <v/>
      </c>
      <c r="D9" s="114"/>
      <c r="E9" s="114"/>
      <c r="F9" s="13" t="s">
        <v>410</v>
      </c>
      <c r="G9" s="112"/>
      <c r="H9" s="113"/>
    </row>
    <row r="10" spans="1:31" ht="14.25" x14ac:dyDescent="0.2">
      <c r="A10" s="14"/>
      <c r="B10" s="14"/>
      <c r="C10" s="117" t="s">
        <v>411</v>
      </c>
      <c r="D10" s="117"/>
      <c r="E10" s="117"/>
      <c r="F10" s="14"/>
      <c r="G10" s="110" t="str">
        <f>IF(Source!AK15 &lt;&gt; "", Source!AK15, "")</f>
        <v/>
      </c>
      <c r="H10" s="111"/>
    </row>
    <row r="11" spans="1:31" ht="14.25" x14ac:dyDescent="0.2">
      <c r="A11" s="14" t="s">
        <v>412</v>
      </c>
      <c r="B11" s="14"/>
      <c r="C11" s="114" t="str">
        <f>IF(Source!AX12&lt;&gt; "", Source!AX12, IF(Source!AJ12 &lt;&gt; "", Source!AJ12, ""))</f>
        <v/>
      </c>
      <c r="D11" s="114"/>
      <c r="E11" s="114"/>
      <c r="F11" s="13" t="s">
        <v>410</v>
      </c>
      <c r="G11" s="112"/>
      <c r="H11" s="113"/>
    </row>
    <row r="12" spans="1:31" ht="14.25" x14ac:dyDescent="0.2">
      <c r="A12" s="14"/>
      <c r="B12" s="14"/>
      <c r="C12" s="117" t="s">
        <v>411</v>
      </c>
      <c r="D12" s="117"/>
      <c r="E12" s="117"/>
      <c r="F12" s="14"/>
      <c r="G12" s="110" t="str">
        <f>IF(Source!AO15 &lt;&gt; "", Source!AO15, "")</f>
        <v/>
      </c>
      <c r="H12" s="111"/>
    </row>
    <row r="13" spans="1:31" ht="14.25" x14ac:dyDescent="0.2">
      <c r="A13" s="14" t="s">
        <v>413</v>
      </c>
      <c r="B13" s="14"/>
      <c r="C13" s="114" t="str">
        <f>IF(Source!AY12&lt;&gt; "", Source!AY12, IF(Source!AN12 &lt;&gt; "", Source!AN12, ""))</f>
        <v/>
      </c>
      <c r="D13" s="114"/>
      <c r="E13" s="114"/>
      <c r="F13" s="13" t="s">
        <v>410</v>
      </c>
      <c r="G13" s="112"/>
      <c r="H13" s="113"/>
    </row>
    <row r="14" spans="1:31" ht="14.25" x14ac:dyDescent="0.2">
      <c r="A14" s="14"/>
      <c r="B14" s="14"/>
      <c r="C14" s="117" t="s">
        <v>411</v>
      </c>
      <c r="D14" s="117"/>
      <c r="E14" s="117"/>
      <c r="F14" s="14"/>
      <c r="G14" s="110" t="str">
        <f>IF(Source!CO15 &lt;&gt; "", Source!CO15, "")</f>
        <v/>
      </c>
      <c r="H14" s="111"/>
    </row>
    <row r="15" spans="1:31" ht="28.5" x14ac:dyDescent="0.2">
      <c r="A15" s="14" t="s">
        <v>414</v>
      </c>
      <c r="B15" s="14"/>
      <c r="C15" s="114" t="s">
        <v>5</v>
      </c>
      <c r="D15" s="114"/>
      <c r="E15" s="114"/>
      <c r="F15" s="14"/>
      <c r="G15" s="112"/>
      <c r="H15" s="113"/>
      <c r="AE15" s="34" t="s">
        <v>5</v>
      </c>
    </row>
    <row r="16" spans="1:31" ht="14.25" x14ac:dyDescent="0.2">
      <c r="A16" s="14"/>
      <c r="B16" s="14"/>
      <c r="C16" s="117" t="s">
        <v>415</v>
      </c>
      <c r="D16" s="117"/>
      <c r="E16" s="117"/>
      <c r="F16" s="14"/>
      <c r="G16" s="110" t="str">
        <f>IF(Source!CP15 &lt;&gt; "", Source!CP15, "")</f>
        <v/>
      </c>
      <c r="H16" s="111"/>
    </row>
    <row r="17" spans="1:31" ht="28.5" x14ac:dyDescent="0.2">
      <c r="A17" s="14" t="s">
        <v>416</v>
      </c>
      <c r="B17" s="14"/>
      <c r="C17" s="114" t="str">
        <f>IF(Source!G12&lt;&gt;"Новый объект", Source!G12, "")</f>
        <v>Капитальный ремонт окооных проемов в актовом зале учебного корпуса общежития ДИТИ НИЯУ МИФИ_</v>
      </c>
      <c r="D17" s="114"/>
      <c r="E17" s="114"/>
      <c r="F17" s="14"/>
      <c r="G17" s="118"/>
      <c r="H17" s="119"/>
      <c r="AE17" s="34" t="str">
        <f>IF(Source!G12&lt;&gt;"Новый объект", Source!G12, "")</f>
        <v>Капитальный ремонт окооных проемов в актовом зале учебного корпуса общежития ДИТИ НИЯУ МИФИ_</v>
      </c>
    </row>
    <row r="18" spans="1:31" ht="14.25" x14ac:dyDescent="0.2">
      <c r="A18" s="14"/>
      <c r="B18" s="14"/>
      <c r="C18" s="117" t="s">
        <v>417</v>
      </c>
      <c r="D18" s="117"/>
      <c r="E18" s="117"/>
      <c r="F18" s="14"/>
      <c r="G18" s="14"/>
      <c r="H18" s="14"/>
    </row>
    <row r="19" spans="1:31" ht="14.25" x14ac:dyDescent="0.2">
      <c r="A19" s="14"/>
      <c r="B19" s="14"/>
      <c r="C19" s="14"/>
      <c r="D19" s="103" t="s">
        <v>418</v>
      </c>
      <c r="E19" s="103"/>
      <c r="F19" s="121"/>
      <c r="G19" s="110" t="str">
        <f>IF(Source!CQ15 &lt;&gt; "", Source!CQ15, "")</f>
        <v/>
      </c>
      <c r="H19" s="111"/>
    </row>
    <row r="20" spans="1:31" ht="14.25" x14ac:dyDescent="0.2">
      <c r="A20" s="14"/>
      <c r="B20" s="14"/>
      <c r="C20" s="14"/>
      <c r="D20" s="103" t="s">
        <v>419</v>
      </c>
      <c r="E20" s="121"/>
      <c r="F20" s="59" t="s">
        <v>420</v>
      </c>
      <c r="G20" s="110" t="str">
        <f>IF(Source!CR15 &lt;&gt; "", Source!CR15, "")</f>
        <v/>
      </c>
      <c r="H20" s="111"/>
    </row>
    <row r="21" spans="1:31" ht="14.25" x14ac:dyDescent="0.2">
      <c r="A21" s="14"/>
      <c r="B21" s="14"/>
      <c r="C21" s="14"/>
      <c r="D21" s="14"/>
      <c r="E21" s="14"/>
      <c r="F21" s="24" t="s">
        <v>421</v>
      </c>
      <c r="G21" s="122" t="str">
        <f>IF(Source!CS15 &lt;&gt; 0, Source!CS15, "")</f>
        <v/>
      </c>
      <c r="H21" s="123"/>
    </row>
    <row r="22" spans="1:31" ht="14.25" x14ac:dyDescent="0.2">
      <c r="A22" s="14"/>
      <c r="B22" s="14"/>
      <c r="C22" s="14"/>
      <c r="D22" s="14"/>
      <c r="E22" s="14"/>
      <c r="F22" s="13" t="s">
        <v>422</v>
      </c>
      <c r="G22" s="124" t="str">
        <f>IF(Source!CT15 &lt;&gt; "", Source!CT15, "")</f>
        <v/>
      </c>
      <c r="H22" s="125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26" t="s">
        <v>423</v>
      </c>
      <c r="E24" s="128" t="s">
        <v>424</v>
      </c>
      <c r="F24" s="128" t="s">
        <v>425</v>
      </c>
      <c r="G24" s="130"/>
      <c r="H24" s="14"/>
    </row>
    <row r="25" spans="1:31" ht="14.25" x14ac:dyDescent="0.2">
      <c r="A25" s="14"/>
      <c r="B25" s="14"/>
      <c r="C25" s="14"/>
      <c r="D25" s="127"/>
      <c r="E25" s="129"/>
      <c r="F25" s="60" t="s">
        <v>426</v>
      </c>
      <c r="G25" s="61" t="s">
        <v>427</v>
      </c>
      <c r="H25" s="14"/>
    </row>
    <row r="26" spans="1:31" ht="14.25" x14ac:dyDescent="0.2">
      <c r="A26" s="14"/>
      <c r="B26" s="14"/>
      <c r="C26" s="14"/>
      <c r="D26" s="62" t="str">
        <f>IF(Source!CN15 &lt;&gt; "", Source!CN15, "")</f>
        <v/>
      </c>
      <c r="E26" s="63">
        <v>43123.624398148146</v>
      </c>
      <c r="F26" s="62"/>
      <c r="G26" s="64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20" t="s">
        <v>428</v>
      </c>
      <c r="B28" s="120"/>
      <c r="C28" s="120"/>
      <c r="D28" s="120"/>
      <c r="E28" s="120"/>
      <c r="F28" s="120"/>
      <c r="G28" s="120"/>
      <c r="H28" s="120"/>
    </row>
    <row r="29" spans="1:31" ht="18" x14ac:dyDescent="0.25">
      <c r="A29" s="120" t="s">
        <v>429</v>
      </c>
      <c r="B29" s="120"/>
      <c r="C29" s="120"/>
      <c r="D29" s="120"/>
      <c r="E29" s="120"/>
      <c r="F29" s="120"/>
      <c r="G29" s="120"/>
      <c r="H29" s="120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430</v>
      </c>
      <c r="B31" s="14"/>
      <c r="C31" s="14"/>
      <c r="D31" s="14"/>
      <c r="E31" s="14"/>
      <c r="F31" s="131">
        <f>(Source!P157/1000)</f>
        <v>1525.95884</v>
      </c>
      <c r="G31" s="131"/>
      <c r="H31" s="14" t="s">
        <v>431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32" t="s">
        <v>432</v>
      </c>
      <c r="B33" s="132"/>
      <c r="C33" s="132" t="s">
        <v>433</v>
      </c>
      <c r="D33" s="132" t="s">
        <v>434</v>
      </c>
      <c r="E33" s="132" t="s">
        <v>435</v>
      </c>
      <c r="F33" s="132" t="s">
        <v>436</v>
      </c>
      <c r="G33" s="132"/>
      <c r="H33" s="132"/>
    </row>
    <row r="34" spans="1:28" ht="57" x14ac:dyDescent="0.2">
      <c r="A34" s="23" t="s">
        <v>437</v>
      </c>
      <c r="B34" s="23" t="s">
        <v>438</v>
      </c>
      <c r="C34" s="132"/>
      <c r="D34" s="132"/>
      <c r="E34" s="132"/>
      <c r="F34" s="23" t="s">
        <v>439</v>
      </c>
      <c r="G34" s="23" t="s">
        <v>440</v>
      </c>
      <c r="H34" s="23" t="s">
        <v>441</v>
      </c>
    </row>
    <row r="35" spans="1:28" ht="14.25" x14ac:dyDescent="0.2">
      <c r="A35" s="23">
        <v>1</v>
      </c>
      <c r="B35" s="23">
        <v>2</v>
      </c>
      <c r="C35" s="23">
        <v>3</v>
      </c>
      <c r="D35" s="23">
        <v>4</v>
      </c>
      <c r="E35" s="23">
        <v>5</v>
      </c>
      <c r="F35" s="23">
        <v>6</v>
      </c>
      <c r="G35" s="23">
        <v>7</v>
      </c>
      <c r="H35" s="23">
        <v>8</v>
      </c>
    </row>
    <row r="37" spans="1:28" ht="16.5" x14ac:dyDescent="0.25">
      <c r="A37" s="134" t="str">
        <f>CONCATENATE("Локальная смета: ",IF(Source!G20&lt;&gt;"Новая локальная смета", Source!G20, ""))</f>
        <v xml:space="preserve">Локальная смета: </v>
      </c>
      <c r="B37" s="134"/>
      <c r="C37" s="134"/>
      <c r="D37" s="134"/>
      <c r="E37" s="134"/>
      <c r="F37" s="134"/>
      <c r="G37" s="134"/>
      <c r="H37" s="134"/>
    </row>
    <row r="38" spans="1:28" ht="42.75" x14ac:dyDescent="0.2">
      <c r="A38" s="54">
        <v>1</v>
      </c>
      <c r="B38" s="54" t="str">
        <f>Source!E25</f>
        <v>1</v>
      </c>
      <c r="C38" s="54" t="str">
        <f>Source!G25</f>
        <v>Разборка деревянных заполнений проемов оконных с подоконными досками</v>
      </c>
      <c r="D38" s="54" t="str">
        <f>Source!F25</f>
        <v>46-04-012-01</v>
      </c>
      <c r="E38" s="37" t="str">
        <f>Source!H25</f>
        <v>100 м2</v>
      </c>
      <c r="F38" s="14">
        <f>Source!I25</f>
        <v>0.93640000000000001</v>
      </c>
      <c r="G38" s="26">
        <f>Source!AB25</f>
        <v>1767.24</v>
      </c>
      <c r="H38" s="27">
        <f>Source!O25</f>
        <v>9912.52</v>
      </c>
      <c r="T38">
        <f>Source!O25+Source!X25+Source!Y25</f>
        <v>24447.510000000002</v>
      </c>
      <c r="U38">
        <f>Source!P25</f>
        <v>0</v>
      </c>
      <c r="V38">
        <f>Source!S25</f>
        <v>8555.41</v>
      </c>
      <c r="W38">
        <f>Source!Q25</f>
        <v>1357.11</v>
      </c>
      <c r="X38">
        <f>Source!R25</f>
        <v>586.09</v>
      </c>
      <c r="Y38">
        <f>Source!U25</f>
        <v>176.548856</v>
      </c>
      <c r="Z38">
        <f>Source!V25</f>
        <v>7.2477360000000006</v>
      </c>
      <c r="AA38">
        <f>Source!X25</f>
        <v>9050.09</v>
      </c>
      <c r="AB38">
        <f>Source!Y25</f>
        <v>5484.9</v>
      </c>
    </row>
    <row r="39" spans="1:28" ht="14.25" x14ac:dyDescent="0.2">
      <c r="C39" s="28" t="str">
        <f>"Объем: "&amp;Source!I25&amp;"=93,64/"&amp;"100"</f>
        <v>Объем: 0,9364=93,64/100</v>
      </c>
      <c r="F39" s="14"/>
      <c r="G39" s="14"/>
      <c r="H39" s="14"/>
    </row>
    <row r="40" spans="1:28" x14ac:dyDescent="0.2">
      <c r="C40" s="28" t="s">
        <v>442</v>
      </c>
      <c r="D40" s="28">
        <f>Source!BA25</f>
        <v>5.99</v>
      </c>
    </row>
    <row r="41" spans="1:28" x14ac:dyDescent="0.2">
      <c r="C41" s="28" t="s">
        <v>443</v>
      </c>
      <c r="D41" s="28">
        <f>Source!BB25</f>
        <v>5.99</v>
      </c>
    </row>
    <row r="42" spans="1:28" x14ac:dyDescent="0.2">
      <c r="C42" s="28" t="s">
        <v>444</v>
      </c>
      <c r="D42" s="28">
        <f>Source!BC25</f>
        <v>5.99</v>
      </c>
    </row>
    <row r="43" spans="1:28" x14ac:dyDescent="0.2">
      <c r="C43" s="28" t="s">
        <v>445</v>
      </c>
      <c r="D43" s="28">
        <f>Source!BS25</f>
        <v>5.99</v>
      </c>
    </row>
    <row r="44" spans="1:28" x14ac:dyDescent="0.2">
      <c r="C44" s="11" t="s">
        <v>446</v>
      </c>
      <c r="D44" s="41"/>
      <c r="E44" s="41"/>
      <c r="F44" s="41">
        <f>Source!BZ25</f>
        <v>110</v>
      </c>
      <c r="G44" s="65">
        <f>(Source!AF25+Source!AE25)*Source!FX25/100</f>
        <v>1613.4821999999999</v>
      </c>
      <c r="H44" s="66">
        <f>Source!X25</f>
        <v>9050.09</v>
      </c>
    </row>
    <row r="45" spans="1:28" x14ac:dyDescent="0.2">
      <c r="C45" s="11" t="s">
        <v>447</v>
      </c>
      <c r="D45" s="41"/>
      <c r="E45" s="41"/>
      <c r="F45" s="41"/>
      <c r="G45" s="41" t="str">
        <f>CONCATENATE(Source!DL25,Source!FT25, "=", Source!FX25, "%")</f>
        <v>*0,9=99%</v>
      </c>
      <c r="H45" s="41" t="str">
        <f>CONCATENATE(Source!AT25)</f>
        <v>99</v>
      </c>
    </row>
    <row r="46" spans="1:28" x14ac:dyDescent="0.2">
      <c r="C46" s="11" t="s">
        <v>448</v>
      </c>
      <c r="D46" s="41"/>
      <c r="E46" s="41"/>
      <c r="F46" s="41">
        <f>Source!CA25</f>
        <v>70</v>
      </c>
      <c r="G46" s="65">
        <f>(Source!AF25+Source!AE25)*Source!FY25/100</f>
        <v>969.71910000000003</v>
      </c>
      <c r="H46" s="66">
        <f>Source!Y25</f>
        <v>5484.9</v>
      </c>
    </row>
    <row r="47" spans="1:28" x14ac:dyDescent="0.2">
      <c r="C47" s="11" t="s">
        <v>449</v>
      </c>
      <c r="D47" s="41"/>
      <c r="E47" s="41"/>
      <c r="F47" s="41"/>
      <c r="G47" s="41" t="str">
        <f>CONCATENATE(Source!DM25,Source!FU25, "=", Source!FY25, "%")</f>
        <v>*0,85=59,5%</v>
      </c>
      <c r="H47" s="41" t="str">
        <f>CONCATENATE(Source!AU25)</f>
        <v>60</v>
      </c>
    </row>
    <row r="48" spans="1:28" x14ac:dyDescent="0.2">
      <c r="C48" s="11" t="s">
        <v>450</v>
      </c>
      <c r="D48" s="41"/>
      <c r="E48" s="41"/>
      <c r="F48" s="41"/>
      <c r="G48" s="65">
        <f>((Source!AF25+Source!AE25)*Source!FX25/100)+((Source!AF25+Source!AE25)*Source!FY25/100)+Source!AB25</f>
        <v>4350.4412999999995</v>
      </c>
      <c r="H48" s="66">
        <f>Source!O25+Source!X25+Source!Y25</f>
        <v>24447.510000000002</v>
      </c>
    </row>
    <row r="49" spans="1:28" ht="99.75" x14ac:dyDescent="0.2">
      <c r="A49" s="54">
        <v>2</v>
      </c>
      <c r="B49" s="54" t="str">
        <f>Source!E27</f>
        <v>2</v>
      </c>
      <c r="C49" s="54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49" s="54" t="str">
        <f>Source!F27</f>
        <v>10-01-034-08</v>
      </c>
      <c r="E49" s="37" t="str">
        <f>Source!H27</f>
        <v>100 м2</v>
      </c>
      <c r="F49" s="14">
        <f>Source!I27</f>
        <v>0.93640000000000001</v>
      </c>
      <c r="G49" s="26">
        <f>Source!AB27</f>
        <v>10107.89</v>
      </c>
      <c r="H49" s="27">
        <f>Source!O27</f>
        <v>56695.519999999997</v>
      </c>
      <c r="T49">
        <f>Source!O27+Source!X27+Source!Y27</f>
        <v>68846.76999999999</v>
      </c>
      <c r="U49">
        <f>Source!P27</f>
        <v>47951.76</v>
      </c>
      <c r="V49">
        <f>Source!S27</f>
        <v>7312.28</v>
      </c>
      <c r="W49">
        <f>Source!Q27</f>
        <v>1431.48</v>
      </c>
      <c r="X49">
        <f>Source!R27</f>
        <v>282.25</v>
      </c>
      <c r="Y49">
        <f>Source!U27</f>
        <v>139.67342400000001</v>
      </c>
      <c r="Z49">
        <f>Source!V27</f>
        <v>3.9609720000000004</v>
      </c>
      <c r="AA49">
        <f>Source!X27</f>
        <v>8050.2</v>
      </c>
      <c r="AB49">
        <f>Source!Y27</f>
        <v>4101.05</v>
      </c>
    </row>
    <row r="50" spans="1:28" ht="14.25" x14ac:dyDescent="0.2">
      <c r="C50" s="28" t="str">
        <f>"Объем: "&amp;Source!I27&amp;"=93,64/"&amp;"100"</f>
        <v>Объем: 0,9364=93,64/100</v>
      </c>
      <c r="F50" s="14"/>
      <c r="G50" s="14"/>
      <c r="H50" s="14"/>
    </row>
    <row r="51" spans="1:28" x14ac:dyDescent="0.2">
      <c r="C51" s="28" t="s">
        <v>442</v>
      </c>
      <c r="D51" s="28">
        <f>Source!BA27</f>
        <v>5.99</v>
      </c>
    </row>
    <row r="52" spans="1:28" x14ac:dyDescent="0.2">
      <c r="C52" s="28" t="s">
        <v>443</v>
      </c>
      <c r="D52" s="28">
        <f>Source!BB27</f>
        <v>5.99</v>
      </c>
    </row>
    <row r="53" spans="1:28" x14ac:dyDescent="0.2">
      <c r="C53" s="28" t="s">
        <v>444</v>
      </c>
      <c r="D53" s="28">
        <f>Source!BC27</f>
        <v>5.99</v>
      </c>
    </row>
    <row r="54" spans="1:28" x14ac:dyDescent="0.2">
      <c r="C54" s="28" t="s">
        <v>445</v>
      </c>
      <c r="D54" s="28">
        <f>Source!BS27</f>
        <v>5.99</v>
      </c>
    </row>
    <row r="55" spans="1:28" x14ac:dyDescent="0.2">
      <c r="C55" s="11" t="s">
        <v>446</v>
      </c>
      <c r="D55" s="41"/>
      <c r="E55" s="41"/>
      <c r="F55" s="41">
        <f>Source!BZ27</f>
        <v>118</v>
      </c>
      <c r="G55" s="65">
        <f>(Source!AF27+Source!AE27)*Source!FX27/100</f>
        <v>1437.9267600000001</v>
      </c>
      <c r="H55" s="66">
        <f>Source!X27</f>
        <v>8050.2</v>
      </c>
    </row>
    <row r="56" spans="1:28" x14ac:dyDescent="0.2">
      <c r="C56" s="11" t="s">
        <v>447</v>
      </c>
      <c r="D56" s="41"/>
      <c r="E56" s="41"/>
      <c r="F56" s="41"/>
      <c r="G56" s="41" t="str">
        <f>CONCATENATE(Source!DL27,Source!FT27, "=", Source!FX27, "%")</f>
        <v>*0,9=106,2%</v>
      </c>
      <c r="H56" s="41" t="str">
        <f>CONCATENATE(Source!AT27)</f>
        <v>106</v>
      </c>
    </row>
    <row r="57" spans="1:28" x14ac:dyDescent="0.2">
      <c r="C57" s="11" t="s">
        <v>448</v>
      </c>
      <c r="D57" s="41"/>
      <c r="E57" s="41"/>
      <c r="F57" s="41">
        <f>Source!CA27</f>
        <v>63</v>
      </c>
      <c r="G57" s="65">
        <f>(Source!AF27+Source!AE27)*Source!FY27/100</f>
        <v>725.05628999999999</v>
      </c>
      <c r="H57" s="66">
        <f>Source!Y27</f>
        <v>4101.05</v>
      </c>
    </row>
    <row r="58" spans="1:28" x14ac:dyDescent="0.2">
      <c r="C58" s="11" t="s">
        <v>449</v>
      </c>
      <c r="D58" s="41"/>
      <c r="E58" s="41"/>
      <c r="F58" s="41"/>
      <c r="G58" s="41" t="str">
        <f>CONCATENATE(Source!DM27,Source!FU27, "=", Source!FY27, "%")</f>
        <v>*0,85=53,55%</v>
      </c>
      <c r="H58" s="41" t="str">
        <f>CONCATENATE(Source!AU27)</f>
        <v>54</v>
      </c>
    </row>
    <row r="59" spans="1:28" x14ac:dyDescent="0.2">
      <c r="C59" s="11" t="s">
        <v>450</v>
      </c>
      <c r="D59" s="41"/>
      <c r="E59" s="41"/>
      <c r="F59" s="41"/>
      <c r="G59" s="65">
        <f>((Source!AF27+Source!AE27)*Source!FX27/100)+((Source!AF27+Source!AE27)*Source!FY27/100)+Source!AB27</f>
        <v>12270.873049999998</v>
      </c>
      <c r="H59" s="66">
        <f>Source!O27+Source!X27+Source!Y27</f>
        <v>68846.76999999999</v>
      </c>
    </row>
    <row r="60" spans="1:28" ht="14.25" x14ac:dyDescent="0.2">
      <c r="A60" s="54">
        <v>3</v>
      </c>
      <c r="B60" s="54" t="str">
        <f>Source!E29</f>
        <v>2,1</v>
      </c>
      <c r="C60" s="54" t="str">
        <f>Source!G29</f>
        <v>Блоки оконные пластиковые</v>
      </c>
      <c r="D60" s="54" t="str">
        <f>Source!F29</f>
        <v>11.3.02.03</v>
      </c>
      <c r="E60" s="37" t="str">
        <f>Source!H29</f>
        <v>м2</v>
      </c>
      <c r="F60" s="14">
        <f>Source!I29</f>
        <v>93.64</v>
      </c>
      <c r="G60" s="26">
        <f>Source!AB29</f>
        <v>0</v>
      </c>
      <c r="H60" s="27">
        <f>Source!O29</f>
        <v>0</v>
      </c>
      <c r="T60">
        <f>Source!O29+Source!X29+Source!Y29</f>
        <v>0</v>
      </c>
      <c r="U60">
        <f>Source!P29</f>
        <v>0</v>
      </c>
      <c r="V60">
        <f>Source!S29</f>
        <v>0</v>
      </c>
      <c r="W60">
        <f>Source!Q29</f>
        <v>0</v>
      </c>
      <c r="X60">
        <f>Source!R29</f>
        <v>0</v>
      </c>
      <c r="Y60">
        <f>Source!U29</f>
        <v>0</v>
      </c>
      <c r="Z60">
        <f>Source!V29</f>
        <v>0</v>
      </c>
      <c r="AA60">
        <f>Source!X29</f>
        <v>0</v>
      </c>
      <c r="AB60">
        <f>Source!Y29</f>
        <v>0</v>
      </c>
    </row>
    <row r="61" spans="1:28" ht="14.25" x14ac:dyDescent="0.2">
      <c r="C61" s="28" t="s">
        <v>444</v>
      </c>
      <c r="D61" s="28">
        <f>Source!BC29</f>
        <v>5.99</v>
      </c>
      <c r="F61" s="14"/>
      <c r="G61" s="14"/>
      <c r="H61" s="14"/>
    </row>
    <row r="62" spans="1:28" ht="71.25" x14ac:dyDescent="0.2">
      <c r="A62" s="54">
        <v>4</v>
      </c>
      <c r="B62" s="54" t="str">
        <f>Source!E31</f>
        <v>2,2</v>
      </c>
      <c r="C62" s="54" t="str">
        <f>Source!G31</f>
        <v>Блок оконный пластиковый  с 6-ю глухими створками остекления, с 2-мя   поворотно-откидными  створками, 5-ти камерным стеклопакетом (42 мм), площадью более 3,5 м2</v>
      </c>
      <c r="D62" s="54" t="str">
        <f>Source!F31</f>
        <v>11.3.02.01-0021</v>
      </c>
      <c r="E62" s="37" t="str">
        <f>Source!H31</f>
        <v>м2</v>
      </c>
      <c r="F62" s="14">
        <f>Source!I31</f>
        <v>93.64</v>
      </c>
      <c r="G62" s="26">
        <f>Source!AB31</f>
        <v>2074.38</v>
      </c>
      <c r="H62" s="27">
        <f>Source!O31</f>
        <v>1163527.21</v>
      </c>
      <c r="T62">
        <f>Source!O31+Source!X31+Source!Y31</f>
        <v>1163527.21</v>
      </c>
      <c r="U62">
        <f>Source!P31</f>
        <v>1163527.21</v>
      </c>
      <c r="V62">
        <f>Source!S31</f>
        <v>0</v>
      </c>
      <c r="W62">
        <f>Source!Q31</f>
        <v>0</v>
      </c>
      <c r="X62">
        <f>Source!R31</f>
        <v>0</v>
      </c>
      <c r="Y62">
        <f>Source!U31</f>
        <v>0</v>
      </c>
      <c r="Z62">
        <f>Source!V31</f>
        <v>0</v>
      </c>
      <c r="AA62">
        <f>Source!X31</f>
        <v>0</v>
      </c>
      <c r="AB62">
        <f>Source!Y31</f>
        <v>0</v>
      </c>
    </row>
    <row r="63" spans="1:28" ht="14.25" x14ac:dyDescent="0.2">
      <c r="C63" s="28" t="s">
        <v>444</v>
      </c>
      <c r="D63" s="28">
        <f>Source!BC31</f>
        <v>5.99</v>
      </c>
      <c r="F63" s="14"/>
      <c r="G63" s="14"/>
      <c r="H63" s="14"/>
    </row>
    <row r="64" spans="1:28" ht="42.75" x14ac:dyDescent="0.2">
      <c r="A64" s="54">
        <v>5</v>
      </c>
      <c r="B64" s="54" t="str">
        <f>Source!E33</f>
        <v>3</v>
      </c>
      <c r="C64" s="54" t="str">
        <f>Source!G33</f>
        <v>Установка подоконных досок из ПВХ в каменных стенах толщиной свыше 0,51 м</v>
      </c>
      <c r="D64" s="54" t="str">
        <f>Source!F33</f>
        <v>10-01-035-03</v>
      </c>
      <c r="E64" s="37" t="str">
        <f>Source!H33</f>
        <v>100 м</v>
      </c>
      <c r="F64" s="14">
        <f>Source!I33</f>
        <v>0.18360000000000001</v>
      </c>
      <c r="G64" s="26">
        <f>Source!AB33</f>
        <v>6481.17</v>
      </c>
      <c r="H64" s="27">
        <f>Source!O33</f>
        <v>7127.75</v>
      </c>
      <c r="T64">
        <f>Source!O33+Source!X33+Source!Y33</f>
        <v>7456.4400000000005</v>
      </c>
      <c r="U64">
        <f>Source!P33</f>
        <v>6903.11</v>
      </c>
      <c r="V64">
        <f>Source!S33</f>
        <v>200.56</v>
      </c>
      <c r="W64">
        <f>Source!Q33</f>
        <v>24.08</v>
      </c>
      <c r="X64">
        <f>Source!R33</f>
        <v>4.87</v>
      </c>
      <c r="Y64">
        <f>Source!U33</f>
        <v>3.9253680000000002</v>
      </c>
      <c r="Z64">
        <f>Source!V33</f>
        <v>6.7932000000000006E-2</v>
      </c>
      <c r="AA64">
        <f>Source!X33</f>
        <v>217.76</v>
      </c>
      <c r="AB64">
        <f>Source!Y33</f>
        <v>110.93</v>
      </c>
    </row>
    <row r="65" spans="1:28" ht="14.25" x14ac:dyDescent="0.2">
      <c r="C65" s="28" t="str">
        <f>"Объем: "&amp;Source!I33&amp;"=18,36/"&amp;"100"</f>
        <v>Объем: 0,1836=18,36/100</v>
      </c>
      <c r="F65" s="14"/>
      <c r="G65" s="14"/>
      <c r="H65" s="14"/>
    </row>
    <row r="66" spans="1:28" x14ac:dyDescent="0.2">
      <c r="C66" s="28" t="s">
        <v>442</v>
      </c>
      <c r="D66" s="28">
        <f>Source!BA33</f>
        <v>5.99</v>
      </c>
    </row>
    <row r="67" spans="1:28" x14ac:dyDescent="0.2">
      <c r="C67" s="28" t="s">
        <v>443</v>
      </c>
      <c r="D67" s="28">
        <f>Source!BB33</f>
        <v>5.99</v>
      </c>
    </row>
    <row r="68" spans="1:28" x14ac:dyDescent="0.2">
      <c r="C68" s="28" t="s">
        <v>444</v>
      </c>
      <c r="D68" s="28">
        <f>Source!BC33</f>
        <v>5.99</v>
      </c>
    </row>
    <row r="69" spans="1:28" x14ac:dyDescent="0.2">
      <c r="C69" s="28" t="s">
        <v>445</v>
      </c>
      <c r="D69" s="28">
        <f>Source!BS33</f>
        <v>5.99</v>
      </c>
    </row>
    <row r="70" spans="1:28" x14ac:dyDescent="0.2">
      <c r="C70" s="11" t="s">
        <v>446</v>
      </c>
      <c r="D70" s="41"/>
      <c r="E70" s="41"/>
      <c r="F70" s="41">
        <f>Source!BZ33</f>
        <v>118</v>
      </c>
      <c r="G70" s="65">
        <f>(Source!AF33+Source!AE33)*Source!FX33/100</f>
        <v>198.38160000000005</v>
      </c>
      <c r="H70" s="66">
        <f>Source!X33</f>
        <v>217.76</v>
      </c>
    </row>
    <row r="71" spans="1:28" x14ac:dyDescent="0.2">
      <c r="C71" s="11" t="s">
        <v>447</v>
      </c>
      <c r="D71" s="41"/>
      <c r="E71" s="41"/>
      <c r="F71" s="41"/>
      <c r="G71" s="41" t="str">
        <f>CONCATENATE(Source!DL33,Source!FT33, "=", Source!FX33, "%")</f>
        <v>*0,9=106,2%</v>
      </c>
      <c r="H71" s="41" t="str">
        <f>CONCATENATE(Source!AT33)</f>
        <v>106</v>
      </c>
    </row>
    <row r="72" spans="1:28" x14ac:dyDescent="0.2">
      <c r="C72" s="11" t="s">
        <v>448</v>
      </c>
      <c r="D72" s="41"/>
      <c r="E72" s="41"/>
      <c r="F72" s="41">
        <f>Source!CA33</f>
        <v>63</v>
      </c>
      <c r="G72" s="65">
        <f>(Source!AF33+Source!AE33)*Source!FY33/100</f>
        <v>100.03139999999999</v>
      </c>
      <c r="H72" s="66">
        <f>Source!Y33</f>
        <v>110.93</v>
      </c>
    </row>
    <row r="73" spans="1:28" x14ac:dyDescent="0.2">
      <c r="C73" s="11" t="s">
        <v>449</v>
      </c>
      <c r="D73" s="41"/>
      <c r="E73" s="41"/>
      <c r="F73" s="41"/>
      <c r="G73" s="41" t="str">
        <f>CONCATENATE(Source!DM33,Source!FU33, "=", Source!FY33, "%")</f>
        <v>*0,85=53,55%</v>
      </c>
      <c r="H73" s="41" t="str">
        <f>CONCATENATE(Source!AU33)</f>
        <v>54</v>
      </c>
    </row>
    <row r="74" spans="1:28" x14ac:dyDescent="0.2">
      <c r="C74" s="11" t="s">
        <v>450</v>
      </c>
      <c r="D74" s="41"/>
      <c r="E74" s="41"/>
      <c r="F74" s="41"/>
      <c r="G74" s="65">
        <f>((Source!AF33+Source!AE33)*Source!FX33/100)+((Source!AF33+Source!AE33)*Source!FY33/100)+Source!AB33</f>
        <v>6779.5830000000005</v>
      </c>
      <c r="H74" s="66">
        <f>Source!O33+Source!X33+Source!Y33</f>
        <v>7456.4400000000005</v>
      </c>
    </row>
    <row r="75" spans="1:28" ht="28.5" x14ac:dyDescent="0.2">
      <c r="A75" s="54">
        <v>6</v>
      </c>
      <c r="B75" s="54" t="str">
        <f>Source!E35</f>
        <v>3,1</v>
      </c>
      <c r="C75" s="54" t="str">
        <f>Source!G35</f>
        <v>Доски подоконные ПВХ, шириной 500 мм</v>
      </c>
      <c r="D75" s="54" t="str">
        <f>Source!F35</f>
        <v>11.3.03.01-0010</v>
      </c>
      <c r="E75" s="37" t="str">
        <f>Source!H35</f>
        <v>м</v>
      </c>
      <c r="F75" s="14">
        <f>Source!I35</f>
        <v>18.36</v>
      </c>
      <c r="G75" s="26">
        <f>Source!AB35</f>
        <v>64.349999999999994</v>
      </c>
      <c r="H75" s="27">
        <f>Source!O35</f>
        <v>7076.98</v>
      </c>
      <c r="T75">
        <f>Source!O35+Source!X35+Source!Y35</f>
        <v>7076.98</v>
      </c>
      <c r="U75">
        <f>Source!P35</f>
        <v>7076.98</v>
      </c>
      <c r="V75">
        <f>Source!S35</f>
        <v>0</v>
      </c>
      <c r="W75">
        <f>Source!Q35</f>
        <v>0</v>
      </c>
      <c r="X75">
        <f>Source!R35</f>
        <v>0</v>
      </c>
      <c r="Y75">
        <f>Source!U35</f>
        <v>0</v>
      </c>
      <c r="Z75">
        <f>Source!V35</f>
        <v>0</v>
      </c>
      <c r="AA75">
        <f>Source!X35</f>
        <v>0</v>
      </c>
      <c r="AB75">
        <f>Source!Y35</f>
        <v>0</v>
      </c>
    </row>
    <row r="76" spans="1:28" ht="14.25" x14ac:dyDescent="0.2">
      <c r="C76" s="28" t="s">
        <v>444</v>
      </c>
      <c r="D76" s="28">
        <f>Source!BC35</f>
        <v>5.99</v>
      </c>
      <c r="F76" s="14"/>
      <c r="G76" s="14"/>
      <c r="H76" s="14"/>
    </row>
    <row r="77" spans="1:28" ht="42.75" x14ac:dyDescent="0.2">
      <c r="A77" s="54">
        <v>7</v>
      </c>
      <c r="B77" s="54" t="str">
        <f>Source!E37</f>
        <v>4</v>
      </c>
      <c r="C77" s="54" t="str">
        <f>Source!G37</f>
        <v>Смена обделок из листовой стали (поясков, сандриков, отливов, карнизов) шириной до 0,4 м</v>
      </c>
      <c r="D77" s="54" t="str">
        <f>Source!F37</f>
        <v>58-20-1</v>
      </c>
      <c r="E77" s="37" t="str">
        <f>Source!H37</f>
        <v>100 м</v>
      </c>
      <c r="F77" s="14">
        <f>Source!I37</f>
        <v>0.18360000000000001</v>
      </c>
      <c r="G77" s="26">
        <f>Source!AB37</f>
        <v>454.41</v>
      </c>
      <c r="H77" s="27">
        <f>Source!O37</f>
        <v>499.74</v>
      </c>
      <c r="T77">
        <f>Source!O37+Source!X37+Source!Y37</f>
        <v>1077.1699999999998</v>
      </c>
      <c r="U77">
        <f>Source!P37</f>
        <v>105.63</v>
      </c>
      <c r="V77">
        <f>Source!S37</f>
        <v>388.47</v>
      </c>
      <c r="W77">
        <f>Source!Q37</f>
        <v>5.64</v>
      </c>
      <c r="X77">
        <f>Source!R37</f>
        <v>1.69</v>
      </c>
      <c r="Y77">
        <f>Source!U37</f>
        <v>7.6028760000000002</v>
      </c>
      <c r="Z77">
        <f>Source!V37</f>
        <v>2.2032E-2</v>
      </c>
      <c r="AA77">
        <f>Source!X37</f>
        <v>323.83</v>
      </c>
      <c r="AB77">
        <f>Source!Y37</f>
        <v>253.6</v>
      </c>
    </row>
    <row r="78" spans="1:28" ht="14.25" x14ac:dyDescent="0.2">
      <c r="C78" s="28" t="str">
        <f>"Объем: "&amp;Source!I37&amp;"=18,36/"&amp;"100"</f>
        <v>Объем: 0,1836=18,36/100</v>
      </c>
      <c r="F78" s="14"/>
      <c r="G78" s="14"/>
      <c r="H78" s="14"/>
    </row>
    <row r="79" spans="1:28" x14ac:dyDescent="0.2">
      <c r="C79" s="28" t="s">
        <v>442</v>
      </c>
      <c r="D79" s="28">
        <f>Source!BA37</f>
        <v>5.99</v>
      </c>
    </row>
    <row r="80" spans="1:28" x14ac:dyDescent="0.2">
      <c r="C80" s="28" t="s">
        <v>443</v>
      </c>
      <c r="D80" s="28">
        <f>Source!BB37</f>
        <v>5.99</v>
      </c>
    </row>
    <row r="81" spans="1:28" x14ac:dyDescent="0.2">
      <c r="C81" s="28" t="s">
        <v>444</v>
      </c>
      <c r="D81" s="28">
        <f>Source!BC37</f>
        <v>5.99</v>
      </c>
    </row>
    <row r="82" spans="1:28" x14ac:dyDescent="0.2">
      <c r="C82" s="28" t="s">
        <v>445</v>
      </c>
      <c r="D82" s="28">
        <f>Source!BS37</f>
        <v>5.99</v>
      </c>
    </row>
    <row r="83" spans="1:28" x14ac:dyDescent="0.2">
      <c r="C83" s="11" t="s">
        <v>446</v>
      </c>
      <c r="D83" s="41"/>
      <c r="E83" s="41"/>
      <c r="F83" s="41">
        <f>Source!BZ37</f>
        <v>83</v>
      </c>
      <c r="G83" s="65">
        <f>(Source!AF37+Source!AE37)*Source!FX37/100</f>
        <v>294.45910000000003</v>
      </c>
      <c r="H83" s="66">
        <f>Source!X37</f>
        <v>323.83</v>
      </c>
    </row>
    <row r="84" spans="1:28" x14ac:dyDescent="0.2">
      <c r="C84" s="11" t="s">
        <v>448</v>
      </c>
      <c r="D84" s="41"/>
      <c r="E84" s="41"/>
      <c r="F84" s="41">
        <f>Source!CA37</f>
        <v>65</v>
      </c>
      <c r="G84" s="65">
        <f>(Source!AF37+Source!AE37)*Source!FY37/100</f>
        <v>230.60050000000004</v>
      </c>
      <c r="H84" s="66">
        <f>Source!Y37</f>
        <v>253.6</v>
      </c>
    </row>
    <row r="85" spans="1:28" x14ac:dyDescent="0.2">
      <c r="C85" s="11" t="s">
        <v>450</v>
      </c>
      <c r="D85" s="41"/>
      <c r="E85" s="41"/>
      <c r="F85" s="41"/>
      <c r="G85" s="65">
        <f>((Source!AF37+Source!AE37)*Source!FX37/100)+((Source!AF37+Source!AE37)*Source!FY37/100)+Source!AB37</f>
        <v>979.46960000000013</v>
      </c>
      <c r="H85" s="66">
        <f>Source!O37+Source!X37+Source!Y37</f>
        <v>1077.1699999999998</v>
      </c>
    </row>
    <row r="86" spans="1:28" ht="14.25" x14ac:dyDescent="0.2">
      <c r="A86" s="54">
        <v>8</v>
      </c>
      <c r="B86" s="54" t="str">
        <f>Source!E39</f>
        <v>4,1</v>
      </c>
      <c r="C86" s="54" t="str">
        <f>Source!G39</f>
        <v>Строительный мусор</v>
      </c>
      <c r="D86" s="54" t="str">
        <f>Source!F39</f>
        <v>01.7.07.07</v>
      </c>
      <c r="E86" s="37" t="str">
        <f>Source!H39</f>
        <v>т</v>
      </c>
      <c r="F86" s="14">
        <f>Source!I39</f>
        <v>4.1126000000000003E-2</v>
      </c>
      <c r="G86" s="26">
        <f>Source!AB39</f>
        <v>0</v>
      </c>
      <c r="H86" s="27">
        <f>Source!O39</f>
        <v>0</v>
      </c>
      <c r="T86">
        <f>Source!O39+Source!X39+Source!Y39</f>
        <v>0</v>
      </c>
      <c r="U86">
        <f>Source!P39</f>
        <v>0</v>
      </c>
      <c r="V86">
        <f>Source!S39</f>
        <v>0</v>
      </c>
      <c r="W86">
        <f>Source!Q39</f>
        <v>0</v>
      </c>
      <c r="X86">
        <f>Source!R39</f>
        <v>0</v>
      </c>
      <c r="Y86">
        <f>Source!U39</f>
        <v>0</v>
      </c>
      <c r="Z86">
        <f>Source!V39</f>
        <v>0</v>
      </c>
      <c r="AA86">
        <f>Source!X39</f>
        <v>0</v>
      </c>
      <c r="AB86">
        <f>Source!Y39</f>
        <v>0</v>
      </c>
    </row>
    <row r="87" spans="1:28" ht="14.25" x14ac:dyDescent="0.2">
      <c r="C87" s="28" t="s">
        <v>444</v>
      </c>
      <c r="D87" s="28">
        <f>Source!BC39</f>
        <v>5.99</v>
      </c>
      <c r="F87" s="14"/>
      <c r="G87" s="14"/>
      <c r="H87" s="14"/>
    </row>
    <row r="88" spans="1:28" ht="14.25" x14ac:dyDescent="0.2">
      <c r="A88" s="54">
        <v>9</v>
      </c>
      <c r="B88" s="54" t="str">
        <f>Source!E41</f>
        <v>4,2</v>
      </c>
      <c r="C88" s="54" t="str">
        <f>Source!G41</f>
        <v>Сталь листовая оцинкованная</v>
      </c>
      <c r="D88" s="54" t="str">
        <f>Source!F41</f>
        <v>08.3.05.05</v>
      </c>
      <c r="E88" s="37" t="str">
        <f>Source!H41</f>
        <v>т</v>
      </c>
      <c r="F88" s="14">
        <f>Source!I41</f>
        <v>3.3782E-2</v>
      </c>
      <c r="G88" s="26">
        <f>Source!AB41</f>
        <v>0</v>
      </c>
      <c r="H88" s="27">
        <f>Source!O41</f>
        <v>0</v>
      </c>
      <c r="T88">
        <f>Source!O41+Source!X41+Source!Y41</f>
        <v>0</v>
      </c>
      <c r="U88">
        <f>Source!P41</f>
        <v>0</v>
      </c>
      <c r="V88">
        <f>Source!S41</f>
        <v>0</v>
      </c>
      <c r="W88">
        <f>Source!Q41</f>
        <v>0</v>
      </c>
      <c r="X88">
        <f>Source!R41</f>
        <v>0</v>
      </c>
      <c r="Y88">
        <f>Source!U41</f>
        <v>0</v>
      </c>
      <c r="Z88">
        <f>Source!V41</f>
        <v>0</v>
      </c>
      <c r="AA88">
        <f>Source!X41</f>
        <v>0</v>
      </c>
      <c r="AB88">
        <f>Source!Y41</f>
        <v>0</v>
      </c>
    </row>
    <row r="89" spans="1:28" ht="14.25" x14ac:dyDescent="0.2">
      <c r="C89" s="28" t="s">
        <v>444</v>
      </c>
      <c r="D89" s="28">
        <f>Source!BC41</f>
        <v>5.99</v>
      </c>
      <c r="F89" s="14"/>
      <c r="G89" s="14"/>
      <c r="H89" s="14"/>
    </row>
    <row r="90" spans="1:28" ht="42.75" x14ac:dyDescent="0.2">
      <c r="A90" s="54">
        <v>10</v>
      </c>
      <c r="B90" s="54" t="str">
        <f>Source!E43</f>
        <v>4,3</v>
      </c>
      <c r="C90" s="54" t="str">
        <f>Source!G43</f>
        <v>Сталь оцинкованная в рулонах толщиной 0,5 мм, с полимерным покрытием</v>
      </c>
      <c r="D90" s="54" t="str">
        <f>Source!F43</f>
        <v>08.3.05.05-0081</v>
      </c>
      <c r="E90" s="37" t="str">
        <f>Source!H43</f>
        <v>т</v>
      </c>
      <c r="F90" s="14">
        <f>Source!I43</f>
        <v>3.3782E-2</v>
      </c>
      <c r="G90" s="26">
        <f>Source!AB43</f>
        <v>8715.1</v>
      </c>
      <c r="H90" s="27">
        <f>Source!O43</f>
        <v>1763.54</v>
      </c>
      <c r="T90">
        <f>Source!O43+Source!X43+Source!Y43</f>
        <v>1763.54</v>
      </c>
      <c r="U90">
        <f>Source!P43</f>
        <v>1763.54</v>
      </c>
      <c r="V90">
        <f>Source!S43</f>
        <v>0</v>
      </c>
      <c r="W90">
        <f>Source!Q43</f>
        <v>0</v>
      </c>
      <c r="X90">
        <f>Source!R43</f>
        <v>0</v>
      </c>
      <c r="Y90">
        <f>Source!U43</f>
        <v>0</v>
      </c>
      <c r="Z90">
        <f>Source!V43</f>
        <v>0</v>
      </c>
      <c r="AA90">
        <f>Source!X43</f>
        <v>0</v>
      </c>
      <c r="AB90">
        <f>Source!Y43</f>
        <v>0</v>
      </c>
    </row>
    <row r="91" spans="1:28" ht="14.25" x14ac:dyDescent="0.2">
      <c r="C91" s="28" t="s">
        <v>444</v>
      </c>
      <c r="D91" s="28">
        <f>Source!BC43</f>
        <v>5.99</v>
      </c>
      <c r="F91" s="14"/>
      <c r="G91" s="14"/>
      <c r="H91" s="14"/>
    </row>
    <row r="92" spans="1:28" ht="42.75" x14ac:dyDescent="0.2">
      <c r="A92" s="54">
        <v>11</v>
      </c>
      <c r="B92" s="54" t="str">
        <f>Source!E45</f>
        <v>4,4</v>
      </c>
      <c r="C92" s="54" t="str">
        <f>Source!G45</f>
        <v>Водоотлив оконный шириной планки 250 мм из оцинкованной стали с полимерным покрытием</v>
      </c>
      <c r="D92" s="54" t="str">
        <f>Source!F45</f>
        <v>08.1.02.03-0021</v>
      </c>
      <c r="E92" s="37" t="str">
        <f>Source!H45</f>
        <v>П.М</v>
      </c>
      <c r="F92" s="14">
        <f>Source!I45</f>
        <v>18.36</v>
      </c>
      <c r="G92" s="26">
        <f>Source!AB45</f>
        <v>26.41</v>
      </c>
      <c r="H92" s="27">
        <f>Source!O45</f>
        <v>2904.48</v>
      </c>
      <c r="T92">
        <f>Source!O45+Source!X45+Source!Y45</f>
        <v>2904.48</v>
      </c>
      <c r="U92">
        <f>Source!P45</f>
        <v>2904.48</v>
      </c>
      <c r="V92">
        <f>Source!S45</f>
        <v>0</v>
      </c>
      <c r="W92">
        <f>Source!Q45</f>
        <v>0</v>
      </c>
      <c r="X92">
        <f>Source!R45</f>
        <v>0</v>
      </c>
      <c r="Y92">
        <f>Source!U45</f>
        <v>0</v>
      </c>
      <c r="Z92">
        <f>Source!V45</f>
        <v>0</v>
      </c>
      <c r="AA92">
        <f>Source!X45</f>
        <v>0</v>
      </c>
      <c r="AB92">
        <f>Source!Y45</f>
        <v>0</v>
      </c>
    </row>
    <row r="93" spans="1:28" ht="14.25" x14ac:dyDescent="0.2">
      <c r="C93" s="28" t="s">
        <v>444</v>
      </c>
      <c r="D93" s="28">
        <f>Source!BC45</f>
        <v>5.99</v>
      </c>
      <c r="F93" s="14"/>
      <c r="G93" s="14"/>
      <c r="H93" s="14"/>
    </row>
    <row r="94" spans="1:28" ht="57" x14ac:dyDescent="0.2">
      <c r="A94" s="54">
        <v>12</v>
      </c>
      <c r="B94" s="54" t="str">
        <f>Source!E47</f>
        <v>5</v>
      </c>
      <c r="C94" s="54" t="str">
        <f>Source!G47</f>
        <v>Облицовка оконных и дверных откосов декоративным бумажно-слоистым пластиком или листами из синтетических материалов на клее</v>
      </c>
      <c r="D94" s="54" t="str">
        <f>Source!F47</f>
        <v>15-01-050-04</v>
      </c>
      <c r="E94" s="37" t="str">
        <f>Source!H47</f>
        <v>100 м2</v>
      </c>
      <c r="F94" s="14">
        <f>Source!I47</f>
        <v>0.1346</v>
      </c>
      <c r="G94" s="26">
        <f>Source!AB47</f>
        <v>1563.91</v>
      </c>
      <c r="H94" s="27">
        <f>Source!O47</f>
        <v>1260.9100000000001</v>
      </c>
      <c r="T94">
        <f>Source!O47+Source!X47+Source!Y47</f>
        <v>3018.3900000000003</v>
      </c>
      <c r="U94">
        <f>Source!P47</f>
        <v>0.28999999999999998</v>
      </c>
      <c r="V94">
        <f>Source!S47</f>
        <v>1232.1099999999999</v>
      </c>
      <c r="W94">
        <f>Source!Q47</f>
        <v>28.51</v>
      </c>
      <c r="X94">
        <f>Source!R47</f>
        <v>5.55</v>
      </c>
      <c r="Y94">
        <f>Source!U47</f>
        <v>22.406862</v>
      </c>
      <c r="Z94">
        <f>Source!V47</f>
        <v>7.8067999999999999E-2</v>
      </c>
      <c r="AA94">
        <f>Source!X47</f>
        <v>1175.78</v>
      </c>
      <c r="AB94">
        <f>Source!Y47</f>
        <v>581.70000000000005</v>
      </c>
    </row>
    <row r="95" spans="1:28" ht="14.25" x14ac:dyDescent="0.2">
      <c r="C95" s="28" t="str">
        <f>"Объем: "&amp;Source!I47&amp;"=13,46/"&amp;"100"</f>
        <v>Объем: 0,1346=13,46/100</v>
      </c>
      <c r="F95" s="14"/>
      <c r="G95" s="14"/>
      <c r="H95" s="14"/>
    </row>
    <row r="96" spans="1:28" x14ac:dyDescent="0.2">
      <c r="C96" s="28" t="s">
        <v>442</v>
      </c>
      <c r="D96" s="28">
        <f>Source!BA47</f>
        <v>5.99</v>
      </c>
    </row>
    <row r="97" spans="1:28" x14ac:dyDescent="0.2">
      <c r="C97" s="28" t="s">
        <v>443</v>
      </c>
      <c r="D97" s="28">
        <f>Source!BB47</f>
        <v>5.99</v>
      </c>
    </row>
    <row r="98" spans="1:28" x14ac:dyDescent="0.2">
      <c r="C98" s="28" t="s">
        <v>444</v>
      </c>
      <c r="D98" s="28">
        <f>Source!BC47</f>
        <v>5.99</v>
      </c>
    </row>
    <row r="99" spans="1:28" x14ac:dyDescent="0.2">
      <c r="C99" s="28" t="s">
        <v>445</v>
      </c>
      <c r="D99" s="28">
        <f>Source!BS47</f>
        <v>5.99</v>
      </c>
    </row>
    <row r="100" spans="1:28" x14ac:dyDescent="0.2">
      <c r="C100" s="11" t="s">
        <v>446</v>
      </c>
      <c r="D100" s="41"/>
      <c r="E100" s="41"/>
      <c r="F100" s="41">
        <f>Source!BZ47</f>
        <v>105</v>
      </c>
      <c r="G100" s="65">
        <f>(Source!AF47+Source!AE47)*Source!FX47/100</f>
        <v>1450.6411500000002</v>
      </c>
      <c r="H100" s="66">
        <f>Source!X47</f>
        <v>1175.78</v>
      </c>
    </row>
    <row r="101" spans="1:28" x14ac:dyDescent="0.2">
      <c r="C101" s="11" t="s">
        <v>447</v>
      </c>
      <c r="D101" s="41"/>
      <c r="E101" s="41"/>
      <c r="F101" s="41"/>
      <c r="G101" s="41" t="str">
        <f>CONCATENATE(Source!DL47,Source!FT47, "=", Source!FX47, "%")</f>
        <v>*0,9=94,5%</v>
      </c>
      <c r="H101" s="41" t="str">
        <f>CONCATENATE(Source!AT47)</f>
        <v>95</v>
      </c>
    </row>
    <row r="102" spans="1:28" x14ac:dyDescent="0.2">
      <c r="C102" s="11" t="s">
        <v>448</v>
      </c>
      <c r="D102" s="41"/>
      <c r="E102" s="41"/>
      <c r="F102" s="41">
        <f>Source!CA47</f>
        <v>55</v>
      </c>
      <c r="G102" s="65">
        <f>(Source!AF47+Source!AE47)*Source!FY47/100</f>
        <v>717.6452250000001</v>
      </c>
      <c r="H102" s="66">
        <f>Source!Y47</f>
        <v>581.70000000000005</v>
      </c>
    </row>
    <row r="103" spans="1:28" x14ac:dyDescent="0.2">
      <c r="C103" s="11" t="s">
        <v>449</v>
      </c>
      <c r="D103" s="41"/>
      <c r="E103" s="41"/>
      <c r="F103" s="41"/>
      <c r="G103" s="41" t="str">
        <f>CONCATENATE(Source!DM47,Source!FU47, "=", Source!FY47, "%")</f>
        <v>*0,85=46,75%</v>
      </c>
      <c r="H103" s="41" t="str">
        <f>CONCATENATE(Source!AU47)</f>
        <v>47</v>
      </c>
    </row>
    <row r="104" spans="1:28" x14ac:dyDescent="0.2">
      <c r="C104" s="11" t="s">
        <v>450</v>
      </c>
      <c r="D104" s="41"/>
      <c r="E104" s="41"/>
      <c r="F104" s="41"/>
      <c r="G104" s="65">
        <f>((Source!AF47+Source!AE47)*Source!FX47/100)+((Source!AF47+Source!AE47)*Source!FY47/100)+Source!AB47</f>
        <v>3732.1963750000004</v>
      </c>
      <c r="H104" s="66">
        <f>Source!O47+Source!X47+Source!Y47</f>
        <v>3018.3900000000003</v>
      </c>
    </row>
    <row r="105" spans="1:28" ht="14.25" x14ac:dyDescent="0.2">
      <c r="A105" s="54">
        <v>13</v>
      </c>
      <c r="B105" s="54" t="str">
        <f>Source!E49</f>
        <v>5,1</v>
      </c>
      <c r="C105" s="54" t="str">
        <f>Source!G49</f>
        <v>Листы облицовочные декоративные</v>
      </c>
      <c r="D105" s="54" t="str">
        <f>Source!F49</f>
        <v>01.6.01.11</v>
      </c>
      <c r="E105" s="37" t="str">
        <f>Source!H49</f>
        <v>м2</v>
      </c>
      <c r="F105" s="14">
        <f>Source!I49</f>
        <v>14.132999999999999</v>
      </c>
      <c r="G105" s="26">
        <f>Source!AB49</f>
        <v>0</v>
      </c>
      <c r="H105" s="27">
        <f>Source!O49</f>
        <v>0</v>
      </c>
      <c r="T105">
        <f>Source!O49+Source!X49+Source!Y49</f>
        <v>0</v>
      </c>
      <c r="U105">
        <f>Source!P49</f>
        <v>0</v>
      </c>
      <c r="V105">
        <f>Source!S49</f>
        <v>0</v>
      </c>
      <c r="W105">
        <f>Source!Q49</f>
        <v>0</v>
      </c>
      <c r="X105">
        <f>Source!R49</f>
        <v>0</v>
      </c>
      <c r="Y105">
        <f>Source!U49</f>
        <v>0</v>
      </c>
      <c r="Z105">
        <f>Source!V49</f>
        <v>0</v>
      </c>
      <c r="AA105">
        <f>Source!X49</f>
        <v>0</v>
      </c>
      <c r="AB105">
        <f>Source!Y49</f>
        <v>0</v>
      </c>
    </row>
    <row r="106" spans="1:28" ht="14.25" x14ac:dyDescent="0.2">
      <c r="C106" s="28" t="s">
        <v>444</v>
      </c>
      <c r="D106" s="28">
        <f>Source!BC49</f>
        <v>5.99</v>
      </c>
      <c r="F106" s="14"/>
      <c r="G106" s="14"/>
      <c r="H106" s="14"/>
    </row>
    <row r="107" spans="1:28" ht="42.75" x14ac:dyDescent="0.2">
      <c r="A107" s="54">
        <v>14</v>
      </c>
      <c r="B107" s="54" t="str">
        <f>Source!E51</f>
        <v>5,2</v>
      </c>
      <c r="C107" s="54" t="str">
        <f>Source!G51</f>
        <v>Панели пластиковые для откосов "Реас Пласт" шириной 0,4 м, длиной 3,0 м, белые матовые, лакированные</v>
      </c>
      <c r="D107" s="54" t="str">
        <f>Source!F51</f>
        <v>11.3.03.05-0001</v>
      </c>
      <c r="E107" s="37" t="str">
        <f>Source!H51</f>
        <v>м2</v>
      </c>
      <c r="F107" s="14">
        <f>Source!I51</f>
        <v>14.132999999999999</v>
      </c>
      <c r="G107" s="26">
        <f>Source!AB51</f>
        <v>34.380000000000003</v>
      </c>
      <c r="H107" s="27">
        <f>Source!O51</f>
        <v>2910.5</v>
      </c>
      <c r="T107">
        <f>Source!O51+Source!X51+Source!Y51</f>
        <v>2910.5</v>
      </c>
      <c r="U107">
        <f>Source!P51</f>
        <v>2910.5</v>
      </c>
      <c r="V107">
        <f>Source!S51</f>
        <v>0</v>
      </c>
      <c r="W107">
        <f>Source!Q51</f>
        <v>0</v>
      </c>
      <c r="X107">
        <f>Source!R51</f>
        <v>0</v>
      </c>
      <c r="Y107">
        <f>Source!U51</f>
        <v>0</v>
      </c>
      <c r="Z107">
        <f>Source!V51</f>
        <v>0</v>
      </c>
      <c r="AA107">
        <f>Source!X51</f>
        <v>0</v>
      </c>
      <c r="AB107">
        <f>Source!Y51</f>
        <v>0</v>
      </c>
    </row>
    <row r="108" spans="1:28" ht="14.25" x14ac:dyDescent="0.2">
      <c r="C108" s="28" t="s">
        <v>444</v>
      </c>
      <c r="D108" s="28">
        <f>Source!BC51</f>
        <v>5.99</v>
      </c>
      <c r="F108" s="14"/>
      <c r="G108" s="14"/>
      <c r="H108" s="14"/>
    </row>
    <row r="109" spans="1:28" ht="14.25" x14ac:dyDescent="0.2">
      <c r="A109" s="54">
        <v>15</v>
      </c>
      <c r="B109" s="54" t="str">
        <f>Source!E53</f>
        <v>5,3</v>
      </c>
      <c r="C109" s="54" t="str">
        <f>Source!G53</f>
        <v>Клей</v>
      </c>
      <c r="D109" s="54" t="str">
        <f>Source!F53</f>
        <v>14.1.06.05</v>
      </c>
      <c r="E109" s="37" t="str">
        <f>Source!H53</f>
        <v>кг</v>
      </c>
      <c r="F109" s="14">
        <f>Source!I53</f>
        <v>4.0380000000000003</v>
      </c>
      <c r="G109" s="26">
        <f>Source!AB53</f>
        <v>0</v>
      </c>
      <c r="H109" s="27">
        <f>Source!O53</f>
        <v>0</v>
      </c>
      <c r="T109">
        <f>Source!O53+Source!X53+Source!Y53</f>
        <v>0</v>
      </c>
      <c r="U109">
        <f>Source!P53</f>
        <v>0</v>
      </c>
      <c r="V109">
        <f>Source!S53</f>
        <v>0</v>
      </c>
      <c r="W109">
        <f>Source!Q53</f>
        <v>0</v>
      </c>
      <c r="X109">
        <f>Source!R53</f>
        <v>0</v>
      </c>
      <c r="Y109">
        <f>Source!U53</f>
        <v>0</v>
      </c>
      <c r="Z109">
        <f>Source!V53</f>
        <v>0</v>
      </c>
      <c r="AA109">
        <f>Source!X53</f>
        <v>0</v>
      </c>
      <c r="AB109">
        <f>Source!Y53</f>
        <v>0</v>
      </c>
    </row>
    <row r="110" spans="1:28" ht="14.25" x14ac:dyDescent="0.2">
      <c r="C110" s="28" t="s">
        <v>444</v>
      </c>
      <c r="D110" s="28">
        <f>Source!BC53</f>
        <v>5.99</v>
      </c>
      <c r="F110" s="14"/>
      <c r="G110" s="14"/>
      <c r="H110" s="14"/>
    </row>
    <row r="111" spans="1:28" ht="28.5" x14ac:dyDescent="0.2">
      <c r="A111" s="54">
        <v>16</v>
      </c>
      <c r="B111" s="54" t="str">
        <f>Source!E55</f>
        <v>5,4</v>
      </c>
      <c r="C111" s="54" t="str">
        <f>Source!G55</f>
        <v>Клей ПВА</v>
      </c>
      <c r="D111" s="54" t="str">
        <f>Source!F55</f>
        <v>14.1.02.03-0002</v>
      </c>
      <c r="E111" s="37" t="str">
        <f>Source!H55</f>
        <v>кг</v>
      </c>
      <c r="F111" s="14">
        <f>Source!I55</f>
        <v>4.0380000000000003</v>
      </c>
      <c r="G111" s="26">
        <f>Source!AB55</f>
        <v>15.9</v>
      </c>
      <c r="H111" s="27">
        <f>Source!O55</f>
        <v>384.58</v>
      </c>
      <c r="T111">
        <f>Source!O55+Source!X55+Source!Y55</f>
        <v>384.58</v>
      </c>
      <c r="U111">
        <f>Source!P55</f>
        <v>384.58</v>
      </c>
      <c r="V111">
        <f>Source!S55</f>
        <v>0</v>
      </c>
      <c r="W111">
        <f>Source!Q55</f>
        <v>0</v>
      </c>
      <c r="X111">
        <f>Source!R55</f>
        <v>0</v>
      </c>
      <c r="Y111">
        <f>Source!U55</f>
        <v>0</v>
      </c>
      <c r="Z111">
        <f>Source!V55</f>
        <v>0</v>
      </c>
      <c r="AA111">
        <f>Source!X55</f>
        <v>0</v>
      </c>
      <c r="AB111">
        <f>Source!Y55</f>
        <v>0</v>
      </c>
    </row>
    <row r="112" spans="1:28" ht="14.25" x14ac:dyDescent="0.2">
      <c r="C112" s="28" t="s">
        <v>444</v>
      </c>
      <c r="D112" s="28">
        <f>Source!BC55</f>
        <v>5.99</v>
      </c>
      <c r="F112" s="14"/>
      <c r="G112" s="14"/>
      <c r="H112" s="14"/>
    </row>
    <row r="113" spans="1:28" ht="28.5" x14ac:dyDescent="0.2">
      <c r="A113" s="54">
        <v>17</v>
      </c>
      <c r="B113" s="54" t="str">
        <f>Source!E57</f>
        <v>5,5</v>
      </c>
      <c r="C113" s="54" t="str">
        <f>Source!G57</f>
        <v>Грунтовка: «Бетоконтакт», КНАУФ</v>
      </c>
      <c r="D113" s="54" t="str">
        <f>Source!F57</f>
        <v>14.3.01.01-0001</v>
      </c>
      <c r="E113" s="37" t="str">
        <f>Source!H57</f>
        <v>кг</v>
      </c>
      <c r="F113" s="14">
        <f>Source!I57</f>
        <v>1.1979649999999999</v>
      </c>
      <c r="G113" s="26">
        <f>Source!AB57</f>
        <v>15.09</v>
      </c>
      <c r="H113" s="27">
        <f>Source!O57</f>
        <v>108.28</v>
      </c>
      <c r="T113">
        <f>Source!O57+Source!X57+Source!Y57</f>
        <v>108.28</v>
      </c>
      <c r="U113">
        <f>Source!P57</f>
        <v>108.28</v>
      </c>
      <c r="V113">
        <f>Source!S57</f>
        <v>0</v>
      </c>
      <c r="W113">
        <f>Source!Q57</f>
        <v>0</v>
      </c>
      <c r="X113">
        <f>Source!R57</f>
        <v>0</v>
      </c>
      <c r="Y113">
        <f>Source!U57</f>
        <v>0</v>
      </c>
      <c r="Z113">
        <f>Source!V57</f>
        <v>0</v>
      </c>
      <c r="AA113">
        <f>Source!X57</f>
        <v>0</v>
      </c>
      <c r="AB113">
        <f>Source!Y57</f>
        <v>0</v>
      </c>
    </row>
    <row r="114" spans="1:28" ht="14.25" x14ac:dyDescent="0.2">
      <c r="C114" s="28" t="s">
        <v>444</v>
      </c>
      <c r="D114" s="28">
        <f>Source!BC57</f>
        <v>5.99</v>
      </c>
      <c r="F114" s="14"/>
      <c r="G114" s="14"/>
      <c r="H114" s="14"/>
    </row>
    <row r="115" spans="1:28" ht="14.25" x14ac:dyDescent="0.2">
      <c r="A115" s="54">
        <v>18</v>
      </c>
      <c r="B115" s="54" t="str">
        <f>Source!E59</f>
        <v>5,6</v>
      </c>
      <c r="C115" s="54" t="str">
        <f>Source!G59</f>
        <v>Грунтовка</v>
      </c>
      <c r="D115" s="54" t="str">
        <f>Source!F59</f>
        <v>14.4.01.21</v>
      </c>
      <c r="E115" s="37" t="str">
        <f>Source!H59</f>
        <v>т</v>
      </c>
      <c r="F115" s="14">
        <f>Source!I59</f>
        <v>1.1980000000000001E-3</v>
      </c>
      <c r="G115" s="26">
        <f>Source!AB59</f>
        <v>0</v>
      </c>
      <c r="H115" s="27">
        <f>Source!O59</f>
        <v>0</v>
      </c>
      <c r="T115">
        <f>Source!O59+Source!X59+Source!Y59</f>
        <v>0</v>
      </c>
      <c r="U115">
        <f>Source!P59</f>
        <v>0</v>
      </c>
      <c r="V115">
        <f>Source!S59</f>
        <v>0</v>
      </c>
      <c r="W115">
        <f>Source!Q59</f>
        <v>0</v>
      </c>
      <c r="X115">
        <f>Source!R59</f>
        <v>0</v>
      </c>
      <c r="Y115">
        <f>Source!U59</f>
        <v>0</v>
      </c>
      <c r="Z115">
        <f>Source!V59</f>
        <v>0</v>
      </c>
      <c r="AA115">
        <f>Source!X59</f>
        <v>0</v>
      </c>
      <c r="AB115">
        <f>Source!Y59</f>
        <v>0</v>
      </c>
    </row>
    <row r="116" spans="1:28" ht="14.25" x14ac:dyDescent="0.2">
      <c r="C116" s="28" t="s">
        <v>444</v>
      </c>
      <c r="D116" s="28">
        <f>Source!BC59</f>
        <v>5.99</v>
      </c>
      <c r="F116" s="14"/>
      <c r="G116" s="14"/>
      <c r="H116" s="14"/>
    </row>
    <row r="117" spans="1:28" ht="71.25" x14ac:dyDescent="0.2">
      <c r="A117" s="54">
        <v>19</v>
      </c>
      <c r="B117" s="54" t="str">
        <f>Source!E61</f>
        <v>6</v>
      </c>
      <c r="C117" s="54" t="str">
        <f>Source!G61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117" s="54" t="str">
        <f>Source!F61</f>
        <v>61-2-7</v>
      </c>
      <c r="E117" s="37" t="str">
        <f>Source!H61</f>
        <v>100 м2</v>
      </c>
      <c r="F117" s="14">
        <f>Source!I61</f>
        <v>0.1346</v>
      </c>
      <c r="G117" s="26">
        <f>Source!AB61</f>
        <v>3184.37</v>
      </c>
      <c r="H117" s="27">
        <f>Source!O61</f>
        <v>2567.41</v>
      </c>
      <c r="T117">
        <f>Source!O61+Source!X61+Source!Y61</f>
        <v>4681.08</v>
      </c>
      <c r="U117">
        <f>Source!P61</f>
        <v>919.33</v>
      </c>
      <c r="V117">
        <f>Source!S61</f>
        <v>1631.2</v>
      </c>
      <c r="W117">
        <f>Source!Q61</f>
        <v>16.88</v>
      </c>
      <c r="X117">
        <f>Source!R61</f>
        <v>7.3</v>
      </c>
      <c r="Y117">
        <f>Source!U61</f>
        <v>30.735909999999997</v>
      </c>
      <c r="Z117">
        <f>Source!V61</f>
        <v>9.0181999999999998E-2</v>
      </c>
      <c r="AA117">
        <f>Source!X61</f>
        <v>1294.42</v>
      </c>
      <c r="AB117">
        <f>Source!Y61</f>
        <v>819.25</v>
      </c>
    </row>
    <row r="118" spans="1:28" ht="14.25" x14ac:dyDescent="0.2">
      <c r="C118" s="28" t="str">
        <f>"Объем: "&amp;Source!I61&amp;"=13,46/"&amp;"100"</f>
        <v>Объем: 0,1346=13,46/100</v>
      </c>
      <c r="F118" s="14"/>
      <c r="G118" s="14"/>
      <c r="H118" s="14"/>
    </row>
    <row r="119" spans="1:28" x14ac:dyDescent="0.2">
      <c r="C119" s="28" t="s">
        <v>442</v>
      </c>
      <c r="D119" s="28">
        <f>Source!BA61</f>
        <v>5.99</v>
      </c>
    </row>
    <row r="120" spans="1:28" x14ac:dyDescent="0.2">
      <c r="C120" s="28" t="s">
        <v>443</v>
      </c>
      <c r="D120" s="28">
        <f>Source!BB61</f>
        <v>5.99</v>
      </c>
    </row>
    <row r="121" spans="1:28" x14ac:dyDescent="0.2">
      <c r="C121" s="28" t="s">
        <v>444</v>
      </c>
      <c r="D121" s="28">
        <f>Source!BC61</f>
        <v>5.99</v>
      </c>
    </row>
    <row r="122" spans="1:28" x14ac:dyDescent="0.2">
      <c r="C122" s="28" t="s">
        <v>445</v>
      </c>
      <c r="D122" s="28">
        <f>Source!BS61</f>
        <v>5.99</v>
      </c>
    </row>
    <row r="123" spans="1:28" x14ac:dyDescent="0.2">
      <c r="C123" s="11" t="s">
        <v>446</v>
      </c>
      <c r="D123" s="41"/>
      <c r="E123" s="41"/>
      <c r="F123" s="41">
        <f>Source!BZ61</f>
        <v>79</v>
      </c>
      <c r="G123" s="65">
        <f>(Source!AF61+Source!AE61)*Source!FX61/100</f>
        <v>1605.4617000000001</v>
      </c>
      <c r="H123" s="66">
        <f>Source!X61</f>
        <v>1294.42</v>
      </c>
    </row>
    <row r="124" spans="1:28" x14ac:dyDescent="0.2">
      <c r="C124" s="11" t="s">
        <v>448</v>
      </c>
      <c r="D124" s="41"/>
      <c r="E124" s="41"/>
      <c r="F124" s="41">
        <f>Source!CA61</f>
        <v>50</v>
      </c>
      <c r="G124" s="65">
        <f>(Source!AF61+Source!AE61)*Source!FY61/100</f>
        <v>1016.115</v>
      </c>
      <c r="H124" s="66">
        <f>Source!Y61</f>
        <v>819.25</v>
      </c>
    </row>
    <row r="125" spans="1:28" x14ac:dyDescent="0.2">
      <c r="C125" s="11" t="s">
        <v>450</v>
      </c>
      <c r="D125" s="41"/>
      <c r="E125" s="41"/>
      <c r="F125" s="41"/>
      <c r="G125" s="65">
        <f>((Source!AF61+Source!AE61)*Source!FX61/100)+((Source!AF61+Source!AE61)*Source!FY61/100)+Source!AB61</f>
        <v>5805.9467000000004</v>
      </c>
      <c r="H125" s="66">
        <f>Source!O61+Source!X61+Source!Y61</f>
        <v>4681.08</v>
      </c>
    </row>
    <row r="126" spans="1:28" ht="14.25" x14ac:dyDescent="0.2">
      <c r="A126" s="54">
        <v>20</v>
      </c>
      <c r="B126" s="54" t="str">
        <f>Source!E63</f>
        <v>6,1</v>
      </c>
      <c r="C126" s="54" t="str">
        <f>Source!G63</f>
        <v>Строительный мусор</v>
      </c>
      <c r="D126" s="54" t="str">
        <f>Source!F63</f>
        <v>01.7.07.07</v>
      </c>
      <c r="E126" s="37" t="str">
        <f>Source!H63</f>
        <v>т</v>
      </c>
      <c r="F126" s="14">
        <f>Source!I63</f>
        <v>0.45494800000000002</v>
      </c>
      <c r="G126" s="26">
        <f>Source!AB63</f>
        <v>0</v>
      </c>
      <c r="H126" s="27">
        <f>Source!O63</f>
        <v>0</v>
      </c>
      <c r="T126">
        <f>Source!O63+Source!X63+Source!Y63</f>
        <v>0</v>
      </c>
      <c r="U126">
        <f>Source!P63</f>
        <v>0</v>
      </c>
      <c r="V126">
        <f>Source!S63</f>
        <v>0</v>
      </c>
      <c r="W126">
        <f>Source!Q63</f>
        <v>0</v>
      </c>
      <c r="X126">
        <f>Source!R63</f>
        <v>0</v>
      </c>
      <c r="Y126">
        <f>Source!U63</f>
        <v>0</v>
      </c>
      <c r="Z126">
        <f>Source!V63</f>
        <v>0</v>
      </c>
      <c r="AA126">
        <f>Source!X63</f>
        <v>0</v>
      </c>
      <c r="AB126">
        <f>Source!Y63</f>
        <v>0</v>
      </c>
    </row>
    <row r="127" spans="1:28" ht="14.25" x14ac:dyDescent="0.2">
      <c r="C127" s="28" t="s">
        <v>444</v>
      </c>
      <c r="D127" s="28">
        <f>Source!BC63</f>
        <v>5.99</v>
      </c>
      <c r="F127" s="14"/>
      <c r="G127" s="14"/>
      <c r="H127" s="14"/>
    </row>
    <row r="128" spans="1:28" ht="71.25" x14ac:dyDescent="0.2">
      <c r="A128" s="54">
        <v>21</v>
      </c>
      <c r="B128" s="54" t="str">
        <f>Source!E65</f>
        <v>7</v>
      </c>
      <c r="C128" s="54" t="str">
        <f>Source!G65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D128" s="54" t="str">
        <f>Source!F65</f>
        <v>62-16-4</v>
      </c>
      <c r="E128" s="37" t="str">
        <f>Source!H65</f>
        <v>100 м2</v>
      </c>
      <c r="F128" s="14">
        <f>Source!I65</f>
        <v>0.1346</v>
      </c>
      <c r="G128" s="26">
        <f>Source!AB65</f>
        <v>759.03</v>
      </c>
      <c r="H128" s="27">
        <f>Source!O65</f>
        <v>611.97</v>
      </c>
      <c r="T128">
        <f>Source!O65+Source!X65+Source!Y65</f>
        <v>882.16</v>
      </c>
      <c r="U128">
        <f>Source!P65</f>
        <v>400.08</v>
      </c>
      <c r="V128">
        <f>Source!S65</f>
        <v>206.19</v>
      </c>
      <c r="W128">
        <f>Source!Q65</f>
        <v>5.7</v>
      </c>
      <c r="X128">
        <f>Source!R65</f>
        <v>1.65</v>
      </c>
      <c r="Y128">
        <f>Source!U65</f>
        <v>3.9841600000000001</v>
      </c>
      <c r="Z128">
        <f>Source!V65</f>
        <v>2.1536E-2</v>
      </c>
      <c r="AA128">
        <f>Source!X65</f>
        <v>166.27</v>
      </c>
      <c r="AB128">
        <f>Source!Y65</f>
        <v>103.92</v>
      </c>
    </row>
    <row r="129" spans="1:28" ht="14.25" x14ac:dyDescent="0.2">
      <c r="C129" s="28" t="str">
        <f>"Объем: "&amp;Source!I65&amp;"=13,46/"&amp;"100"</f>
        <v>Объем: 0,1346=13,46/100</v>
      </c>
      <c r="F129" s="14"/>
      <c r="G129" s="14"/>
      <c r="H129" s="14"/>
    </row>
    <row r="130" spans="1:28" x14ac:dyDescent="0.2">
      <c r="C130" s="28" t="s">
        <v>442</v>
      </c>
      <c r="D130" s="28">
        <f>Source!BA65</f>
        <v>5.99</v>
      </c>
    </row>
    <row r="131" spans="1:28" x14ac:dyDescent="0.2">
      <c r="C131" s="28" t="s">
        <v>443</v>
      </c>
      <c r="D131" s="28">
        <f>Source!BB65</f>
        <v>5.99</v>
      </c>
    </row>
    <row r="132" spans="1:28" x14ac:dyDescent="0.2">
      <c r="C132" s="28" t="s">
        <v>444</v>
      </c>
      <c r="D132" s="28">
        <f>Source!BC65</f>
        <v>5.99</v>
      </c>
    </row>
    <row r="133" spans="1:28" x14ac:dyDescent="0.2">
      <c r="C133" s="28" t="s">
        <v>445</v>
      </c>
      <c r="D133" s="28">
        <f>Source!BS65</f>
        <v>5.99</v>
      </c>
    </row>
    <row r="134" spans="1:28" x14ac:dyDescent="0.2">
      <c r="C134" s="11" t="s">
        <v>446</v>
      </c>
      <c r="D134" s="41"/>
      <c r="E134" s="41"/>
      <c r="F134" s="41">
        <f>Source!BZ65</f>
        <v>80</v>
      </c>
      <c r="G134" s="65">
        <f>(Source!AF65+Source!AE65)*Source!FX65/100</f>
        <v>206.232</v>
      </c>
      <c r="H134" s="66">
        <f>Source!X65</f>
        <v>166.27</v>
      </c>
    </row>
    <row r="135" spans="1:28" x14ac:dyDescent="0.2">
      <c r="C135" s="11" t="s">
        <v>448</v>
      </c>
      <c r="D135" s="41"/>
      <c r="E135" s="41"/>
      <c r="F135" s="41">
        <f>Source!CA65</f>
        <v>50</v>
      </c>
      <c r="G135" s="65">
        <f>(Source!AF65+Source!AE65)*Source!FY65/100</f>
        <v>128.89500000000001</v>
      </c>
      <c r="H135" s="66">
        <f>Source!Y65</f>
        <v>103.92</v>
      </c>
    </row>
    <row r="136" spans="1:28" x14ac:dyDescent="0.2">
      <c r="C136" s="11" t="s">
        <v>450</v>
      </c>
      <c r="D136" s="41"/>
      <c r="E136" s="41"/>
      <c r="F136" s="41"/>
      <c r="G136" s="65">
        <f>((Source!AF65+Source!AE65)*Source!FX65/100)+((Source!AF65+Source!AE65)*Source!FY65/100)+Source!AB65</f>
        <v>1094.1569999999999</v>
      </c>
      <c r="H136" s="66">
        <f>Source!O65+Source!X65+Source!Y65</f>
        <v>882.16</v>
      </c>
    </row>
    <row r="137" spans="1:28" ht="14.25" x14ac:dyDescent="0.2">
      <c r="A137" s="54">
        <v>22</v>
      </c>
      <c r="B137" s="54" t="str">
        <f>Source!E67</f>
        <v>7,1</v>
      </c>
      <c r="C137" s="54" t="str">
        <f>Source!G67</f>
        <v>Краска водоэмульсионная</v>
      </c>
      <c r="D137" s="54" t="str">
        <f>Source!F67</f>
        <v>14.3.02.01</v>
      </c>
      <c r="E137" s="37" t="str">
        <f>Source!H67</f>
        <v>т</v>
      </c>
      <c r="F137" s="14">
        <f>Source!I67</f>
        <v>9.5569999999999995E-3</v>
      </c>
      <c r="G137" s="26">
        <f>Source!AB67</f>
        <v>0</v>
      </c>
      <c r="H137" s="27">
        <f>Source!O67</f>
        <v>0</v>
      </c>
      <c r="T137">
        <f>Source!O67+Source!X67+Source!Y67</f>
        <v>0</v>
      </c>
      <c r="U137">
        <f>Source!P67</f>
        <v>0</v>
      </c>
      <c r="V137">
        <f>Source!S67</f>
        <v>0</v>
      </c>
      <c r="W137">
        <f>Source!Q67</f>
        <v>0</v>
      </c>
      <c r="X137">
        <f>Source!R67</f>
        <v>0</v>
      </c>
      <c r="Y137">
        <f>Source!U67</f>
        <v>0</v>
      </c>
      <c r="Z137">
        <f>Source!V67</f>
        <v>0</v>
      </c>
      <c r="AA137">
        <f>Source!X67</f>
        <v>0</v>
      </c>
      <c r="AB137">
        <f>Source!Y67</f>
        <v>0</v>
      </c>
    </row>
    <row r="138" spans="1:28" ht="14.25" x14ac:dyDescent="0.2">
      <c r="C138" s="28" t="s">
        <v>444</v>
      </c>
      <c r="D138" s="28">
        <f>Source!BC67</f>
        <v>5.99</v>
      </c>
      <c r="F138" s="14"/>
      <c r="G138" s="14"/>
      <c r="H138" s="14"/>
    </row>
    <row r="139" spans="1:28" ht="28.5" x14ac:dyDescent="0.2">
      <c r="A139" s="54">
        <v>23</v>
      </c>
      <c r="B139" s="54" t="str">
        <f>Source!E69</f>
        <v>7,2</v>
      </c>
      <c r="C139" s="54" t="str">
        <f>Source!G69</f>
        <v>Краска водоэмульсионная для внутренних работ ВАК-15</v>
      </c>
      <c r="D139" s="54" t="str">
        <f>Source!F69</f>
        <v>14.3.02.01-0223</v>
      </c>
      <c r="E139" s="37" t="str">
        <f>Source!H69</f>
        <v>т</v>
      </c>
      <c r="F139" s="14">
        <f>Source!I69</f>
        <v>9.5569999999999995E-3</v>
      </c>
      <c r="G139" s="26">
        <f>Source!AB69</f>
        <v>19973.669999999998</v>
      </c>
      <c r="H139" s="27">
        <f>Source!O69</f>
        <v>1143.42</v>
      </c>
      <c r="T139">
        <f>Source!O69+Source!X69+Source!Y69</f>
        <v>1143.42</v>
      </c>
      <c r="U139">
        <f>Source!P69</f>
        <v>1143.42</v>
      </c>
      <c r="V139">
        <f>Source!S69</f>
        <v>0</v>
      </c>
      <c r="W139">
        <f>Source!Q69</f>
        <v>0</v>
      </c>
      <c r="X139">
        <f>Source!R69</f>
        <v>0</v>
      </c>
      <c r="Y139">
        <f>Source!U69</f>
        <v>0</v>
      </c>
      <c r="Z139">
        <f>Source!V69</f>
        <v>0</v>
      </c>
      <c r="AA139">
        <f>Source!X69</f>
        <v>0</v>
      </c>
      <c r="AB139">
        <f>Source!Y69</f>
        <v>0</v>
      </c>
    </row>
    <row r="140" spans="1:28" ht="14.25" x14ac:dyDescent="0.2">
      <c r="C140" s="28" t="s">
        <v>444</v>
      </c>
      <c r="D140" s="28">
        <f>Source!BC69</f>
        <v>5.99</v>
      </c>
      <c r="F140" s="14"/>
      <c r="G140" s="14"/>
      <c r="H140" s="14"/>
    </row>
    <row r="141" spans="1:28" ht="71.25" x14ac:dyDescent="0.2">
      <c r="A141" s="54">
        <v>24</v>
      </c>
      <c r="B141" s="54" t="str">
        <f>Source!E71</f>
        <v>8</v>
      </c>
      <c r="C141" s="54" t="str">
        <f>Source!G71</f>
        <v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v>
      </c>
      <c r="D141" s="54" t="str">
        <f>Source!F71</f>
        <v>61-10-3</v>
      </c>
      <c r="E141" s="37" t="str">
        <f>Source!H71</f>
        <v>100 м2</v>
      </c>
      <c r="F141" s="14">
        <f>Source!I71</f>
        <v>7.3400000000000007E-2</v>
      </c>
      <c r="G141" s="26">
        <f>Source!AB71</f>
        <v>2786.77</v>
      </c>
      <c r="H141" s="27">
        <f>Source!O71</f>
        <v>1225.25</v>
      </c>
      <c r="T141">
        <f>Source!O71+Source!X71+Source!Y71</f>
        <v>2158.4299999999998</v>
      </c>
      <c r="U141">
        <f>Source!P71</f>
        <v>501.33</v>
      </c>
      <c r="V141">
        <f>Source!S71</f>
        <v>723.39</v>
      </c>
      <c r="W141">
        <f>Source!Q71</f>
        <v>0.53</v>
      </c>
      <c r="X141">
        <f>Source!R71</f>
        <v>0</v>
      </c>
      <c r="Y141">
        <f>Source!U71</f>
        <v>13.817550000000001</v>
      </c>
      <c r="Z141">
        <f>Source!V71</f>
        <v>0</v>
      </c>
      <c r="AA141">
        <f>Source!X71</f>
        <v>571.48</v>
      </c>
      <c r="AB141">
        <f>Source!Y71</f>
        <v>361.7</v>
      </c>
    </row>
    <row r="142" spans="1:28" ht="14.25" x14ac:dyDescent="0.2">
      <c r="C142" s="28" t="str">
        <f>"Объем: "&amp;Source!I71&amp;"=7,34/"&amp;"100"</f>
        <v>Объем: 0,0734=7,34/100</v>
      </c>
      <c r="F142" s="14"/>
      <c r="G142" s="14"/>
      <c r="H142" s="14"/>
    </row>
    <row r="143" spans="1:28" x14ac:dyDescent="0.2">
      <c r="C143" s="28" t="s">
        <v>442</v>
      </c>
      <c r="D143" s="28">
        <f>Source!BA71</f>
        <v>5.99</v>
      </c>
    </row>
    <row r="144" spans="1:28" x14ac:dyDescent="0.2">
      <c r="C144" s="28" t="s">
        <v>443</v>
      </c>
      <c r="D144" s="28">
        <f>Source!BB71</f>
        <v>5.99</v>
      </c>
    </row>
    <row r="145" spans="1:28" x14ac:dyDescent="0.2">
      <c r="C145" s="28" t="s">
        <v>444</v>
      </c>
      <c r="D145" s="28">
        <f>Source!BC71</f>
        <v>5.99</v>
      </c>
    </row>
    <row r="146" spans="1:28" x14ac:dyDescent="0.2">
      <c r="C146" s="28" t="s">
        <v>445</v>
      </c>
      <c r="D146" s="28">
        <f>Source!BS71</f>
        <v>5.99</v>
      </c>
    </row>
    <row r="147" spans="1:28" x14ac:dyDescent="0.2">
      <c r="C147" s="11" t="s">
        <v>446</v>
      </c>
      <c r="D147" s="41"/>
      <c r="E147" s="41"/>
      <c r="F147" s="41">
        <f>Source!BZ71</f>
        <v>79</v>
      </c>
      <c r="G147" s="65">
        <f>(Source!AF71+Source!AE71)*Source!FX71/100</f>
        <v>1299.7948999999999</v>
      </c>
      <c r="H147" s="66">
        <f>Source!X71</f>
        <v>571.48</v>
      </c>
    </row>
    <row r="148" spans="1:28" x14ac:dyDescent="0.2">
      <c r="C148" s="11" t="s">
        <v>448</v>
      </c>
      <c r="D148" s="41"/>
      <c r="E148" s="41"/>
      <c r="F148" s="41">
        <f>Source!CA71</f>
        <v>50</v>
      </c>
      <c r="G148" s="65">
        <f>(Source!AF71+Source!AE71)*Source!FY71/100</f>
        <v>822.65499999999997</v>
      </c>
      <c r="H148" s="66">
        <f>Source!Y71</f>
        <v>361.7</v>
      </c>
    </row>
    <row r="149" spans="1:28" x14ac:dyDescent="0.2">
      <c r="C149" s="11" t="s">
        <v>450</v>
      </c>
      <c r="D149" s="41"/>
      <c r="E149" s="41"/>
      <c r="F149" s="41"/>
      <c r="G149" s="65">
        <f>((Source!AF71+Source!AE71)*Source!FX71/100)+((Source!AF71+Source!AE71)*Source!FY71/100)+Source!AB71</f>
        <v>4909.2199000000001</v>
      </c>
      <c r="H149" s="66">
        <f>Source!O71+Source!X71+Source!Y71</f>
        <v>2158.4299999999998</v>
      </c>
    </row>
    <row r="150" spans="1:28" ht="14.25" x14ac:dyDescent="0.2">
      <c r="A150" s="54">
        <v>25</v>
      </c>
      <c r="B150" s="54" t="str">
        <f>Source!E73</f>
        <v>8,1</v>
      </c>
      <c r="C150" s="54" t="str">
        <f>Source!G73</f>
        <v>Строительный мусор</v>
      </c>
      <c r="D150" s="54" t="str">
        <f>Source!F73</f>
        <v>01.7.07.07</v>
      </c>
      <c r="E150" s="37" t="str">
        <f>Source!H73</f>
        <v>т</v>
      </c>
      <c r="F150" s="14">
        <f>Source!I73</f>
        <v>0.35525600000000002</v>
      </c>
      <c r="G150" s="26">
        <f>Source!AB73</f>
        <v>0</v>
      </c>
      <c r="H150" s="27">
        <f>Source!O73</f>
        <v>0</v>
      </c>
      <c r="T150">
        <f>Source!O73+Source!X73+Source!Y73</f>
        <v>0</v>
      </c>
      <c r="U150">
        <f>Source!P73</f>
        <v>0</v>
      </c>
      <c r="V150">
        <f>Source!S73</f>
        <v>0</v>
      </c>
      <c r="W150">
        <f>Source!Q73</f>
        <v>0</v>
      </c>
      <c r="X150">
        <f>Source!R73</f>
        <v>0</v>
      </c>
      <c r="Y150">
        <f>Source!U73</f>
        <v>0</v>
      </c>
      <c r="Z150">
        <f>Source!V73</f>
        <v>0</v>
      </c>
      <c r="AA150">
        <f>Source!X73</f>
        <v>0</v>
      </c>
      <c r="AB150">
        <f>Source!Y73</f>
        <v>0</v>
      </c>
    </row>
    <row r="151" spans="1:28" ht="14.25" x14ac:dyDescent="0.2">
      <c r="C151" s="28" t="s">
        <v>444</v>
      </c>
      <c r="D151" s="28">
        <f>Source!BC73</f>
        <v>5.99</v>
      </c>
      <c r="F151" s="14"/>
      <c r="G151" s="14"/>
      <c r="H151" s="14"/>
    </row>
    <row r="152" spans="1:28" ht="42.75" x14ac:dyDescent="0.2">
      <c r="A152" s="54">
        <v>26</v>
      </c>
      <c r="B152" s="54" t="str">
        <f>Source!E75</f>
        <v>9</v>
      </c>
      <c r="C152" s="54" t="str">
        <f>Source!G75</f>
        <v>Окраска фасадов с лесов с подготовкой поверхности перхлорвиниловая</v>
      </c>
      <c r="D152" s="54" t="str">
        <f>Source!F75</f>
        <v>15-04-012-01</v>
      </c>
      <c r="E152" s="37" t="str">
        <f>Source!H75</f>
        <v>100 м2</v>
      </c>
      <c r="F152" s="14">
        <f>Source!I75</f>
        <v>7.3400000000000007E-2</v>
      </c>
      <c r="G152" s="26">
        <f>Source!AB75</f>
        <v>685.42</v>
      </c>
      <c r="H152" s="27">
        <f>Source!O75</f>
        <v>301.36</v>
      </c>
      <c r="T152">
        <f>Source!O75+Source!X75+Source!Y75</f>
        <v>383.72</v>
      </c>
      <c r="U152">
        <f>Source!P75</f>
        <v>240.32</v>
      </c>
      <c r="V152">
        <f>Source!S75</f>
        <v>57.39</v>
      </c>
      <c r="W152">
        <f>Source!Q75</f>
        <v>3.65</v>
      </c>
      <c r="X152">
        <f>Source!R75</f>
        <v>0.61</v>
      </c>
      <c r="Y152">
        <f>Source!U75</f>
        <v>1.0562260000000001</v>
      </c>
      <c r="Z152">
        <f>Source!V75</f>
        <v>8.8079999999999999E-3</v>
      </c>
      <c r="AA152">
        <f>Source!X75</f>
        <v>55.1</v>
      </c>
      <c r="AB152">
        <f>Source!Y75</f>
        <v>27.26</v>
      </c>
    </row>
    <row r="153" spans="1:28" ht="14.25" x14ac:dyDescent="0.2">
      <c r="C153" s="28" t="str">
        <f>"Объем: "&amp;Source!I75&amp;"=7,34/"&amp;"100"</f>
        <v>Объем: 0,0734=7,34/100</v>
      </c>
      <c r="F153" s="14"/>
      <c r="G153" s="14"/>
      <c r="H153" s="14"/>
    </row>
    <row r="154" spans="1:28" x14ac:dyDescent="0.2">
      <c r="C154" s="28" t="s">
        <v>442</v>
      </c>
      <c r="D154" s="28">
        <f>Source!BA75</f>
        <v>5.99</v>
      </c>
    </row>
    <row r="155" spans="1:28" x14ac:dyDescent="0.2">
      <c r="C155" s="28" t="s">
        <v>443</v>
      </c>
      <c r="D155" s="28">
        <f>Source!BB75</f>
        <v>5.99</v>
      </c>
    </row>
    <row r="156" spans="1:28" x14ac:dyDescent="0.2">
      <c r="C156" s="28" t="s">
        <v>444</v>
      </c>
      <c r="D156" s="28">
        <f>Source!BC75</f>
        <v>5.99</v>
      </c>
    </row>
    <row r="157" spans="1:28" x14ac:dyDescent="0.2">
      <c r="C157" s="28" t="s">
        <v>445</v>
      </c>
      <c r="D157" s="28">
        <f>Source!BS75</f>
        <v>5.99</v>
      </c>
    </row>
    <row r="158" spans="1:28" x14ac:dyDescent="0.2">
      <c r="C158" s="11" t="s">
        <v>446</v>
      </c>
      <c r="D158" s="41"/>
      <c r="E158" s="41"/>
      <c r="F158" s="41">
        <f>Source!BZ75</f>
        <v>105</v>
      </c>
      <c r="G158" s="65">
        <f>(Source!AF75+Source!AE75)*Source!FX75/100</f>
        <v>124.65494999999999</v>
      </c>
      <c r="H158" s="66">
        <f>Source!X75</f>
        <v>55.1</v>
      </c>
    </row>
    <row r="159" spans="1:28" x14ac:dyDescent="0.2">
      <c r="C159" s="11" t="s">
        <v>447</v>
      </c>
      <c r="D159" s="41"/>
      <c r="E159" s="41"/>
      <c r="F159" s="41"/>
      <c r="G159" s="41" t="str">
        <f>CONCATENATE(Source!DL75,Source!FT75, "=", Source!FX75, "%")</f>
        <v>*0,9=94,5%</v>
      </c>
      <c r="H159" s="41" t="str">
        <f>CONCATENATE(Source!AT75)</f>
        <v>95</v>
      </c>
    </row>
    <row r="160" spans="1:28" x14ac:dyDescent="0.2">
      <c r="C160" s="11" t="s">
        <v>448</v>
      </c>
      <c r="D160" s="41"/>
      <c r="E160" s="41"/>
      <c r="F160" s="41">
        <f>Source!CA75</f>
        <v>55</v>
      </c>
      <c r="G160" s="65">
        <f>(Source!AF75+Source!AE75)*Source!FY75/100</f>
        <v>61.667924999999997</v>
      </c>
      <c r="H160" s="66">
        <f>Source!Y75</f>
        <v>27.26</v>
      </c>
    </row>
    <row r="161" spans="1:28" x14ac:dyDescent="0.2">
      <c r="C161" s="11" t="s">
        <v>449</v>
      </c>
      <c r="D161" s="41"/>
      <c r="E161" s="41"/>
      <c r="F161" s="41"/>
      <c r="G161" s="41" t="str">
        <f>CONCATENATE(Source!DM75,Source!FU75, "=", Source!FY75, "%")</f>
        <v>*0,85=46,75%</v>
      </c>
      <c r="H161" s="41" t="str">
        <f>CONCATENATE(Source!AU75)</f>
        <v>47</v>
      </c>
    </row>
    <row r="162" spans="1:28" x14ac:dyDescent="0.2">
      <c r="C162" s="11" t="s">
        <v>450</v>
      </c>
      <c r="D162" s="41"/>
      <c r="E162" s="41"/>
      <c r="F162" s="41"/>
      <c r="G162" s="65">
        <f>((Source!AF75+Source!AE75)*Source!FX75/100)+((Source!AF75+Source!AE75)*Source!FY75/100)+Source!AB75</f>
        <v>871.74287499999991</v>
      </c>
      <c r="H162" s="66">
        <f>Source!O75+Source!X75+Source!Y75</f>
        <v>383.72</v>
      </c>
    </row>
    <row r="163" spans="1:28" ht="14.25" x14ac:dyDescent="0.2">
      <c r="A163" s="54">
        <v>27</v>
      </c>
      <c r="B163" s="54" t="str">
        <f>Source!E77</f>
        <v>9,1</v>
      </c>
      <c r="C163" s="54" t="str">
        <f>Source!G77</f>
        <v>Краски перхлорвиниловые</v>
      </c>
      <c r="D163" s="54" t="str">
        <f>Source!F77</f>
        <v>14.4.02.07</v>
      </c>
      <c r="E163" s="37" t="str">
        <f>Source!H77</f>
        <v>т</v>
      </c>
      <c r="F163" s="14">
        <f>Source!I77</f>
        <v>4.3309999999999998E-3</v>
      </c>
      <c r="G163" s="26">
        <f>Source!AB77</f>
        <v>0</v>
      </c>
      <c r="H163" s="27">
        <f>Source!O77</f>
        <v>0</v>
      </c>
      <c r="T163">
        <f>Source!O77+Source!X77+Source!Y77</f>
        <v>0</v>
      </c>
      <c r="U163">
        <f>Source!P77</f>
        <v>0</v>
      </c>
      <c r="V163">
        <f>Source!S77</f>
        <v>0</v>
      </c>
      <c r="W163">
        <f>Source!Q77</f>
        <v>0</v>
      </c>
      <c r="X163">
        <f>Source!R77</f>
        <v>0</v>
      </c>
      <c r="Y163">
        <f>Source!U77</f>
        <v>0</v>
      </c>
      <c r="Z163">
        <f>Source!V77</f>
        <v>0</v>
      </c>
      <c r="AA163">
        <f>Source!X77</f>
        <v>0</v>
      </c>
      <c r="AB163">
        <f>Source!Y77</f>
        <v>0</v>
      </c>
    </row>
    <row r="164" spans="1:28" ht="14.25" x14ac:dyDescent="0.2">
      <c r="C164" s="28" t="s">
        <v>444</v>
      </c>
      <c r="D164" s="28">
        <f>Source!BC77</f>
        <v>5.99</v>
      </c>
      <c r="F164" s="14"/>
      <c r="G164" s="14"/>
      <c r="H164" s="14"/>
    </row>
    <row r="165" spans="1:28" ht="28.5" x14ac:dyDescent="0.2">
      <c r="A165" s="54">
        <v>28</v>
      </c>
      <c r="B165" s="54" t="str">
        <f>Source!E79</f>
        <v>9,2</v>
      </c>
      <c r="C165" s="54" t="str">
        <f>Source!G79</f>
        <v>Краска ХВ-161 перхлорвиниловая фасадная марок А, Б</v>
      </c>
      <c r="D165" s="54" t="str">
        <f>Source!F79</f>
        <v>14.4.02.07-0002</v>
      </c>
      <c r="E165" s="37" t="str">
        <f>Source!H79</f>
        <v>т</v>
      </c>
      <c r="F165" s="14">
        <f>Source!I79</f>
        <v>4.3309999999999998E-3</v>
      </c>
      <c r="G165" s="26">
        <f>Source!AB79</f>
        <v>15989</v>
      </c>
      <c r="H165" s="27">
        <f>Source!O79</f>
        <v>414.8</v>
      </c>
      <c r="T165">
        <f>Source!O79+Source!X79+Source!Y79</f>
        <v>414.8</v>
      </c>
      <c r="U165">
        <f>Source!P79</f>
        <v>414.8</v>
      </c>
      <c r="V165">
        <f>Source!S79</f>
        <v>0</v>
      </c>
      <c r="W165">
        <f>Source!Q79</f>
        <v>0</v>
      </c>
      <c r="X165">
        <f>Source!R79</f>
        <v>0</v>
      </c>
      <c r="Y165">
        <f>Source!U79</f>
        <v>0</v>
      </c>
      <c r="Z165">
        <f>Source!V79</f>
        <v>0</v>
      </c>
      <c r="AA165">
        <f>Source!X79</f>
        <v>0</v>
      </c>
      <c r="AB165">
        <f>Source!Y79</f>
        <v>0</v>
      </c>
    </row>
    <row r="166" spans="1:28" ht="14.25" x14ac:dyDescent="0.2">
      <c r="C166" s="28" t="s">
        <v>444</v>
      </c>
      <c r="D166" s="28">
        <f>Source!BC79</f>
        <v>5.99</v>
      </c>
      <c r="F166" s="14"/>
      <c r="G166" s="14"/>
      <c r="H166" s="14"/>
    </row>
    <row r="167" spans="1:28" ht="42.75" x14ac:dyDescent="0.2">
      <c r="A167" s="54">
        <v>29</v>
      </c>
      <c r="B167" s="54" t="str">
        <f>Source!E81</f>
        <v>10</v>
      </c>
      <c r="C167" s="54" t="str">
        <f>Source!G81</f>
        <v>Погрузочные работы при автомобильных перевозках мусора строительного с погрузкой вручную</v>
      </c>
      <c r="D167" s="54" t="str">
        <f>Source!F81</f>
        <v>т01-01-01-041</v>
      </c>
      <c r="E167" s="37" t="str">
        <f>Source!H81</f>
        <v>1 Т ГРУЗА</v>
      </c>
      <c r="F167" s="14">
        <f>Source!I81</f>
        <v>3.1</v>
      </c>
      <c r="G167" s="26">
        <f>Source!AB81</f>
        <v>42.98</v>
      </c>
      <c r="H167" s="27">
        <f>Source!GM81</f>
        <v>798.1</v>
      </c>
      <c r="T167">
        <f>Source!GM81</f>
        <v>798.1</v>
      </c>
      <c r="U167">
        <f>Source!P81</f>
        <v>0</v>
      </c>
      <c r="V167">
        <f>Source!S81</f>
        <v>0</v>
      </c>
      <c r="W167">
        <f>Source!Q81</f>
        <v>0</v>
      </c>
      <c r="X167">
        <f>Source!R81</f>
        <v>0</v>
      </c>
      <c r="Y167">
        <f>Source!U81</f>
        <v>0</v>
      </c>
      <c r="Z167">
        <f>Source!V81</f>
        <v>0</v>
      </c>
      <c r="AA167">
        <f>Source!X81</f>
        <v>0</v>
      </c>
      <c r="AB167">
        <f>Source!Y81</f>
        <v>0</v>
      </c>
    </row>
    <row r="168" spans="1:28" ht="14.25" x14ac:dyDescent="0.2">
      <c r="C168" s="28" t="s">
        <v>451</v>
      </c>
      <c r="D168" s="28">
        <f>Source!AZ81</f>
        <v>5.99</v>
      </c>
      <c r="F168" s="14"/>
      <c r="G168" s="14"/>
      <c r="H168" s="14"/>
    </row>
    <row r="169" spans="1:28" ht="57" x14ac:dyDescent="0.2">
      <c r="A169" s="54">
        <v>30</v>
      </c>
      <c r="B169" s="54" t="str">
        <f>Source!E83</f>
        <v>11</v>
      </c>
      <c r="C169" s="54" t="str">
        <f>Source!G83</f>
        <v>Перевозка грузов I класса автомобилями-самосвалами грузоподъемностью 10 т работающих вне карьера на расстояние до 15 км</v>
      </c>
      <c r="D169" s="54" t="str">
        <f>Source!F83</f>
        <v>т03-21-01-015</v>
      </c>
      <c r="E169" s="37" t="str">
        <f>Source!H83</f>
        <v>1 Т ГРУЗА</v>
      </c>
      <c r="F169" s="14">
        <f>Source!I83</f>
        <v>3.1</v>
      </c>
      <c r="G169" s="26">
        <f>Source!AB83</f>
        <v>13.38</v>
      </c>
      <c r="H169" s="27">
        <f>Source!GM83</f>
        <v>248.45</v>
      </c>
      <c r="T169">
        <f>Source!GM83</f>
        <v>248.45</v>
      </c>
      <c r="U169">
        <f>Source!P83</f>
        <v>0</v>
      </c>
      <c r="V169">
        <f>Source!S83</f>
        <v>0</v>
      </c>
      <c r="W169">
        <f>Source!Q83</f>
        <v>0</v>
      </c>
      <c r="X169">
        <f>Source!R83</f>
        <v>0</v>
      </c>
      <c r="Y169">
        <f>Source!U83</f>
        <v>0</v>
      </c>
      <c r="Z169">
        <f>Source!V83</f>
        <v>0</v>
      </c>
      <c r="AA169">
        <f>Source!X83</f>
        <v>0</v>
      </c>
      <c r="AB169">
        <f>Source!Y83</f>
        <v>0</v>
      </c>
    </row>
    <row r="170" spans="1:28" ht="14.25" x14ac:dyDescent="0.2">
      <c r="C170" s="28" t="s">
        <v>451</v>
      </c>
      <c r="D170" s="28">
        <f>Source!AZ83</f>
        <v>5.99</v>
      </c>
      <c r="F170" s="14"/>
      <c r="G170" s="14"/>
      <c r="H170" s="14"/>
    </row>
    <row r="172" spans="1:28" ht="15" x14ac:dyDescent="0.25">
      <c r="A172" s="67"/>
      <c r="B172" s="67"/>
      <c r="C172" s="105" t="str">
        <f>CONCATENATE("Итого по локальной смете: ",IF(Source!G85&lt;&gt;"Новая локальная смета", Source!G85, ""))</f>
        <v xml:space="preserve">Итого по локальной смете: </v>
      </c>
      <c r="D172" s="105"/>
      <c r="E172" s="105"/>
      <c r="F172" s="105"/>
      <c r="G172" s="67"/>
      <c r="H172" s="68">
        <f>IF(SUM(T37:T171)=0, "-", SUM(T37:T171))</f>
        <v>1294232.0099999998</v>
      </c>
    </row>
    <row r="173" spans="1:28" ht="15" x14ac:dyDescent="0.25">
      <c r="A173" s="67"/>
      <c r="B173" s="67"/>
      <c r="C173" s="67"/>
      <c r="D173" s="67"/>
      <c r="E173" s="67"/>
      <c r="F173" s="67"/>
      <c r="G173" s="67"/>
      <c r="H173" s="67"/>
    </row>
    <row r="175" spans="1:28" ht="14.25" x14ac:dyDescent="0.2">
      <c r="C175" s="133" t="str">
        <f>Source!H118</f>
        <v>Итого</v>
      </c>
      <c r="D175" s="133"/>
      <c r="E175" s="133"/>
      <c r="F175" s="133"/>
      <c r="G175" s="101">
        <f>IF(Source!P118=0, "", Source!P118)</f>
        <v>1293185.46</v>
      </c>
      <c r="H175" s="101"/>
    </row>
    <row r="176" spans="1:28" ht="14.25" x14ac:dyDescent="0.2">
      <c r="C176" s="133" t="str">
        <f>Source!H119</f>
        <v>НДС 18%</v>
      </c>
      <c r="D176" s="133"/>
      <c r="E176" s="133"/>
      <c r="F176" s="133"/>
      <c r="G176" s="101">
        <f>IF(Source!P119=0, "", Source!P119)</f>
        <v>232773.38</v>
      </c>
      <c r="H176" s="101"/>
    </row>
    <row r="177" spans="1:33" ht="14.25" x14ac:dyDescent="0.2">
      <c r="C177" s="133" t="str">
        <f>Source!H120</f>
        <v>Всего</v>
      </c>
      <c r="D177" s="133"/>
      <c r="E177" s="133"/>
      <c r="F177" s="133"/>
      <c r="G177" s="101">
        <f>IF(Source!P120=0, "", Source!P120)</f>
        <v>1525958.84</v>
      </c>
      <c r="H177" s="101"/>
    </row>
    <row r="179" spans="1:33" ht="30" x14ac:dyDescent="0.25">
      <c r="A179" s="67"/>
      <c r="B179" s="67"/>
      <c r="C179" s="105" t="str">
        <f>CONCATENATE("Итого по смете: ",IF(Source!G122&lt;&gt;"Новый объект", Source!G122, ""))</f>
        <v>Итого по смете: Капитальный ремонт окооных проемов в актовом зале учебного корпуса общежития ДИТИ НИЯУ МИФИ_</v>
      </c>
      <c r="D179" s="105"/>
      <c r="E179" s="105"/>
      <c r="F179" s="105"/>
      <c r="G179" s="67"/>
      <c r="H179" s="68">
        <f>IF(SUM(T1:T178)=0, "-", SUM(T1:T178))</f>
        <v>1294232.0099999998</v>
      </c>
      <c r="AG179" s="69" t="str">
        <f>CONCATENATE("Итого по смете: ",IF(Source!G122&lt;&gt;"Новый объект", Source!G122, ""))</f>
        <v>Итого по смете: Капитальный ремонт окооных проемов в актовом зале учебного корпуса общежития ДИТИ НИЯУ МИФИ_</v>
      </c>
    </row>
    <row r="180" spans="1:33" ht="15" x14ac:dyDescent="0.25">
      <c r="A180" s="67"/>
      <c r="B180" s="67"/>
      <c r="C180" s="67"/>
      <c r="D180" s="67"/>
      <c r="E180" s="67"/>
      <c r="F180" s="67"/>
      <c r="G180" s="67"/>
      <c r="H180" s="67"/>
    </row>
    <row r="181" spans="1:33" ht="14.25" x14ac:dyDescent="0.2">
      <c r="C181" s="133" t="str">
        <f>Source!H155</f>
        <v>Итого</v>
      </c>
      <c r="D181" s="133"/>
      <c r="E181" s="133"/>
      <c r="F181" s="133"/>
      <c r="G181" s="101">
        <f>IF(Source!P155=0, "", Source!P155)</f>
        <v>1293185.46</v>
      </c>
      <c r="H181" s="101"/>
    </row>
    <row r="182" spans="1:33" ht="14.25" x14ac:dyDescent="0.2">
      <c r="C182" s="133" t="str">
        <f>Source!H156</f>
        <v>НДС 18%</v>
      </c>
      <c r="D182" s="133"/>
      <c r="E182" s="133"/>
      <c r="F182" s="133"/>
      <c r="G182" s="101">
        <f>IF(Source!P156=0, "", Source!P156)</f>
        <v>232773.38</v>
      </c>
      <c r="H182" s="101"/>
    </row>
    <row r="183" spans="1:33" ht="14.25" x14ac:dyDescent="0.2">
      <c r="C183" s="133" t="str">
        <f>Source!H157</f>
        <v>Всего</v>
      </c>
      <c r="D183" s="133"/>
      <c r="E183" s="133"/>
      <c r="F183" s="133"/>
      <c r="G183" s="101">
        <f>IF(Source!P157=0, "", Source!P157)</f>
        <v>1525958.84</v>
      </c>
      <c r="H183" s="101"/>
    </row>
    <row r="186" spans="1:33" ht="15" thickBot="1" x14ac:dyDescent="0.25">
      <c r="A186" s="136" t="s">
        <v>452</v>
      </c>
      <c r="B186" s="136"/>
      <c r="C186" s="70" t="str">
        <f>IF(Source!AC12&lt;&gt;"", Source!AC12," ")</f>
        <v xml:space="preserve"> </v>
      </c>
      <c r="D186" s="14"/>
      <c r="E186" s="71"/>
      <c r="F186" s="14"/>
      <c r="G186" s="137" t="str">
        <f>IF(Source!AB12&lt;&gt;"", Source!AB12," ")</f>
        <v xml:space="preserve"> </v>
      </c>
      <c r="H186" s="137"/>
      <c r="I186" s="14"/>
      <c r="J186" s="14"/>
      <c r="K186" s="14"/>
      <c r="L186" s="14"/>
    </row>
    <row r="187" spans="1:33" ht="14.25" x14ac:dyDescent="0.2">
      <c r="A187" s="14"/>
      <c r="B187" s="14"/>
      <c r="C187" s="72" t="s">
        <v>453</v>
      </c>
      <c r="D187" s="14"/>
      <c r="E187" s="72" t="s">
        <v>454</v>
      </c>
      <c r="F187" s="14"/>
      <c r="G187" s="135" t="s">
        <v>455</v>
      </c>
      <c r="H187" s="135"/>
      <c r="I187" s="14"/>
      <c r="J187" s="14"/>
      <c r="K187" s="14"/>
      <c r="L187" s="14"/>
    </row>
    <row r="188" spans="1:33" ht="14.25" x14ac:dyDescent="0.2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</row>
    <row r="189" spans="1:33" ht="14.25" x14ac:dyDescent="0.2">
      <c r="A189" s="14"/>
      <c r="B189" s="14"/>
      <c r="C189" s="16" t="s">
        <v>456</v>
      </c>
      <c r="D189" s="14"/>
      <c r="E189" s="14"/>
      <c r="F189" s="14"/>
      <c r="G189" s="14"/>
      <c r="H189" s="14"/>
      <c r="I189" s="14"/>
      <c r="J189" s="14"/>
      <c r="K189" s="14"/>
      <c r="L189" s="14"/>
    </row>
    <row r="190" spans="1:33" ht="14.25" x14ac:dyDescent="0.2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</row>
    <row r="191" spans="1:33" ht="15" thickBot="1" x14ac:dyDescent="0.25">
      <c r="A191" s="136" t="s">
        <v>457</v>
      </c>
      <c r="B191" s="136"/>
      <c r="C191" s="70" t="str">
        <f>IF(Source!AG12&lt;&gt;"", Source!AG12," ")</f>
        <v xml:space="preserve"> </v>
      </c>
      <c r="D191" s="14"/>
      <c r="E191" s="71"/>
      <c r="F191" s="14"/>
      <c r="G191" s="137" t="str">
        <f>IF(Source!AF12&lt;&gt;"", Source!AF12," ")</f>
        <v xml:space="preserve"> </v>
      </c>
      <c r="H191" s="137"/>
      <c r="I191" s="14"/>
      <c r="J191" s="14"/>
      <c r="K191" s="14"/>
      <c r="L191" s="14"/>
    </row>
    <row r="192" spans="1:33" ht="14.25" x14ac:dyDescent="0.2">
      <c r="A192" s="14"/>
      <c r="B192" s="14"/>
      <c r="C192" s="72" t="s">
        <v>453</v>
      </c>
      <c r="D192" s="14"/>
      <c r="E192" s="72" t="s">
        <v>454</v>
      </c>
      <c r="F192" s="14"/>
      <c r="G192" s="135" t="s">
        <v>455</v>
      </c>
      <c r="H192" s="135"/>
      <c r="I192" s="14"/>
      <c r="J192" s="14"/>
      <c r="K192" s="14"/>
      <c r="L192" s="14"/>
    </row>
    <row r="193" spans="1:12" ht="14.25" x14ac:dyDescent="0.2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</row>
    <row r="194" spans="1:12" ht="14.25" x14ac:dyDescent="0.2">
      <c r="A194" s="14"/>
      <c r="B194" s="14"/>
      <c r="C194" s="16" t="s">
        <v>456</v>
      </c>
      <c r="D194" s="14"/>
      <c r="E194" s="14"/>
      <c r="F194" s="14"/>
      <c r="G194" s="14"/>
      <c r="H194" s="14"/>
      <c r="I194" s="14"/>
      <c r="J194" s="14"/>
      <c r="K194" s="14"/>
      <c r="L194" s="14"/>
    </row>
  </sheetData>
  <mergeCells count="58">
    <mergeCell ref="G192:H192"/>
    <mergeCell ref="C183:F183"/>
    <mergeCell ref="G183:H183"/>
    <mergeCell ref="A186:B186"/>
    <mergeCell ref="G186:H186"/>
    <mergeCell ref="G187:H187"/>
    <mergeCell ref="A191:B191"/>
    <mergeCell ref="G191:H191"/>
    <mergeCell ref="C182:F182"/>
    <mergeCell ref="G182:H182"/>
    <mergeCell ref="A37:H37"/>
    <mergeCell ref="C172:F172"/>
    <mergeCell ref="C175:F175"/>
    <mergeCell ref="G175:H175"/>
    <mergeCell ref="C176:F176"/>
    <mergeCell ref="G176:H176"/>
    <mergeCell ref="C177:F177"/>
    <mergeCell ref="G177:H177"/>
    <mergeCell ref="C179:F179"/>
    <mergeCell ref="C181:F181"/>
    <mergeCell ref="G181:H181"/>
    <mergeCell ref="F31:G31"/>
    <mergeCell ref="A33:B33"/>
    <mergeCell ref="C33:C34"/>
    <mergeCell ref="D33:D34"/>
    <mergeCell ref="E33:E34"/>
    <mergeCell ref="F33:H33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8:H9"/>
    <mergeCell ref="C9:E9"/>
    <mergeCell ref="E2:H2"/>
    <mergeCell ref="E3:H3"/>
    <mergeCell ref="E4:H4"/>
    <mergeCell ref="G6:H6"/>
    <mergeCell ref="G7:H7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75"/>
  <sheetViews>
    <sheetView zoomScaleNormal="100" workbookViewId="0"/>
  </sheetViews>
  <sheetFormatPr defaultRowHeight="12.75" x14ac:dyDescent="0.2"/>
  <cols>
    <col min="1" max="1" width="6.7109375" customWidth="1"/>
    <col min="2" max="2" width="5.7109375" customWidth="1"/>
    <col min="3" max="3" width="15.7109375" customWidth="1"/>
    <col min="4" max="4" width="40.7109375" customWidth="1"/>
    <col min="5" max="8" width="13.7109375" customWidth="1"/>
    <col min="9" max="9" width="10.7109375" customWidth="1"/>
    <col min="10" max="10" width="13.7109375" customWidth="1"/>
    <col min="15" max="28" width="0" hidden="1" customWidth="1"/>
    <col min="29" max="29" width="97.7109375" hidden="1" customWidth="1"/>
    <col min="30" max="31" width="0" hidden="1" customWidth="1"/>
    <col min="32" max="32" width="95.7109375" hidden="1" customWidth="1"/>
    <col min="33" max="36" width="0" hidden="1" customWidth="1"/>
  </cols>
  <sheetData>
    <row r="1" spans="1:29" x14ac:dyDescent="0.2">
      <c r="A1" s="12" t="str">
        <f>Source!B1</f>
        <v>Smeta.RU  (495) 974-1589</v>
      </c>
    </row>
    <row r="2" spans="1:29" ht="14.25" x14ac:dyDescent="0.2">
      <c r="A2" s="108"/>
      <c r="B2" s="108"/>
      <c r="C2" s="108"/>
      <c r="D2" s="108"/>
      <c r="E2" s="108"/>
      <c r="F2" s="39"/>
      <c r="G2" s="115" t="s">
        <v>403</v>
      </c>
      <c r="H2" s="115"/>
      <c r="I2" s="115"/>
      <c r="J2" s="115"/>
    </row>
    <row r="3" spans="1:29" ht="14.25" x14ac:dyDescent="0.2">
      <c r="A3" s="14"/>
      <c r="B3" s="14"/>
      <c r="C3" s="14"/>
      <c r="D3" s="14"/>
      <c r="E3" s="14"/>
      <c r="F3" s="115" t="s">
        <v>404</v>
      </c>
      <c r="G3" s="115"/>
      <c r="H3" s="115"/>
      <c r="I3" s="115"/>
      <c r="J3" s="115"/>
    </row>
    <row r="4" spans="1:29" ht="14.25" x14ac:dyDescent="0.2">
      <c r="A4" s="14"/>
      <c r="B4" s="14"/>
      <c r="C4" s="14"/>
      <c r="D4" s="14"/>
      <c r="E4" s="14"/>
      <c r="F4" s="39"/>
      <c r="G4" s="115" t="s">
        <v>405</v>
      </c>
      <c r="H4" s="115"/>
      <c r="I4" s="115"/>
      <c r="J4" s="115"/>
    </row>
    <row r="5" spans="1:29" ht="14.25" x14ac:dyDescent="0.2">
      <c r="A5" s="14"/>
      <c r="B5" s="14"/>
      <c r="C5" s="14"/>
      <c r="D5" s="14"/>
      <c r="E5" s="14"/>
      <c r="F5" s="14"/>
      <c r="G5" s="14"/>
      <c r="H5" s="14"/>
      <c r="I5" s="124" t="s">
        <v>406</v>
      </c>
      <c r="J5" s="125"/>
    </row>
    <row r="6" spans="1:29" ht="14.25" x14ac:dyDescent="0.2">
      <c r="A6" s="14"/>
      <c r="B6" s="14"/>
      <c r="C6" s="14"/>
      <c r="D6" s="14"/>
      <c r="E6" s="14"/>
      <c r="F6" s="14"/>
      <c r="G6" s="14"/>
      <c r="H6" s="13" t="s">
        <v>458</v>
      </c>
      <c r="I6" s="138" t="s">
        <v>408</v>
      </c>
      <c r="J6" s="139"/>
    </row>
    <row r="7" spans="1:29" ht="14.25" x14ac:dyDescent="0.2">
      <c r="A7" s="14"/>
      <c r="B7" s="14"/>
      <c r="C7" s="14"/>
      <c r="D7" s="14"/>
      <c r="E7" s="14"/>
      <c r="F7" s="14"/>
      <c r="G7" s="14"/>
      <c r="H7" s="13"/>
      <c r="I7" s="140" t="str">
        <f>IF(Source!AT15 &lt;&gt; "", Source!AT15, "")</f>
        <v/>
      </c>
      <c r="J7" s="141"/>
    </row>
    <row r="8" spans="1:29" ht="14.25" x14ac:dyDescent="0.2">
      <c r="A8" s="14" t="s">
        <v>409</v>
      </c>
      <c r="B8" s="73"/>
      <c r="C8" s="114" t="str">
        <f>IF(Source!BA15 &lt;&gt; "", Source!BA15, IF(Source!AU15 &lt;&gt; "", Source!AU15, ""))</f>
        <v/>
      </c>
      <c r="D8" s="114"/>
      <c r="E8" s="114"/>
      <c r="F8" s="114"/>
      <c r="G8" s="114"/>
      <c r="H8" s="13" t="s">
        <v>459</v>
      </c>
      <c r="I8" s="142"/>
      <c r="J8" s="143"/>
    </row>
    <row r="9" spans="1:29" ht="14.25" x14ac:dyDescent="0.2">
      <c r="A9" s="14"/>
      <c r="B9" s="14"/>
      <c r="C9" s="117" t="s">
        <v>460</v>
      </c>
      <c r="D9" s="117"/>
      <c r="E9" s="117"/>
      <c r="F9" s="117"/>
      <c r="G9" s="117"/>
      <c r="H9" s="14"/>
      <c r="I9" s="124" t="str">
        <f>IF(Source!AK15 &lt;&gt; "", Source!AK15, "")</f>
        <v/>
      </c>
      <c r="J9" s="125"/>
    </row>
    <row r="10" spans="1:29" ht="14.25" x14ac:dyDescent="0.2">
      <c r="A10" s="14" t="s">
        <v>461</v>
      </c>
      <c r="B10" s="14"/>
      <c r="C10" s="18"/>
      <c r="D10" s="114" t="str">
        <f>IF(Source!AX12&lt;&gt; "", Source!AX12, IF(Source!AJ12 &lt;&gt; "", Source!AJ12, ""))</f>
        <v/>
      </c>
      <c r="E10" s="114"/>
      <c r="F10" s="114"/>
      <c r="G10" s="114"/>
      <c r="H10" s="13" t="s">
        <v>459</v>
      </c>
      <c r="I10" s="144"/>
      <c r="J10" s="145"/>
    </row>
    <row r="11" spans="1:29" ht="14.25" x14ac:dyDescent="0.2">
      <c r="A11" s="14"/>
      <c r="B11" s="14"/>
      <c r="C11" s="73"/>
      <c r="D11" s="117" t="s">
        <v>462</v>
      </c>
      <c r="E11" s="117"/>
      <c r="F11" s="117"/>
      <c r="G11" s="117"/>
      <c r="H11" s="13" t="s">
        <v>463</v>
      </c>
      <c r="I11" s="124" t="str">
        <f>IF(Source!AO15 &lt;&gt; "", Source!AO15, "")</f>
        <v/>
      </c>
      <c r="J11" s="125"/>
    </row>
    <row r="12" spans="1:29" ht="14.25" x14ac:dyDescent="0.2">
      <c r="A12" s="14" t="s">
        <v>464</v>
      </c>
      <c r="B12" s="14"/>
      <c r="C12" s="18"/>
      <c r="D12" s="114" t="str">
        <f>IF(Source!AY12&lt;&gt; "", Source!AY12, IF(Source!AN12 &lt;&gt; "", Source!AN12, ""))</f>
        <v/>
      </c>
      <c r="E12" s="114"/>
      <c r="F12" s="114"/>
      <c r="G12" s="114"/>
      <c r="H12" s="13" t="s">
        <v>459</v>
      </c>
      <c r="I12" s="124"/>
      <c r="J12" s="125"/>
    </row>
    <row r="13" spans="1:29" ht="14.25" x14ac:dyDescent="0.2">
      <c r="A13" s="14"/>
      <c r="B13" s="14"/>
      <c r="C13" s="14"/>
      <c r="D13" s="117" t="s">
        <v>465</v>
      </c>
      <c r="E13" s="117"/>
      <c r="F13" s="117"/>
      <c r="G13" s="117"/>
      <c r="H13" s="13" t="s">
        <v>463</v>
      </c>
      <c r="I13" s="110" t="str">
        <f>IF(Source!CO15 &lt;&gt; "", Source!CO15, "")</f>
        <v/>
      </c>
      <c r="J13" s="111"/>
    </row>
    <row r="14" spans="1:29" ht="28.5" x14ac:dyDescent="0.2">
      <c r="A14" s="14" t="s">
        <v>414</v>
      </c>
      <c r="B14" s="73"/>
      <c r="C14" s="114" t="s">
        <v>5</v>
      </c>
      <c r="D14" s="114"/>
      <c r="E14" s="114"/>
      <c r="F14" s="114"/>
      <c r="G14" s="114"/>
      <c r="H14" s="14"/>
      <c r="I14" s="118"/>
      <c r="J14" s="119"/>
      <c r="AC14" s="34" t="s">
        <v>5</v>
      </c>
    </row>
    <row r="15" spans="1:29" ht="14.25" x14ac:dyDescent="0.2">
      <c r="A15" s="14"/>
      <c r="B15" s="14"/>
      <c r="C15" s="117" t="s">
        <v>466</v>
      </c>
      <c r="D15" s="117"/>
      <c r="E15" s="117"/>
      <c r="F15" s="117"/>
      <c r="G15" s="117"/>
      <c r="H15" s="14"/>
      <c r="I15" s="110" t="str">
        <f>IF(Source!CP15 &lt;&gt; "", Source!CP15, "")</f>
        <v/>
      </c>
      <c r="J15" s="111"/>
    </row>
    <row r="16" spans="1:29" ht="28.5" x14ac:dyDescent="0.2">
      <c r="A16" s="14" t="s">
        <v>416</v>
      </c>
      <c r="B16" s="73"/>
      <c r="C16" s="114" t="str">
        <f>IF(Source!G12&lt;&gt;"Новый объект", Source!G12, "")</f>
        <v>Капитальный ремонт окооных проемов в актовом зале учебного корпуса общежития ДИТИ НИЯУ МИФИ_</v>
      </c>
      <c r="D16" s="114"/>
      <c r="E16" s="114"/>
      <c r="F16" s="114"/>
      <c r="G16" s="114"/>
      <c r="H16" s="13" t="s">
        <v>467</v>
      </c>
      <c r="I16" s="118"/>
      <c r="J16" s="119"/>
      <c r="AC16" s="34" t="str">
        <f>IF(Source!G12&lt;&gt;"Новый объект", Source!G12, "")</f>
        <v>Капитальный ремонт окооных проемов в актовом зале учебного корпуса общежития ДИТИ НИЯУ МИФИ_</v>
      </c>
    </row>
    <row r="17" spans="1:10" ht="14.25" x14ac:dyDescent="0.2">
      <c r="A17" s="14"/>
      <c r="B17" s="14"/>
      <c r="C17" s="117" t="s">
        <v>468</v>
      </c>
      <c r="D17" s="117"/>
      <c r="E17" s="117"/>
      <c r="F17" s="103" t="s">
        <v>469</v>
      </c>
      <c r="G17" s="103"/>
      <c r="H17" s="121"/>
      <c r="I17" s="124" t="str">
        <f>IF(Source!CQ15 &lt;&gt; "", Source!CQ15, "")</f>
        <v/>
      </c>
      <c r="J17" s="125"/>
    </row>
    <row r="18" spans="1:10" ht="14.25" x14ac:dyDescent="0.2">
      <c r="A18" s="14"/>
      <c r="B18" s="14"/>
      <c r="C18" s="14"/>
      <c r="D18" s="14"/>
      <c r="E18" s="103" t="s">
        <v>470</v>
      </c>
      <c r="F18" s="103"/>
      <c r="G18" s="121"/>
      <c r="H18" s="59" t="s">
        <v>420</v>
      </c>
      <c r="I18" s="124" t="str">
        <f>IF(Source!CR15 &lt;&gt; "", Source!CR15, "")</f>
        <v/>
      </c>
      <c r="J18" s="125"/>
    </row>
    <row r="19" spans="1:10" ht="14.25" x14ac:dyDescent="0.2">
      <c r="A19" s="14"/>
      <c r="B19" s="14"/>
      <c r="C19" s="14"/>
      <c r="D19" s="14"/>
      <c r="E19" s="14"/>
      <c r="F19" s="14"/>
      <c r="G19" s="14"/>
      <c r="H19" s="24" t="s">
        <v>421</v>
      </c>
      <c r="I19" s="146" t="str">
        <f>IF(Source!CS15 &lt;&gt; 0, Source!CS15, "")</f>
        <v/>
      </c>
      <c r="J19" s="147"/>
    </row>
    <row r="20" spans="1:10" ht="14.25" x14ac:dyDescent="0.2">
      <c r="A20" s="14"/>
      <c r="B20" s="14"/>
      <c r="C20" s="14"/>
      <c r="D20" s="14"/>
      <c r="E20" s="14"/>
      <c r="F20" s="14"/>
      <c r="G20" s="14"/>
      <c r="H20" s="13" t="s">
        <v>471</v>
      </c>
      <c r="I20" s="124" t="str">
        <f>IF(Source!CT15 &lt;&gt; "", Source!CT15, "")</f>
        <v/>
      </c>
      <c r="J20" s="125"/>
    </row>
    <row r="21" spans="1:10" ht="14.25" x14ac:dyDescent="0.2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0" ht="14.25" x14ac:dyDescent="0.2">
      <c r="A22" s="14"/>
      <c r="B22" s="14"/>
      <c r="C22" s="14"/>
      <c r="D22" s="14"/>
      <c r="E22" s="14"/>
      <c r="F22" s="148" t="s">
        <v>423</v>
      </c>
      <c r="G22" s="148" t="s">
        <v>424</v>
      </c>
      <c r="H22" s="150" t="s">
        <v>425</v>
      </c>
      <c r="I22" s="151"/>
      <c r="J22" s="14"/>
    </row>
    <row r="23" spans="1:10" ht="14.25" x14ac:dyDescent="0.2">
      <c r="A23" s="14"/>
      <c r="B23" s="14"/>
      <c r="C23" s="14"/>
      <c r="D23" s="14"/>
      <c r="E23" s="14"/>
      <c r="F23" s="149"/>
      <c r="G23" s="149"/>
      <c r="H23" s="74" t="s">
        <v>426</v>
      </c>
      <c r="I23" s="75" t="s">
        <v>427</v>
      </c>
      <c r="J23" s="14"/>
    </row>
    <row r="24" spans="1:10" ht="14.25" x14ac:dyDescent="0.2">
      <c r="A24" s="14"/>
      <c r="B24" s="14"/>
      <c r="C24" s="14"/>
      <c r="D24" s="14"/>
      <c r="E24" s="14"/>
      <c r="F24" s="76" t="str">
        <f>IF(Source!CN15 &lt;&gt; "", Source!CN15, "")</f>
        <v/>
      </c>
      <c r="G24" s="77">
        <v>43123.624444444446</v>
      </c>
      <c r="H24" s="76"/>
      <c r="I24" s="78"/>
      <c r="J24" s="14"/>
    </row>
    <row r="25" spans="1:10" ht="14.25" x14ac:dyDescent="0.2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 ht="15" x14ac:dyDescent="0.25">
      <c r="A26" s="154" t="s">
        <v>428</v>
      </c>
      <c r="B26" s="154"/>
      <c r="C26" s="154"/>
      <c r="D26" s="154"/>
      <c r="E26" s="154"/>
      <c r="F26" s="154"/>
      <c r="G26" s="154"/>
      <c r="H26" s="154"/>
      <c r="I26" s="154"/>
      <c r="J26" s="154"/>
    </row>
    <row r="27" spans="1:10" ht="15" x14ac:dyDescent="0.25">
      <c r="A27" s="154" t="s">
        <v>429</v>
      </c>
      <c r="B27" s="154"/>
      <c r="C27" s="154"/>
      <c r="D27" s="154"/>
      <c r="E27" s="154"/>
      <c r="F27" s="154"/>
      <c r="G27" s="154"/>
      <c r="H27" s="154"/>
      <c r="I27" s="154"/>
      <c r="J27" s="154"/>
    </row>
    <row r="28" spans="1:10" ht="14.25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ht="14.25" x14ac:dyDescent="0.2">
      <c r="A29" s="108" t="s">
        <v>476</v>
      </c>
      <c r="B29" s="108"/>
      <c r="C29" s="108"/>
      <c r="D29" s="108"/>
      <c r="E29" s="108"/>
      <c r="F29" s="108"/>
      <c r="G29" s="155">
        <f>(Source!F157/1000)</f>
        <v>254.75102999999999</v>
      </c>
      <c r="H29" s="156"/>
      <c r="I29" s="79" t="s">
        <v>375</v>
      </c>
      <c r="J29" s="80"/>
    </row>
    <row r="30" spans="1:10" ht="14.25" x14ac:dyDescent="0.2">
      <c r="A30" s="15" t="s">
        <v>477</v>
      </c>
      <c r="B30" s="16"/>
      <c r="C30" s="16"/>
      <c r="D30" s="16"/>
      <c r="E30" s="16"/>
      <c r="F30" s="16"/>
      <c r="G30" s="155">
        <f>(Source!P157/1000)</f>
        <v>1525.95884</v>
      </c>
      <c r="H30" s="156"/>
      <c r="I30" s="79" t="s">
        <v>375</v>
      </c>
      <c r="J30" s="14"/>
    </row>
    <row r="31" spans="1:10" ht="14.25" x14ac:dyDescent="0.2">
      <c r="A31" s="152" t="s">
        <v>432</v>
      </c>
      <c r="B31" s="153"/>
      <c r="C31" s="148" t="s">
        <v>384</v>
      </c>
      <c r="D31" s="148" t="s">
        <v>385</v>
      </c>
      <c r="E31" s="148" t="s">
        <v>435</v>
      </c>
      <c r="F31" s="132" t="s">
        <v>436</v>
      </c>
      <c r="G31" s="132"/>
      <c r="H31" s="132"/>
      <c r="I31" s="132"/>
      <c r="J31" s="132"/>
    </row>
    <row r="32" spans="1:10" ht="57" x14ac:dyDescent="0.2">
      <c r="A32" s="23" t="s">
        <v>472</v>
      </c>
      <c r="B32" s="23" t="s">
        <v>473</v>
      </c>
      <c r="C32" s="149"/>
      <c r="D32" s="149"/>
      <c r="E32" s="149"/>
      <c r="F32" s="23" t="s">
        <v>439</v>
      </c>
      <c r="G32" s="23" t="s">
        <v>474</v>
      </c>
      <c r="H32" s="23" t="s">
        <v>478</v>
      </c>
      <c r="I32" s="23" t="s">
        <v>475</v>
      </c>
      <c r="J32" s="23" t="s">
        <v>393</v>
      </c>
    </row>
    <row r="33" spans="1:22" ht="14.25" x14ac:dyDescent="0.2">
      <c r="A33" s="81">
        <v>1</v>
      </c>
      <c r="B33" s="81">
        <v>2</v>
      </c>
      <c r="C33" s="81">
        <v>3</v>
      </c>
      <c r="D33" s="81">
        <v>4</v>
      </c>
      <c r="E33" s="81">
        <v>5</v>
      </c>
      <c r="F33" s="81">
        <v>6</v>
      </c>
      <c r="G33" s="81">
        <v>7</v>
      </c>
      <c r="H33" s="81">
        <v>8</v>
      </c>
      <c r="I33" s="81">
        <v>9</v>
      </c>
      <c r="J33" s="81">
        <v>10</v>
      </c>
    </row>
    <row r="35" spans="1:22" ht="16.5" x14ac:dyDescent="0.25">
      <c r="A35" s="134" t="str">
        <f>CONCATENATE("Локальная смета: ",IF(Source!G20&lt;&gt;"Новая локальная смета", Source!G20, ""))</f>
        <v xml:space="preserve">Локальная смета: </v>
      </c>
      <c r="B35" s="134"/>
      <c r="C35" s="134"/>
      <c r="D35" s="134"/>
      <c r="E35" s="134"/>
      <c r="F35" s="134"/>
      <c r="G35" s="134"/>
      <c r="H35" s="134"/>
      <c r="I35" s="134"/>
      <c r="J35" s="134"/>
    </row>
    <row r="36" spans="1:22" ht="42.75" x14ac:dyDescent="0.2">
      <c r="A36" s="53">
        <v>1</v>
      </c>
      <c r="B36" s="53" t="str">
        <f>Source!E24</f>
        <v>1</v>
      </c>
      <c r="C36" s="54" t="str">
        <f>Source!F24</f>
        <v>46-04-012-01</v>
      </c>
      <c r="D36" s="54" t="str">
        <f>Source!G24</f>
        <v>Разборка деревянных заполнений проемов оконных с подоконными досками</v>
      </c>
      <c r="E36" s="37" t="str">
        <f>Source!H24</f>
        <v>100 м2</v>
      </c>
      <c r="F36" s="13">
        <f>Source!I24</f>
        <v>0.93640000000000001</v>
      </c>
      <c r="G36" s="36">
        <f>IF(Source!AK24&lt;&gt; 0, Source!AK24,Source!AL24 + Source!AM24 + Source!AO24)</f>
        <v>1767.24</v>
      </c>
      <c r="H36" s="38"/>
      <c r="I36" s="37" t="str">
        <f>Source!BO25</f>
        <v/>
      </c>
      <c r="J36" s="38"/>
      <c r="S36">
        <f>Source!X24</f>
        <v>1510.86</v>
      </c>
      <c r="T36">
        <f>Source!X25</f>
        <v>9050.09</v>
      </c>
      <c r="U36">
        <f>Source!Y24</f>
        <v>915.67</v>
      </c>
      <c r="V36">
        <f>Source!Y25</f>
        <v>5484.9</v>
      </c>
    </row>
    <row r="37" spans="1:22" x14ac:dyDescent="0.2">
      <c r="D37" s="28" t="str">
        <f>"Объем: "&amp;Source!I24&amp;"=93,64/"&amp;"100"</f>
        <v>Объем: 0,9364=93,64/100</v>
      </c>
    </row>
    <row r="38" spans="1:22" ht="14.25" x14ac:dyDescent="0.2">
      <c r="A38" s="53"/>
      <c r="B38" s="53"/>
      <c r="C38" s="54"/>
      <c r="D38" s="54" t="s">
        <v>479</v>
      </c>
      <c r="E38" s="37"/>
      <c r="F38" s="13"/>
      <c r="G38" s="36">
        <f>Source!AO24</f>
        <v>1525.29</v>
      </c>
      <c r="H38" s="38">
        <f>Source!S24</f>
        <v>1428.28</v>
      </c>
      <c r="I38" s="37">
        <f>IF(Source!BA25&lt;&gt; 0, Source!BA25, 1)</f>
        <v>5.99</v>
      </c>
      <c r="J38" s="38">
        <f>Source!S25</f>
        <v>8555.41</v>
      </c>
      <c r="R38">
        <f>H38</f>
        <v>1428.28</v>
      </c>
    </row>
    <row r="39" spans="1:22" ht="14.25" x14ac:dyDescent="0.2">
      <c r="A39" s="53"/>
      <c r="B39" s="53"/>
      <c r="C39" s="54"/>
      <c r="D39" s="54" t="s">
        <v>170</v>
      </c>
      <c r="E39" s="37"/>
      <c r="F39" s="13"/>
      <c r="G39" s="36">
        <f>Source!AM24</f>
        <v>241.95</v>
      </c>
      <c r="H39" s="38">
        <f>Source!Q24</f>
        <v>226.56</v>
      </c>
      <c r="I39" s="37">
        <f>IF(Source!BB25&lt;&gt; 0, Source!BB25, 1)</f>
        <v>5.99</v>
      </c>
      <c r="J39" s="38">
        <f>Source!Q25</f>
        <v>1357.11</v>
      </c>
    </row>
    <row r="40" spans="1:22" ht="14.25" x14ac:dyDescent="0.2">
      <c r="A40" s="53"/>
      <c r="B40" s="53"/>
      <c r="C40" s="54"/>
      <c r="D40" s="54" t="s">
        <v>396</v>
      </c>
      <c r="E40" s="37"/>
      <c r="F40" s="13"/>
      <c r="G40" s="36">
        <f>Source!AN24</f>
        <v>104.49</v>
      </c>
      <c r="H40" s="40">
        <f>Source!R24</f>
        <v>97.84</v>
      </c>
      <c r="I40" s="37">
        <f>IF(Source!BS25&lt;&gt; 0, Source!BS25, 1)</f>
        <v>5.99</v>
      </c>
      <c r="J40" s="40">
        <f>Source!R25</f>
        <v>586.09</v>
      </c>
      <c r="R40">
        <f>H40</f>
        <v>97.84</v>
      </c>
    </row>
    <row r="41" spans="1:22" ht="14.25" x14ac:dyDescent="0.2">
      <c r="A41" s="53"/>
      <c r="B41" s="53"/>
      <c r="C41" s="54"/>
      <c r="D41" s="54" t="s">
        <v>397</v>
      </c>
      <c r="E41" s="37" t="s">
        <v>398</v>
      </c>
      <c r="F41" s="13"/>
      <c r="G41" s="36">
        <f>Source!AT24</f>
        <v>99</v>
      </c>
      <c r="H41" s="38">
        <f>SUM(S36:S40)</f>
        <v>1510.86</v>
      </c>
      <c r="I41" s="37"/>
      <c r="J41" s="38">
        <f>SUM(T36:T40)</f>
        <v>9050.09</v>
      </c>
    </row>
    <row r="42" spans="1:22" ht="14.25" x14ac:dyDescent="0.2">
      <c r="A42" s="53"/>
      <c r="B42" s="53"/>
      <c r="C42" s="54"/>
      <c r="D42" s="54" t="s">
        <v>399</v>
      </c>
      <c r="E42" s="37" t="s">
        <v>398</v>
      </c>
      <c r="F42" s="13"/>
      <c r="G42" s="36">
        <f>Source!AU24</f>
        <v>60</v>
      </c>
      <c r="H42" s="38">
        <f>SUM(U36:U41)</f>
        <v>915.67</v>
      </c>
      <c r="I42" s="37"/>
      <c r="J42" s="38">
        <f>SUM(V36:V41)</f>
        <v>5484.9</v>
      </c>
    </row>
    <row r="43" spans="1:22" ht="14.25" x14ac:dyDescent="0.2">
      <c r="A43" s="55"/>
      <c r="B43" s="55"/>
      <c r="C43" s="56"/>
      <c r="D43" s="56" t="s">
        <v>480</v>
      </c>
      <c r="E43" s="45" t="s">
        <v>401</v>
      </c>
      <c r="F43" s="43">
        <f>Source!AQ24</f>
        <v>188.54</v>
      </c>
      <c r="G43" s="44"/>
      <c r="H43" s="46">
        <f>Source!U25</f>
        <v>176.548856</v>
      </c>
      <c r="I43" s="45"/>
      <c r="J43" s="46"/>
    </row>
    <row r="44" spans="1:22" ht="15" x14ac:dyDescent="0.25">
      <c r="G44" s="106">
        <f xml:space="preserve"> Source!P24+Source!Q24+Source!S24+SUM(H41:H42)</f>
        <v>4081.37</v>
      </c>
      <c r="H44" s="106"/>
      <c r="I44" s="106">
        <f xml:space="preserve"> Source!P25+Source!Q25+Source!S25+SUM(J41:J42)</f>
        <v>24447.510000000002</v>
      </c>
      <c r="J44" s="106"/>
      <c r="O44" s="29">
        <f>G44</f>
        <v>4081.37</v>
      </c>
      <c r="P44" s="29">
        <f>I44</f>
        <v>24447.510000000002</v>
      </c>
    </row>
    <row r="45" spans="1:22" ht="99.75" x14ac:dyDescent="0.2">
      <c r="A45" s="53">
        <v>2</v>
      </c>
      <c r="B45" s="53" t="str">
        <f>Source!E26</f>
        <v>2</v>
      </c>
      <c r="C45" s="54" t="str">
        <f>Source!F26</f>
        <v>10-01-034-08</v>
      </c>
      <c r="D45" s="54" t="str">
        <f>Source!G26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E45" s="37" t="str">
        <f>Source!H26</f>
        <v>100 м2</v>
      </c>
      <c r="F45" s="13">
        <f>Source!I26</f>
        <v>0.93640000000000001</v>
      </c>
      <c r="G45" s="36">
        <f>IF(Source!AK26&lt;&gt; 0, Source!AK26,Source!AL26 + Source!AM26 + Source!AO26)</f>
        <v>10107.89</v>
      </c>
      <c r="H45" s="38"/>
      <c r="I45" s="37" t="str">
        <f>Source!BO27</f>
        <v/>
      </c>
      <c r="J45" s="38"/>
      <c r="S45">
        <f>Source!X26</f>
        <v>1343.94</v>
      </c>
      <c r="T45">
        <f>Source!X27</f>
        <v>8050.2</v>
      </c>
      <c r="U45">
        <f>Source!Y26</f>
        <v>684.65</v>
      </c>
      <c r="V45">
        <f>Source!Y27</f>
        <v>4101.05</v>
      </c>
    </row>
    <row r="46" spans="1:22" x14ac:dyDescent="0.2">
      <c r="D46" s="28" t="str">
        <f>"Объем: "&amp;Source!I26&amp;"=93,64/"&amp;"100"</f>
        <v>Объем: 0,9364=93,64/100</v>
      </c>
    </row>
    <row r="47" spans="1:22" ht="14.25" x14ac:dyDescent="0.2">
      <c r="A47" s="53"/>
      <c r="B47" s="53"/>
      <c r="C47" s="54"/>
      <c r="D47" s="54" t="s">
        <v>479</v>
      </c>
      <c r="E47" s="37"/>
      <c r="F47" s="13"/>
      <c r="G47" s="36">
        <f>Source!AO26</f>
        <v>1303.6600000000001</v>
      </c>
      <c r="H47" s="38">
        <f>Source!S26</f>
        <v>1220.75</v>
      </c>
      <c r="I47" s="37">
        <f>IF(Source!BA27&lt;&gt; 0, Source!BA27, 1)</f>
        <v>5.99</v>
      </c>
      <c r="J47" s="38">
        <f>Source!S27</f>
        <v>7312.28</v>
      </c>
      <c r="R47">
        <f>H47</f>
        <v>1220.75</v>
      </c>
    </row>
    <row r="48" spans="1:22" ht="14.25" x14ac:dyDescent="0.2">
      <c r="A48" s="53"/>
      <c r="B48" s="53"/>
      <c r="C48" s="54"/>
      <c r="D48" s="54" t="s">
        <v>170</v>
      </c>
      <c r="E48" s="37"/>
      <c r="F48" s="13"/>
      <c r="G48" s="36">
        <f>Source!AM26</f>
        <v>255.21</v>
      </c>
      <c r="H48" s="38">
        <f>Source!Q26</f>
        <v>238.98</v>
      </c>
      <c r="I48" s="37">
        <f>IF(Source!BB27&lt;&gt; 0, Source!BB27, 1)</f>
        <v>5.99</v>
      </c>
      <c r="J48" s="38">
        <f>Source!Q27</f>
        <v>1431.48</v>
      </c>
    </row>
    <row r="49" spans="1:22" ht="14.25" x14ac:dyDescent="0.2">
      <c r="A49" s="53"/>
      <c r="B49" s="53"/>
      <c r="C49" s="54"/>
      <c r="D49" s="54" t="s">
        <v>396</v>
      </c>
      <c r="E49" s="37"/>
      <c r="F49" s="13"/>
      <c r="G49" s="36">
        <f>Source!AN26</f>
        <v>50.32</v>
      </c>
      <c r="H49" s="40">
        <f>Source!R26</f>
        <v>47.12</v>
      </c>
      <c r="I49" s="37">
        <f>IF(Source!BS27&lt;&gt; 0, Source!BS27, 1)</f>
        <v>5.99</v>
      </c>
      <c r="J49" s="40">
        <f>Source!R27</f>
        <v>282.25</v>
      </c>
      <c r="R49">
        <f>H49</f>
        <v>47.12</v>
      </c>
    </row>
    <row r="50" spans="1:22" ht="14.25" x14ac:dyDescent="0.2">
      <c r="A50" s="53"/>
      <c r="B50" s="53"/>
      <c r="C50" s="54"/>
      <c r="D50" s="54" t="s">
        <v>402</v>
      </c>
      <c r="E50" s="37"/>
      <c r="F50" s="13"/>
      <c r="G50" s="36">
        <f>Source!AL26</f>
        <v>8549.02</v>
      </c>
      <c r="H50" s="38">
        <f>Source!P26</f>
        <v>8005.3</v>
      </c>
      <c r="I50" s="37">
        <f>IF(Source!BC27&lt;&gt; 0, Source!BC27, 1)</f>
        <v>5.99</v>
      </c>
      <c r="J50" s="38">
        <f>Source!P27</f>
        <v>47951.76</v>
      </c>
    </row>
    <row r="51" spans="1:22" ht="14.25" x14ac:dyDescent="0.2">
      <c r="A51" s="53">
        <v>3</v>
      </c>
      <c r="B51" s="53" t="str">
        <f>Source!E28</f>
        <v>2,1</v>
      </c>
      <c r="C51" s="54" t="str">
        <f>Source!F28</f>
        <v>11.3.02.03</v>
      </c>
      <c r="D51" s="54" t="str">
        <f>Source!G28</f>
        <v>Блоки оконные пластиковые</v>
      </c>
      <c r="E51" s="37" t="str">
        <f>Source!H28</f>
        <v>м2</v>
      </c>
      <c r="F51" s="13">
        <f>Source!I28</f>
        <v>93.64</v>
      </c>
      <c r="G51" s="36">
        <f>Source!AK28</f>
        <v>0</v>
      </c>
      <c r="H51" s="38">
        <f>Source!O28</f>
        <v>0</v>
      </c>
      <c r="I51" s="37">
        <f>IF(Source!BC29&lt;&gt; 0, Source!BC29, 1)</f>
        <v>5.99</v>
      </c>
      <c r="J51" s="38">
        <f>Source!O29</f>
        <v>0</v>
      </c>
      <c r="S51">
        <f>Source!X28</f>
        <v>0</v>
      </c>
      <c r="T51">
        <f>Source!X29</f>
        <v>0</v>
      </c>
      <c r="U51">
        <f>Source!Y28</f>
        <v>0</v>
      </c>
      <c r="V51">
        <f>Source!Y29</f>
        <v>0</v>
      </c>
    </row>
    <row r="52" spans="1:22" ht="71.25" x14ac:dyDescent="0.2">
      <c r="A52" s="53">
        <v>4</v>
      </c>
      <c r="B52" s="53" t="str">
        <f>Source!E30</f>
        <v>2,2</v>
      </c>
      <c r="C52" s="54" t="str">
        <f>Source!F30</f>
        <v>11.3.02.01-0021</v>
      </c>
      <c r="D52" s="54" t="str">
        <f>Source!G30</f>
        <v>Блок оконный пластиковый  с 6-ю глухими створками остекления, с 2-мя   поворотно-откидными  створками, 5-ти камерным стеклопакетом (42 мм), площадью более 3,5 м2</v>
      </c>
      <c r="E52" s="37" t="str">
        <f>Source!H30</f>
        <v>м2</v>
      </c>
      <c r="F52" s="13">
        <f>Source!I30</f>
        <v>93.64</v>
      </c>
      <c r="G52" s="36">
        <f>Source!AK30</f>
        <v>2074.38</v>
      </c>
      <c r="H52" s="38">
        <f>Source!O30</f>
        <v>194244.94</v>
      </c>
      <c r="I52" s="37">
        <f>IF(Source!BC31&lt;&gt; 0, Source!BC31, 1)</f>
        <v>5.99</v>
      </c>
      <c r="J52" s="38">
        <f>Source!O31</f>
        <v>1163527.21</v>
      </c>
      <c r="S52">
        <f>Source!X30</f>
        <v>0</v>
      </c>
      <c r="T52">
        <f>Source!X31</f>
        <v>0</v>
      </c>
      <c r="U52">
        <f>Source!Y30</f>
        <v>0</v>
      </c>
      <c r="V52">
        <f>Source!Y31</f>
        <v>0</v>
      </c>
    </row>
    <row r="53" spans="1:22" ht="14.25" x14ac:dyDescent="0.2">
      <c r="A53" s="53"/>
      <c r="B53" s="53"/>
      <c r="C53" s="54"/>
      <c r="D53" s="54" t="s">
        <v>397</v>
      </c>
      <c r="E53" s="37" t="s">
        <v>398</v>
      </c>
      <c r="F53" s="13"/>
      <c r="G53" s="36">
        <f>Source!AT26</f>
        <v>106</v>
      </c>
      <c r="H53" s="38">
        <f>SUM(S45:S52)</f>
        <v>1343.94</v>
      </c>
      <c r="I53" s="37"/>
      <c r="J53" s="38">
        <f>SUM(T45:T52)</f>
        <v>8050.2</v>
      </c>
    </row>
    <row r="54" spans="1:22" ht="14.25" x14ac:dyDescent="0.2">
      <c r="A54" s="53"/>
      <c r="B54" s="53"/>
      <c r="C54" s="54"/>
      <c r="D54" s="54" t="s">
        <v>399</v>
      </c>
      <c r="E54" s="37" t="s">
        <v>398</v>
      </c>
      <c r="F54" s="13"/>
      <c r="G54" s="36">
        <f>Source!AU26</f>
        <v>54</v>
      </c>
      <c r="H54" s="38">
        <f>SUM(U45:U53)</f>
        <v>684.65</v>
      </c>
      <c r="I54" s="37"/>
      <c r="J54" s="38">
        <f>SUM(V45:V53)</f>
        <v>4101.05</v>
      </c>
    </row>
    <row r="55" spans="1:22" ht="14.25" x14ac:dyDescent="0.2">
      <c r="A55" s="55"/>
      <c r="B55" s="55"/>
      <c r="C55" s="56"/>
      <c r="D55" s="56" t="s">
        <v>480</v>
      </c>
      <c r="E55" s="45" t="s">
        <v>401</v>
      </c>
      <c r="F55" s="43">
        <f>Source!AQ26</f>
        <v>149.16</v>
      </c>
      <c r="G55" s="44"/>
      <c r="H55" s="46">
        <f>Source!U27</f>
        <v>139.67342400000001</v>
      </c>
      <c r="I55" s="45"/>
      <c r="J55" s="46"/>
    </row>
    <row r="56" spans="1:22" ht="15" x14ac:dyDescent="0.25">
      <c r="G56" s="106">
        <f xml:space="preserve"> Source!P26+Source!Q26+Source!S26+SUM(H51:H54)</f>
        <v>205738.56</v>
      </c>
      <c r="H56" s="106"/>
      <c r="I56" s="106">
        <f xml:space="preserve"> Source!P27+Source!Q27+Source!S27+SUM(J51:J54)</f>
        <v>1232373.98</v>
      </c>
      <c r="J56" s="106"/>
      <c r="O56" s="29">
        <f>G56</f>
        <v>205738.56</v>
      </c>
      <c r="P56" s="29">
        <f>I56</f>
        <v>1232373.98</v>
      </c>
    </row>
    <row r="57" spans="1:22" ht="42.75" x14ac:dyDescent="0.2">
      <c r="A57" s="53">
        <v>5</v>
      </c>
      <c r="B57" s="53" t="str">
        <f>Source!E32</f>
        <v>3</v>
      </c>
      <c r="C57" s="54" t="str">
        <f>Source!F32</f>
        <v>10-01-035-03</v>
      </c>
      <c r="D57" s="54" t="str">
        <f>Source!G32</f>
        <v>Установка подоконных досок из ПВХ в каменных стенах толщиной свыше 0,51 м</v>
      </c>
      <c r="E57" s="37" t="str">
        <f>Source!H32</f>
        <v>100 м</v>
      </c>
      <c r="F57" s="13">
        <f>Source!I32</f>
        <v>0.18360000000000001</v>
      </c>
      <c r="G57" s="36">
        <f>IF(Source!AK32&lt;&gt; 0, Source!AK32,Source!AL32 + Source!AM32 + Source!AO32)</f>
        <v>6481.17</v>
      </c>
      <c r="H57" s="38"/>
      <c r="I57" s="37" t="str">
        <f>Source!BO33</f>
        <v/>
      </c>
      <c r="J57" s="38"/>
      <c r="S57">
        <f>Source!X32</f>
        <v>36.35</v>
      </c>
      <c r="T57">
        <f>Source!X33</f>
        <v>217.76</v>
      </c>
      <c r="U57">
        <f>Source!Y32</f>
        <v>18.52</v>
      </c>
      <c r="V57">
        <f>Source!Y33</f>
        <v>110.93</v>
      </c>
    </row>
    <row r="58" spans="1:22" x14ac:dyDescent="0.2">
      <c r="D58" s="28" t="str">
        <f>"Объем: "&amp;Source!I32&amp;"=18,36/"&amp;"100"</f>
        <v>Объем: 0,1836=18,36/100</v>
      </c>
    </row>
    <row r="59" spans="1:22" ht="14.25" x14ac:dyDescent="0.2">
      <c r="A59" s="53"/>
      <c r="B59" s="53"/>
      <c r="C59" s="54"/>
      <c r="D59" s="54" t="s">
        <v>479</v>
      </c>
      <c r="E59" s="37"/>
      <c r="F59" s="13"/>
      <c r="G59" s="36">
        <f>Source!AO32</f>
        <v>182.37</v>
      </c>
      <c r="H59" s="38">
        <f>Source!S32</f>
        <v>33.479999999999997</v>
      </c>
      <c r="I59" s="37">
        <f>IF(Source!BA33&lt;&gt; 0, Source!BA33, 1)</f>
        <v>5.99</v>
      </c>
      <c r="J59" s="38">
        <f>Source!S33</f>
        <v>200.56</v>
      </c>
      <c r="R59">
        <f>H59</f>
        <v>33.479999999999997</v>
      </c>
    </row>
    <row r="60" spans="1:22" ht="14.25" x14ac:dyDescent="0.2">
      <c r="A60" s="53"/>
      <c r="B60" s="53"/>
      <c r="C60" s="54"/>
      <c r="D60" s="54" t="s">
        <v>170</v>
      </c>
      <c r="E60" s="37"/>
      <c r="F60" s="13"/>
      <c r="G60" s="36">
        <f>Source!AM32</f>
        <v>21.9</v>
      </c>
      <c r="H60" s="38">
        <f>Source!Q32</f>
        <v>4.0199999999999996</v>
      </c>
      <c r="I60" s="37">
        <f>IF(Source!BB33&lt;&gt; 0, Source!BB33, 1)</f>
        <v>5.99</v>
      </c>
      <c r="J60" s="38">
        <f>Source!Q33</f>
        <v>24.08</v>
      </c>
    </row>
    <row r="61" spans="1:22" ht="14.25" x14ac:dyDescent="0.2">
      <c r="A61" s="53"/>
      <c r="B61" s="53"/>
      <c r="C61" s="54"/>
      <c r="D61" s="54" t="s">
        <v>396</v>
      </c>
      <c r="E61" s="37"/>
      <c r="F61" s="13"/>
      <c r="G61" s="36">
        <f>Source!AN32</f>
        <v>4.43</v>
      </c>
      <c r="H61" s="40">
        <f>Source!R32</f>
        <v>0.81</v>
      </c>
      <c r="I61" s="37">
        <f>IF(Source!BS33&lt;&gt; 0, Source!BS33, 1)</f>
        <v>5.99</v>
      </c>
      <c r="J61" s="40">
        <f>Source!R33</f>
        <v>4.87</v>
      </c>
      <c r="R61">
        <f>H61</f>
        <v>0.81</v>
      </c>
    </row>
    <row r="62" spans="1:22" ht="14.25" x14ac:dyDescent="0.2">
      <c r="A62" s="53"/>
      <c r="B62" s="53"/>
      <c r="C62" s="54"/>
      <c r="D62" s="54" t="s">
        <v>402</v>
      </c>
      <c r="E62" s="37"/>
      <c r="F62" s="13"/>
      <c r="G62" s="36">
        <f>Source!AL32</f>
        <v>6276.9</v>
      </c>
      <c r="H62" s="38">
        <f>Source!P32</f>
        <v>1152.44</v>
      </c>
      <c r="I62" s="37">
        <f>IF(Source!BC33&lt;&gt; 0, Source!BC33, 1)</f>
        <v>5.99</v>
      </c>
      <c r="J62" s="38">
        <f>Source!P33</f>
        <v>6903.11</v>
      </c>
    </row>
    <row r="63" spans="1:22" ht="28.5" x14ac:dyDescent="0.2">
      <c r="A63" s="53">
        <v>6</v>
      </c>
      <c r="B63" s="53" t="str">
        <f>Source!E34</f>
        <v>3,1</v>
      </c>
      <c r="C63" s="54" t="str">
        <f>Source!F34</f>
        <v>11.3.03.01-0010</v>
      </c>
      <c r="D63" s="54" t="str">
        <f>Source!G34</f>
        <v>Доски подоконные ПВХ, шириной 500 мм</v>
      </c>
      <c r="E63" s="37" t="str">
        <f>Source!H34</f>
        <v>м</v>
      </c>
      <c r="F63" s="13">
        <f>Source!I34</f>
        <v>18.36</v>
      </c>
      <c r="G63" s="36">
        <f>Source!AK34</f>
        <v>64.349999999999994</v>
      </c>
      <c r="H63" s="38">
        <f>Source!O34</f>
        <v>1181.47</v>
      </c>
      <c r="I63" s="37">
        <f>IF(Source!BC35&lt;&gt; 0, Source!BC35, 1)</f>
        <v>5.99</v>
      </c>
      <c r="J63" s="38">
        <f>Source!O35</f>
        <v>7076.98</v>
      </c>
      <c r="S63">
        <f>Source!X34</f>
        <v>0</v>
      </c>
      <c r="T63">
        <f>Source!X35</f>
        <v>0</v>
      </c>
      <c r="U63">
        <f>Source!Y34</f>
        <v>0</v>
      </c>
      <c r="V63">
        <f>Source!Y35</f>
        <v>0</v>
      </c>
    </row>
    <row r="64" spans="1:22" ht="14.25" x14ac:dyDescent="0.2">
      <c r="A64" s="53"/>
      <c r="B64" s="53"/>
      <c r="C64" s="54"/>
      <c r="D64" s="54" t="s">
        <v>397</v>
      </c>
      <c r="E64" s="37" t="s">
        <v>398</v>
      </c>
      <c r="F64" s="13"/>
      <c r="G64" s="36">
        <f>Source!AT32</f>
        <v>106</v>
      </c>
      <c r="H64" s="38">
        <f>SUM(S57:S63)</f>
        <v>36.35</v>
      </c>
      <c r="I64" s="37"/>
      <c r="J64" s="38">
        <f>SUM(T57:T63)</f>
        <v>217.76</v>
      </c>
    </row>
    <row r="65" spans="1:22" ht="14.25" x14ac:dyDescent="0.2">
      <c r="A65" s="53"/>
      <c r="B65" s="53"/>
      <c r="C65" s="54"/>
      <c r="D65" s="54" t="s">
        <v>399</v>
      </c>
      <c r="E65" s="37" t="s">
        <v>398</v>
      </c>
      <c r="F65" s="13"/>
      <c r="G65" s="36">
        <f>Source!AU32</f>
        <v>54</v>
      </c>
      <c r="H65" s="38">
        <f>SUM(U57:U64)</f>
        <v>18.52</v>
      </c>
      <c r="I65" s="37"/>
      <c r="J65" s="38">
        <f>SUM(V57:V64)</f>
        <v>110.93</v>
      </c>
    </row>
    <row r="66" spans="1:22" ht="14.25" x14ac:dyDescent="0.2">
      <c r="A66" s="55"/>
      <c r="B66" s="55"/>
      <c r="C66" s="56"/>
      <c r="D66" s="56" t="s">
        <v>480</v>
      </c>
      <c r="E66" s="45" t="s">
        <v>401</v>
      </c>
      <c r="F66" s="43">
        <f>Source!AQ32</f>
        <v>21.38</v>
      </c>
      <c r="G66" s="44"/>
      <c r="H66" s="46">
        <f>Source!U33</f>
        <v>3.9253680000000002</v>
      </c>
      <c r="I66" s="45"/>
      <c r="J66" s="46"/>
    </row>
    <row r="67" spans="1:22" ht="15" x14ac:dyDescent="0.25">
      <c r="G67" s="106">
        <f xml:space="preserve"> Source!P32+Source!Q32+Source!S32+SUM(H63:H65)</f>
        <v>2426.2799999999997</v>
      </c>
      <c r="H67" s="106"/>
      <c r="I67" s="106">
        <f xml:space="preserve"> Source!P33+Source!Q33+Source!S33+SUM(J63:J65)</f>
        <v>14533.42</v>
      </c>
      <c r="J67" s="106"/>
      <c r="O67" s="29">
        <f>G67</f>
        <v>2426.2799999999997</v>
      </c>
      <c r="P67" s="29">
        <f>I67</f>
        <v>14533.42</v>
      </c>
    </row>
    <row r="68" spans="1:22" ht="42.75" x14ac:dyDescent="0.2">
      <c r="A68" s="53">
        <v>7</v>
      </c>
      <c r="B68" s="53" t="str">
        <f>Source!E36</f>
        <v>4</v>
      </c>
      <c r="C68" s="54" t="str">
        <f>Source!F36</f>
        <v>58-20-1</v>
      </c>
      <c r="D68" s="54" t="str">
        <f>Source!G36</f>
        <v>Смена обделок из листовой стали (поясков, сандриков, отливов, карнизов) шириной до 0,4 м</v>
      </c>
      <c r="E68" s="37" t="str">
        <f>Source!H36</f>
        <v>100 м</v>
      </c>
      <c r="F68" s="13">
        <f>Source!I36</f>
        <v>0.18360000000000001</v>
      </c>
      <c r="G68" s="36">
        <f>IF(Source!AK36&lt;&gt; 0, Source!AK36,Source!AL36 + Source!AM36 + Source!AO36)</f>
        <v>454.41</v>
      </c>
      <c r="H68" s="38"/>
      <c r="I68" s="37" t="str">
        <f>Source!BO37</f>
        <v/>
      </c>
      <c r="J68" s="38"/>
      <c r="S68">
        <f>Source!X36</f>
        <v>54.06</v>
      </c>
      <c r="T68">
        <f>Source!X37</f>
        <v>323.83</v>
      </c>
      <c r="U68">
        <f>Source!Y36</f>
        <v>42.33</v>
      </c>
      <c r="V68">
        <f>Source!Y37</f>
        <v>253.6</v>
      </c>
    </row>
    <row r="69" spans="1:22" x14ac:dyDescent="0.2">
      <c r="D69" s="28" t="str">
        <f>"Объем: "&amp;Source!I36&amp;"=18,36/"&amp;"100"</f>
        <v>Объем: 0,1836=18,36/100</v>
      </c>
    </row>
    <row r="70" spans="1:22" ht="14.25" x14ac:dyDescent="0.2">
      <c r="A70" s="53"/>
      <c r="B70" s="53"/>
      <c r="C70" s="54"/>
      <c r="D70" s="54" t="s">
        <v>479</v>
      </c>
      <c r="E70" s="37"/>
      <c r="F70" s="13"/>
      <c r="G70" s="36">
        <f>Source!AO36</f>
        <v>353.23</v>
      </c>
      <c r="H70" s="38">
        <f>Source!S36</f>
        <v>64.849999999999994</v>
      </c>
      <c r="I70" s="37">
        <f>IF(Source!BA37&lt;&gt; 0, Source!BA37, 1)</f>
        <v>5.99</v>
      </c>
      <c r="J70" s="38">
        <f>Source!S37</f>
        <v>388.47</v>
      </c>
      <c r="R70">
        <f>H70</f>
        <v>64.849999999999994</v>
      </c>
    </row>
    <row r="71" spans="1:22" ht="14.25" x14ac:dyDescent="0.2">
      <c r="A71" s="53"/>
      <c r="B71" s="53"/>
      <c r="C71" s="54"/>
      <c r="D71" s="54" t="s">
        <v>170</v>
      </c>
      <c r="E71" s="37"/>
      <c r="F71" s="13"/>
      <c r="G71" s="36">
        <f>Source!AM36</f>
        <v>5.13</v>
      </c>
      <c r="H71" s="38">
        <f>Source!Q36</f>
        <v>0.94</v>
      </c>
      <c r="I71" s="37">
        <f>IF(Source!BB37&lt;&gt; 0, Source!BB37, 1)</f>
        <v>5.99</v>
      </c>
      <c r="J71" s="38">
        <f>Source!Q37</f>
        <v>5.64</v>
      </c>
    </row>
    <row r="72" spans="1:22" ht="14.25" x14ac:dyDescent="0.2">
      <c r="A72" s="53"/>
      <c r="B72" s="53"/>
      <c r="C72" s="54"/>
      <c r="D72" s="54" t="s">
        <v>396</v>
      </c>
      <c r="E72" s="37"/>
      <c r="F72" s="13"/>
      <c r="G72" s="36">
        <f>Source!AN36</f>
        <v>1.54</v>
      </c>
      <c r="H72" s="40">
        <f>Source!R36</f>
        <v>0.28000000000000003</v>
      </c>
      <c r="I72" s="37">
        <f>IF(Source!BS37&lt;&gt; 0, Source!BS37, 1)</f>
        <v>5.99</v>
      </c>
      <c r="J72" s="40">
        <f>Source!R37</f>
        <v>1.69</v>
      </c>
      <c r="R72">
        <f>H72</f>
        <v>0.28000000000000003</v>
      </c>
    </row>
    <row r="73" spans="1:22" ht="14.25" x14ac:dyDescent="0.2">
      <c r="A73" s="53"/>
      <c r="B73" s="53"/>
      <c r="C73" s="54"/>
      <c r="D73" s="54" t="s">
        <v>402</v>
      </c>
      <c r="E73" s="37"/>
      <c r="F73" s="13"/>
      <c r="G73" s="36">
        <f>Source!AL36</f>
        <v>96.05</v>
      </c>
      <c r="H73" s="38">
        <f>Source!P36</f>
        <v>17.63</v>
      </c>
      <c r="I73" s="37">
        <f>IF(Source!BC37&lt;&gt; 0, Source!BC37, 1)</f>
        <v>5.99</v>
      </c>
      <c r="J73" s="38">
        <f>Source!P37</f>
        <v>105.63</v>
      </c>
    </row>
    <row r="74" spans="1:22" ht="14.25" x14ac:dyDescent="0.2">
      <c r="A74" s="53">
        <v>8</v>
      </c>
      <c r="B74" s="53" t="str">
        <f>Source!E38</f>
        <v>4,1</v>
      </c>
      <c r="C74" s="54" t="str">
        <f>Source!F38</f>
        <v>01.7.07.07</v>
      </c>
      <c r="D74" s="54" t="str">
        <f>Source!G38</f>
        <v>Строительный мусор</v>
      </c>
      <c r="E74" s="37" t="str">
        <f>Source!H38</f>
        <v>т</v>
      </c>
      <c r="F74" s="13">
        <f>Source!I38</f>
        <v>4.1126000000000003E-2</v>
      </c>
      <c r="G74" s="36">
        <f>Source!AK38</f>
        <v>0</v>
      </c>
      <c r="H74" s="38">
        <f>Source!O38</f>
        <v>0</v>
      </c>
      <c r="I74" s="37">
        <f>IF(Source!BC39&lt;&gt; 0, Source!BC39, 1)</f>
        <v>5.99</v>
      </c>
      <c r="J74" s="38">
        <f>Source!O39</f>
        <v>0</v>
      </c>
      <c r="S74">
        <f>Source!X38</f>
        <v>0</v>
      </c>
      <c r="T74">
        <f>Source!X39</f>
        <v>0</v>
      </c>
      <c r="U74">
        <f>Source!Y38</f>
        <v>0</v>
      </c>
      <c r="V74">
        <f>Source!Y39</f>
        <v>0</v>
      </c>
    </row>
    <row r="75" spans="1:22" ht="14.25" x14ac:dyDescent="0.2">
      <c r="A75" s="53">
        <v>9</v>
      </c>
      <c r="B75" s="53" t="str">
        <f>Source!E40</f>
        <v>4,2</v>
      </c>
      <c r="C75" s="54" t="str">
        <f>Source!F40</f>
        <v>08.3.05.05</v>
      </c>
      <c r="D75" s="54" t="str">
        <f>Source!G40</f>
        <v>Сталь листовая оцинкованная</v>
      </c>
      <c r="E75" s="37" t="str">
        <f>Source!H40</f>
        <v>т</v>
      </c>
      <c r="F75" s="13">
        <f>Source!I40</f>
        <v>3.3782E-2</v>
      </c>
      <c r="G75" s="36">
        <f>Source!AK40</f>
        <v>0</v>
      </c>
      <c r="H75" s="38">
        <f>Source!O40</f>
        <v>0</v>
      </c>
      <c r="I75" s="37">
        <f>IF(Source!BC41&lt;&gt; 0, Source!BC41, 1)</f>
        <v>5.99</v>
      </c>
      <c r="J75" s="38">
        <f>Source!O41</f>
        <v>0</v>
      </c>
      <c r="S75">
        <f>Source!X40</f>
        <v>0</v>
      </c>
      <c r="T75">
        <f>Source!X41</f>
        <v>0</v>
      </c>
      <c r="U75">
        <f>Source!Y40</f>
        <v>0</v>
      </c>
      <c r="V75">
        <f>Source!Y41</f>
        <v>0</v>
      </c>
    </row>
    <row r="76" spans="1:22" ht="42.75" x14ac:dyDescent="0.2">
      <c r="A76" s="53">
        <v>10</v>
      </c>
      <c r="B76" s="53" t="str">
        <f>Source!E42</f>
        <v>4,3</v>
      </c>
      <c r="C76" s="54" t="str">
        <f>Source!F42</f>
        <v>08.3.05.05-0081</v>
      </c>
      <c r="D76" s="54" t="str">
        <f>Source!G42</f>
        <v>Сталь оцинкованная в рулонах толщиной 0,5 мм, с полимерным покрытием</v>
      </c>
      <c r="E76" s="37" t="str">
        <f>Source!H42</f>
        <v>т</v>
      </c>
      <c r="F76" s="13">
        <f>Source!I42</f>
        <v>3.3782E-2</v>
      </c>
      <c r="G76" s="36">
        <f>Source!AK42</f>
        <v>8715.1</v>
      </c>
      <c r="H76" s="38">
        <f>Source!O42</f>
        <v>294.41000000000003</v>
      </c>
      <c r="I76" s="37">
        <f>IF(Source!BC43&lt;&gt; 0, Source!BC43, 1)</f>
        <v>5.99</v>
      </c>
      <c r="J76" s="38">
        <f>Source!O43</f>
        <v>1763.54</v>
      </c>
      <c r="S76">
        <f>Source!X42</f>
        <v>0</v>
      </c>
      <c r="T76">
        <f>Source!X43</f>
        <v>0</v>
      </c>
      <c r="U76">
        <f>Source!Y42</f>
        <v>0</v>
      </c>
      <c r="V76">
        <f>Source!Y43</f>
        <v>0</v>
      </c>
    </row>
    <row r="77" spans="1:22" ht="42.75" x14ac:dyDescent="0.2">
      <c r="A77" s="53">
        <v>11</v>
      </c>
      <c r="B77" s="53" t="str">
        <f>Source!E44</f>
        <v>4,4</v>
      </c>
      <c r="C77" s="54" t="str">
        <f>Source!F44</f>
        <v>08.1.02.03-0021</v>
      </c>
      <c r="D77" s="54" t="str">
        <f>Source!G44</f>
        <v>Водоотлив оконный шириной планки 250 мм из оцинкованной стали с полимерным покрытием</v>
      </c>
      <c r="E77" s="37" t="str">
        <f>Source!H44</f>
        <v>П.М</v>
      </c>
      <c r="F77" s="13">
        <f>Source!I44</f>
        <v>18.36</v>
      </c>
      <c r="G77" s="36">
        <f>Source!AK44</f>
        <v>26.41</v>
      </c>
      <c r="H77" s="38">
        <f>Source!O44</f>
        <v>484.89</v>
      </c>
      <c r="I77" s="37">
        <f>IF(Source!BC45&lt;&gt; 0, Source!BC45, 1)</f>
        <v>5.99</v>
      </c>
      <c r="J77" s="38">
        <f>Source!O45</f>
        <v>2904.48</v>
      </c>
      <c r="S77">
        <f>Source!X44</f>
        <v>0</v>
      </c>
      <c r="T77">
        <f>Source!X45</f>
        <v>0</v>
      </c>
      <c r="U77">
        <f>Source!Y44</f>
        <v>0</v>
      </c>
      <c r="V77">
        <f>Source!Y45</f>
        <v>0</v>
      </c>
    </row>
    <row r="78" spans="1:22" ht="14.25" x14ac:dyDescent="0.2">
      <c r="A78" s="53"/>
      <c r="B78" s="53"/>
      <c r="C78" s="54"/>
      <c r="D78" s="54" t="s">
        <v>397</v>
      </c>
      <c r="E78" s="37" t="s">
        <v>398</v>
      </c>
      <c r="F78" s="13"/>
      <c r="G78" s="36">
        <f>Source!AT36</f>
        <v>83</v>
      </c>
      <c r="H78" s="38">
        <f>SUM(S68:S77)</f>
        <v>54.06</v>
      </c>
      <c r="I78" s="37"/>
      <c r="J78" s="38">
        <f>SUM(T68:T77)</f>
        <v>323.83</v>
      </c>
    </row>
    <row r="79" spans="1:22" ht="14.25" x14ac:dyDescent="0.2">
      <c r="A79" s="53"/>
      <c r="B79" s="53"/>
      <c r="C79" s="54"/>
      <c r="D79" s="54" t="s">
        <v>399</v>
      </c>
      <c r="E79" s="37" t="s">
        <v>398</v>
      </c>
      <c r="F79" s="13"/>
      <c r="G79" s="36">
        <f>Source!AU36</f>
        <v>65</v>
      </c>
      <c r="H79" s="38">
        <f>SUM(U68:U78)</f>
        <v>42.33</v>
      </c>
      <c r="I79" s="37"/>
      <c r="J79" s="38">
        <f>SUM(V68:V78)</f>
        <v>253.6</v>
      </c>
    </row>
    <row r="80" spans="1:22" ht="14.25" x14ac:dyDescent="0.2">
      <c r="A80" s="55"/>
      <c r="B80" s="55"/>
      <c r="C80" s="56"/>
      <c r="D80" s="56" t="s">
        <v>480</v>
      </c>
      <c r="E80" s="45" t="s">
        <v>401</v>
      </c>
      <c r="F80" s="43">
        <f>Source!AQ36</f>
        <v>41.41</v>
      </c>
      <c r="G80" s="44"/>
      <c r="H80" s="46">
        <f>Source!U37</f>
        <v>7.6028760000000002</v>
      </c>
      <c r="I80" s="45"/>
      <c r="J80" s="46"/>
    </row>
    <row r="81" spans="1:22" ht="15" x14ac:dyDescent="0.25">
      <c r="G81" s="106">
        <f xml:space="preserve"> Source!P36+Source!Q36+Source!S36+SUM(H74:H79)</f>
        <v>959.1099999999999</v>
      </c>
      <c r="H81" s="106"/>
      <c r="I81" s="106">
        <f xml:space="preserve"> Source!P37+Source!Q37+Source!S37+SUM(J74:J79)</f>
        <v>5745.1900000000005</v>
      </c>
      <c r="J81" s="106"/>
      <c r="O81" s="29">
        <f>G81</f>
        <v>959.1099999999999</v>
      </c>
      <c r="P81" s="29">
        <f>I81</f>
        <v>5745.1900000000005</v>
      </c>
    </row>
    <row r="82" spans="1:22" ht="57" x14ac:dyDescent="0.2">
      <c r="A82" s="53">
        <v>12</v>
      </c>
      <c r="B82" s="53" t="str">
        <f>Source!E46</f>
        <v>5</v>
      </c>
      <c r="C82" s="54" t="str">
        <f>Source!F46</f>
        <v>15-01-050-04</v>
      </c>
      <c r="D82" s="54" t="str">
        <f>Source!G46</f>
        <v>Облицовка оконных и дверных откосов декоративным бумажно-слоистым пластиком или листами из синтетических материалов на клее</v>
      </c>
      <c r="E82" s="37" t="str">
        <f>Source!H46</f>
        <v>100 м2</v>
      </c>
      <c r="F82" s="13">
        <f>Source!I46</f>
        <v>0.1346</v>
      </c>
      <c r="G82" s="36">
        <f>IF(Source!AK46&lt;&gt; 0, Source!AK46,Source!AL46 + Source!AM46 + Source!AO46)</f>
        <v>1563.91</v>
      </c>
      <c r="H82" s="38"/>
      <c r="I82" s="37" t="str">
        <f>Source!BO47</f>
        <v/>
      </c>
      <c r="J82" s="38"/>
      <c r="S82">
        <f>Source!X46</f>
        <v>196.29</v>
      </c>
      <c r="T82">
        <f>Source!X47</f>
        <v>1175.78</v>
      </c>
      <c r="U82">
        <f>Source!Y46</f>
        <v>97.11</v>
      </c>
      <c r="V82">
        <f>Source!Y47</f>
        <v>581.70000000000005</v>
      </c>
    </row>
    <row r="83" spans="1:22" x14ac:dyDescent="0.2">
      <c r="D83" s="28" t="str">
        <f>"Объем: "&amp;Source!I46&amp;"=13,46/"&amp;"100"</f>
        <v>Объем: 0,1346=13,46/100</v>
      </c>
    </row>
    <row r="84" spans="1:22" ht="14.25" x14ac:dyDescent="0.2">
      <c r="A84" s="53"/>
      <c r="B84" s="53"/>
      <c r="C84" s="54"/>
      <c r="D84" s="54" t="s">
        <v>479</v>
      </c>
      <c r="E84" s="37"/>
      <c r="F84" s="13"/>
      <c r="G84" s="36">
        <f>Source!AO46</f>
        <v>1528.19</v>
      </c>
      <c r="H84" s="38">
        <f>Source!S46</f>
        <v>205.69</v>
      </c>
      <c r="I84" s="37">
        <f>IF(Source!BA47&lt;&gt; 0, Source!BA47, 1)</f>
        <v>5.99</v>
      </c>
      <c r="J84" s="38">
        <f>Source!S47</f>
        <v>1232.1099999999999</v>
      </c>
      <c r="R84">
        <f>H84</f>
        <v>205.69</v>
      </c>
    </row>
    <row r="85" spans="1:22" ht="14.25" x14ac:dyDescent="0.2">
      <c r="A85" s="53"/>
      <c r="B85" s="53"/>
      <c r="C85" s="54"/>
      <c r="D85" s="54" t="s">
        <v>170</v>
      </c>
      <c r="E85" s="37"/>
      <c r="F85" s="13"/>
      <c r="G85" s="36">
        <f>Source!AM46</f>
        <v>35.36</v>
      </c>
      <c r="H85" s="38">
        <f>Source!Q46</f>
        <v>4.76</v>
      </c>
      <c r="I85" s="37">
        <f>IF(Source!BB47&lt;&gt; 0, Source!BB47, 1)</f>
        <v>5.99</v>
      </c>
      <c r="J85" s="38">
        <f>Source!Q47</f>
        <v>28.51</v>
      </c>
    </row>
    <row r="86" spans="1:22" ht="14.25" x14ac:dyDescent="0.2">
      <c r="A86" s="53"/>
      <c r="B86" s="53"/>
      <c r="C86" s="54"/>
      <c r="D86" s="54" t="s">
        <v>396</v>
      </c>
      <c r="E86" s="37"/>
      <c r="F86" s="13"/>
      <c r="G86" s="36">
        <f>Source!AN46</f>
        <v>6.88</v>
      </c>
      <c r="H86" s="40">
        <f>Source!R46</f>
        <v>0.93</v>
      </c>
      <c r="I86" s="37">
        <f>IF(Source!BS47&lt;&gt; 0, Source!BS47, 1)</f>
        <v>5.99</v>
      </c>
      <c r="J86" s="40">
        <f>Source!R47</f>
        <v>5.55</v>
      </c>
      <c r="R86">
        <f>H86</f>
        <v>0.93</v>
      </c>
    </row>
    <row r="87" spans="1:22" ht="14.25" x14ac:dyDescent="0.2">
      <c r="A87" s="53"/>
      <c r="B87" s="53"/>
      <c r="C87" s="54"/>
      <c r="D87" s="54" t="s">
        <v>402</v>
      </c>
      <c r="E87" s="37"/>
      <c r="F87" s="13"/>
      <c r="G87" s="36">
        <f>Source!AL46</f>
        <v>0.36</v>
      </c>
      <c r="H87" s="38">
        <f>Source!P46</f>
        <v>0.05</v>
      </c>
      <c r="I87" s="37">
        <f>IF(Source!BC47&lt;&gt; 0, Source!BC47, 1)</f>
        <v>5.99</v>
      </c>
      <c r="J87" s="38">
        <f>Source!P47</f>
        <v>0.28999999999999998</v>
      </c>
    </row>
    <row r="88" spans="1:22" ht="14.25" x14ac:dyDescent="0.2">
      <c r="A88" s="53">
        <v>13</v>
      </c>
      <c r="B88" s="53" t="str">
        <f>Source!E48</f>
        <v>5,1</v>
      </c>
      <c r="C88" s="54" t="str">
        <f>Source!F48</f>
        <v>01.6.01.11</v>
      </c>
      <c r="D88" s="54" t="str">
        <f>Source!G48</f>
        <v>Листы облицовочные декоративные</v>
      </c>
      <c r="E88" s="37" t="str">
        <f>Source!H48</f>
        <v>м2</v>
      </c>
      <c r="F88" s="13">
        <f>Source!I48</f>
        <v>14.132999999999999</v>
      </c>
      <c r="G88" s="36">
        <f>Source!AK48</f>
        <v>0</v>
      </c>
      <c r="H88" s="38">
        <f>Source!O48</f>
        <v>0</v>
      </c>
      <c r="I88" s="37">
        <f>IF(Source!BC49&lt;&gt; 0, Source!BC49, 1)</f>
        <v>5.99</v>
      </c>
      <c r="J88" s="38">
        <f>Source!O49</f>
        <v>0</v>
      </c>
      <c r="S88">
        <f>Source!X48</f>
        <v>0</v>
      </c>
      <c r="T88">
        <f>Source!X49</f>
        <v>0</v>
      </c>
      <c r="U88">
        <f>Source!Y48</f>
        <v>0</v>
      </c>
      <c r="V88">
        <f>Source!Y49</f>
        <v>0</v>
      </c>
    </row>
    <row r="89" spans="1:22" ht="42.75" x14ac:dyDescent="0.2">
      <c r="A89" s="53">
        <v>14</v>
      </c>
      <c r="B89" s="53" t="str">
        <f>Source!E50</f>
        <v>5,2</v>
      </c>
      <c r="C89" s="54" t="str">
        <f>Source!F50</f>
        <v>11.3.03.05-0001</v>
      </c>
      <c r="D89" s="54" t="str">
        <f>Source!G50</f>
        <v>Панели пластиковые для откосов "Реас Пласт" шириной 0,4 м, длиной 3,0 м, белые матовые, лакированные</v>
      </c>
      <c r="E89" s="37" t="str">
        <f>Source!H50</f>
        <v>м2</v>
      </c>
      <c r="F89" s="13">
        <f>Source!I50</f>
        <v>14.132999999999999</v>
      </c>
      <c r="G89" s="36">
        <f>Source!AK50</f>
        <v>34.380000000000003</v>
      </c>
      <c r="H89" s="38">
        <f>Source!O50</f>
        <v>485.89</v>
      </c>
      <c r="I89" s="37">
        <f>IF(Source!BC51&lt;&gt; 0, Source!BC51, 1)</f>
        <v>5.99</v>
      </c>
      <c r="J89" s="38">
        <f>Source!O51</f>
        <v>2910.5</v>
      </c>
      <c r="S89">
        <f>Source!X50</f>
        <v>0</v>
      </c>
      <c r="T89">
        <f>Source!X51</f>
        <v>0</v>
      </c>
      <c r="U89">
        <f>Source!Y50</f>
        <v>0</v>
      </c>
      <c r="V89">
        <f>Source!Y51</f>
        <v>0</v>
      </c>
    </row>
    <row r="90" spans="1:22" ht="14.25" x14ac:dyDescent="0.2">
      <c r="A90" s="53">
        <v>15</v>
      </c>
      <c r="B90" s="53" t="str">
        <f>Source!E52</f>
        <v>5,3</v>
      </c>
      <c r="C90" s="54" t="str">
        <f>Source!F52</f>
        <v>14.1.06.05</v>
      </c>
      <c r="D90" s="54" t="str">
        <f>Source!G52</f>
        <v>Клей</v>
      </c>
      <c r="E90" s="37" t="str">
        <f>Source!H52</f>
        <v>кг</v>
      </c>
      <c r="F90" s="13">
        <f>Source!I52</f>
        <v>4.0380000000000003</v>
      </c>
      <c r="G90" s="36">
        <f>Source!AK52</f>
        <v>0</v>
      </c>
      <c r="H90" s="38">
        <f>Source!O52</f>
        <v>0</v>
      </c>
      <c r="I90" s="37">
        <f>IF(Source!BC53&lt;&gt; 0, Source!BC53, 1)</f>
        <v>5.99</v>
      </c>
      <c r="J90" s="38">
        <f>Source!O53</f>
        <v>0</v>
      </c>
      <c r="S90">
        <f>Source!X52</f>
        <v>0</v>
      </c>
      <c r="T90">
        <f>Source!X53</f>
        <v>0</v>
      </c>
      <c r="U90">
        <f>Source!Y52</f>
        <v>0</v>
      </c>
      <c r="V90">
        <f>Source!Y53</f>
        <v>0</v>
      </c>
    </row>
    <row r="91" spans="1:22" ht="28.5" x14ac:dyDescent="0.2">
      <c r="A91" s="53">
        <v>16</v>
      </c>
      <c r="B91" s="53" t="str">
        <f>Source!E54</f>
        <v>5,4</v>
      </c>
      <c r="C91" s="54" t="str">
        <f>Source!F54</f>
        <v>14.1.02.03-0002</v>
      </c>
      <c r="D91" s="54" t="str">
        <f>Source!G54</f>
        <v>Клей ПВА</v>
      </c>
      <c r="E91" s="37" t="str">
        <f>Source!H54</f>
        <v>кг</v>
      </c>
      <c r="F91" s="13">
        <f>Source!I54</f>
        <v>4.0380000000000003</v>
      </c>
      <c r="G91" s="36">
        <f>Source!AK54</f>
        <v>15.9</v>
      </c>
      <c r="H91" s="38">
        <f>Source!O54</f>
        <v>64.2</v>
      </c>
      <c r="I91" s="37">
        <f>IF(Source!BC55&lt;&gt; 0, Source!BC55, 1)</f>
        <v>5.99</v>
      </c>
      <c r="J91" s="38">
        <f>Source!O55</f>
        <v>384.58</v>
      </c>
      <c r="S91">
        <f>Source!X54</f>
        <v>0</v>
      </c>
      <c r="T91">
        <f>Source!X55</f>
        <v>0</v>
      </c>
      <c r="U91">
        <f>Source!Y54</f>
        <v>0</v>
      </c>
      <c r="V91">
        <f>Source!Y55</f>
        <v>0</v>
      </c>
    </row>
    <row r="92" spans="1:22" ht="28.5" x14ac:dyDescent="0.2">
      <c r="A92" s="53">
        <v>17</v>
      </c>
      <c r="B92" s="53" t="str">
        <f>Source!E56</f>
        <v>5,5</v>
      </c>
      <c r="C92" s="54" t="str">
        <f>Source!F56</f>
        <v>14.3.01.01-0001</v>
      </c>
      <c r="D92" s="54" t="str">
        <f>Source!G56</f>
        <v>Грунтовка: «Бетоконтакт», КНАУФ</v>
      </c>
      <c r="E92" s="37" t="str">
        <f>Source!H56</f>
        <v>кг</v>
      </c>
      <c r="F92" s="13">
        <f>Source!I56</f>
        <v>1.1979649999999999</v>
      </c>
      <c r="G92" s="36">
        <f>Source!AK56</f>
        <v>15.09</v>
      </c>
      <c r="H92" s="38">
        <f>Source!O56</f>
        <v>18.079999999999998</v>
      </c>
      <c r="I92" s="37">
        <f>IF(Source!BC57&lt;&gt; 0, Source!BC57, 1)</f>
        <v>5.99</v>
      </c>
      <c r="J92" s="38">
        <f>Source!O57</f>
        <v>108.28</v>
      </c>
      <c r="S92">
        <f>Source!X56</f>
        <v>0</v>
      </c>
      <c r="T92">
        <f>Source!X57</f>
        <v>0</v>
      </c>
      <c r="U92">
        <f>Source!Y56</f>
        <v>0</v>
      </c>
      <c r="V92">
        <f>Source!Y57</f>
        <v>0</v>
      </c>
    </row>
    <row r="93" spans="1:22" ht="14.25" x14ac:dyDescent="0.2">
      <c r="A93" s="53">
        <v>18</v>
      </c>
      <c r="B93" s="53" t="str">
        <f>Source!E58</f>
        <v>5,6</v>
      </c>
      <c r="C93" s="54" t="str">
        <f>Source!F58</f>
        <v>14.4.01.21</v>
      </c>
      <c r="D93" s="54" t="str">
        <f>Source!G58</f>
        <v>Грунтовка</v>
      </c>
      <c r="E93" s="37" t="str">
        <f>Source!H58</f>
        <v>т</v>
      </c>
      <c r="F93" s="13">
        <f>Source!I58</f>
        <v>1.1980000000000001E-3</v>
      </c>
      <c r="G93" s="36">
        <f>Source!AK58</f>
        <v>0</v>
      </c>
      <c r="H93" s="38">
        <f>Source!O58</f>
        <v>0</v>
      </c>
      <c r="I93" s="37">
        <f>IF(Source!BC59&lt;&gt; 0, Source!BC59, 1)</f>
        <v>5.99</v>
      </c>
      <c r="J93" s="38">
        <f>Source!O59</f>
        <v>0</v>
      </c>
      <c r="S93">
        <f>Source!X58</f>
        <v>0</v>
      </c>
      <c r="T93">
        <f>Source!X59</f>
        <v>0</v>
      </c>
      <c r="U93">
        <f>Source!Y58</f>
        <v>0</v>
      </c>
      <c r="V93">
        <f>Source!Y59</f>
        <v>0</v>
      </c>
    </row>
    <row r="94" spans="1:22" ht="14.25" x14ac:dyDescent="0.2">
      <c r="A94" s="53"/>
      <c r="B94" s="53"/>
      <c r="C94" s="54"/>
      <c r="D94" s="54" t="s">
        <v>397</v>
      </c>
      <c r="E94" s="37" t="s">
        <v>398</v>
      </c>
      <c r="F94" s="13"/>
      <c r="G94" s="36">
        <f>Source!AT46</f>
        <v>95</v>
      </c>
      <c r="H94" s="38">
        <f>SUM(S82:S93)</f>
        <v>196.29</v>
      </c>
      <c r="I94" s="37"/>
      <c r="J94" s="38">
        <f>SUM(T82:T93)</f>
        <v>1175.78</v>
      </c>
    </row>
    <row r="95" spans="1:22" ht="14.25" x14ac:dyDescent="0.2">
      <c r="A95" s="53"/>
      <c r="B95" s="53"/>
      <c r="C95" s="54"/>
      <c r="D95" s="54" t="s">
        <v>399</v>
      </c>
      <c r="E95" s="37" t="s">
        <v>398</v>
      </c>
      <c r="F95" s="13"/>
      <c r="G95" s="36">
        <f>Source!AU46</f>
        <v>47</v>
      </c>
      <c r="H95" s="38">
        <f>SUM(U82:U94)</f>
        <v>97.11</v>
      </c>
      <c r="I95" s="37"/>
      <c r="J95" s="38">
        <f>SUM(V82:V94)</f>
        <v>581.70000000000005</v>
      </c>
    </row>
    <row r="96" spans="1:22" ht="14.25" x14ac:dyDescent="0.2">
      <c r="A96" s="55"/>
      <c r="B96" s="55"/>
      <c r="C96" s="56"/>
      <c r="D96" s="56" t="s">
        <v>480</v>
      </c>
      <c r="E96" s="45" t="s">
        <v>401</v>
      </c>
      <c r="F96" s="43">
        <f>Source!AQ46</f>
        <v>166.47</v>
      </c>
      <c r="G96" s="44"/>
      <c r="H96" s="46">
        <f>Source!U47</f>
        <v>22.406862</v>
      </c>
      <c r="I96" s="45"/>
      <c r="J96" s="46"/>
    </row>
    <row r="97" spans="1:22" ht="15" x14ac:dyDescent="0.25">
      <c r="G97" s="106">
        <f xml:space="preserve"> Source!P46+Source!Q46+Source!S46+SUM(H88:H95)</f>
        <v>1072.0700000000002</v>
      </c>
      <c r="H97" s="106"/>
      <c r="I97" s="106">
        <f xml:space="preserve"> Source!P47+Source!Q47+Source!S47+SUM(J88:J95)</f>
        <v>6421.75</v>
      </c>
      <c r="J97" s="106"/>
      <c r="O97" s="29">
        <f>G97</f>
        <v>1072.0700000000002</v>
      </c>
      <c r="P97" s="29">
        <f>I97</f>
        <v>6421.75</v>
      </c>
    </row>
    <row r="98" spans="1:22" ht="71.25" x14ac:dyDescent="0.2">
      <c r="A98" s="53">
        <v>19</v>
      </c>
      <c r="B98" s="53" t="str">
        <f>Source!E60</f>
        <v>6</v>
      </c>
      <c r="C98" s="54" t="str">
        <f>Source!F60</f>
        <v>61-2-7</v>
      </c>
      <c r="D98" s="54" t="str">
        <f>Source!G60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E98" s="37" t="str">
        <f>Source!H60</f>
        <v>100 м2</v>
      </c>
      <c r="F98" s="13">
        <f>Source!I60</f>
        <v>0.1346</v>
      </c>
      <c r="G98" s="36">
        <f>IF(Source!AK60&lt;&gt; 0, Source!AK60,Source!AL60 + Source!AM60 + Source!AO60)</f>
        <v>3184.37</v>
      </c>
      <c r="H98" s="38"/>
      <c r="I98" s="37" t="str">
        <f>Source!BO61</f>
        <v/>
      </c>
      <c r="J98" s="38"/>
      <c r="S98">
        <f>Source!X60</f>
        <v>216.1</v>
      </c>
      <c r="T98">
        <f>Source!X61</f>
        <v>1294.42</v>
      </c>
      <c r="U98">
        <f>Source!Y60</f>
        <v>136.77000000000001</v>
      </c>
      <c r="V98">
        <f>Source!Y61</f>
        <v>819.25</v>
      </c>
    </row>
    <row r="99" spans="1:22" x14ac:dyDescent="0.2">
      <c r="D99" s="28" t="str">
        <f>"Объем: "&amp;Source!I60&amp;"=13,46/"&amp;"100"</f>
        <v>Объем: 0,1346=13,46/100</v>
      </c>
    </row>
    <row r="100" spans="1:22" ht="14.25" x14ac:dyDescent="0.2">
      <c r="A100" s="53"/>
      <c r="B100" s="53"/>
      <c r="C100" s="54"/>
      <c r="D100" s="54" t="s">
        <v>479</v>
      </c>
      <c r="E100" s="37"/>
      <c r="F100" s="13"/>
      <c r="G100" s="36">
        <f>Source!AO60</f>
        <v>2023.18</v>
      </c>
      <c r="H100" s="38">
        <f>Source!S60</f>
        <v>272.32</v>
      </c>
      <c r="I100" s="37">
        <f>IF(Source!BA61&lt;&gt; 0, Source!BA61, 1)</f>
        <v>5.99</v>
      </c>
      <c r="J100" s="38">
        <f>Source!S61</f>
        <v>1631.2</v>
      </c>
      <c r="R100">
        <f>H100</f>
        <v>272.32</v>
      </c>
    </row>
    <row r="101" spans="1:22" ht="14.25" x14ac:dyDescent="0.2">
      <c r="A101" s="53"/>
      <c r="B101" s="53"/>
      <c r="C101" s="54"/>
      <c r="D101" s="54" t="s">
        <v>170</v>
      </c>
      <c r="E101" s="37"/>
      <c r="F101" s="13"/>
      <c r="G101" s="36">
        <f>Source!AM60</f>
        <v>20.94</v>
      </c>
      <c r="H101" s="38">
        <f>Source!Q60</f>
        <v>2.82</v>
      </c>
      <c r="I101" s="37">
        <f>IF(Source!BB61&lt;&gt; 0, Source!BB61, 1)</f>
        <v>5.99</v>
      </c>
      <c r="J101" s="38">
        <f>Source!Q61</f>
        <v>16.88</v>
      </c>
    </row>
    <row r="102" spans="1:22" ht="14.25" x14ac:dyDescent="0.2">
      <c r="A102" s="53"/>
      <c r="B102" s="53"/>
      <c r="C102" s="54"/>
      <c r="D102" s="54" t="s">
        <v>396</v>
      </c>
      <c r="E102" s="37"/>
      <c r="F102" s="13"/>
      <c r="G102" s="36">
        <f>Source!AN60</f>
        <v>9.0500000000000007</v>
      </c>
      <c r="H102" s="40">
        <f>Source!R60</f>
        <v>1.22</v>
      </c>
      <c r="I102" s="37">
        <f>IF(Source!BS61&lt;&gt; 0, Source!BS61, 1)</f>
        <v>5.99</v>
      </c>
      <c r="J102" s="40">
        <f>Source!R61</f>
        <v>7.3</v>
      </c>
      <c r="R102">
        <f>H102</f>
        <v>1.22</v>
      </c>
    </row>
    <row r="103" spans="1:22" ht="14.25" x14ac:dyDescent="0.2">
      <c r="A103" s="53"/>
      <c r="B103" s="53"/>
      <c r="C103" s="54"/>
      <c r="D103" s="54" t="s">
        <v>402</v>
      </c>
      <c r="E103" s="37"/>
      <c r="F103" s="13"/>
      <c r="G103" s="36">
        <f>Source!AL60</f>
        <v>1140.25</v>
      </c>
      <c r="H103" s="38">
        <f>Source!P60</f>
        <v>153.47999999999999</v>
      </c>
      <c r="I103" s="37">
        <f>IF(Source!BC61&lt;&gt; 0, Source!BC61, 1)</f>
        <v>5.99</v>
      </c>
      <c r="J103" s="38">
        <f>Source!P61</f>
        <v>919.33</v>
      </c>
    </row>
    <row r="104" spans="1:22" ht="14.25" x14ac:dyDescent="0.2">
      <c r="A104" s="53">
        <v>20</v>
      </c>
      <c r="B104" s="53" t="str">
        <f>Source!E62</f>
        <v>6,1</v>
      </c>
      <c r="C104" s="54" t="str">
        <f>Source!F62</f>
        <v>01.7.07.07</v>
      </c>
      <c r="D104" s="54" t="str">
        <f>Source!G62</f>
        <v>Строительный мусор</v>
      </c>
      <c r="E104" s="37" t="str">
        <f>Source!H62</f>
        <v>т</v>
      </c>
      <c r="F104" s="13">
        <f>Source!I62</f>
        <v>0.45494800000000002</v>
      </c>
      <c r="G104" s="36">
        <f>Source!AK62</f>
        <v>0</v>
      </c>
      <c r="H104" s="38">
        <f>Source!O62</f>
        <v>0</v>
      </c>
      <c r="I104" s="37">
        <f>IF(Source!BC63&lt;&gt; 0, Source!BC63, 1)</f>
        <v>5.99</v>
      </c>
      <c r="J104" s="38">
        <f>Source!O63</f>
        <v>0</v>
      </c>
      <c r="S104">
        <f>Source!X62</f>
        <v>0</v>
      </c>
      <c r="T104">
        <f>Source!X63</f>
        <v>0</v>
      </c>
      <c r="U104">
        <f>Source!Y62</f>
        <v>0</v>
      </c>
      <c r="V104">
        <f>Source!Y63</f>
        <v>0</v>
      </c>
    </row>
    <row r="105" spans="1:22" ht="14.25" x14ac:dyDescent="0.2">
      <c r="A105" s="53"/>
      <c r="B105" s="53"/>
      <c r="C105" s="54"/>
      <c r="D105" s="54" t="s">
        <v>397</v>
      </c>
      <c r="E105" s="37" t="s">
        <v>398</v>
      </c>
      <c r="F105" s="13"/>
      <c r="G105" s="36">
        <f>Source!AT60</f>
        <v>79</v>
      </c>
      <c r="H105" s="38">
        <f>SUM(S98:S104)</f>
        <v>216.1</v>
      </c>
      <c r="I105" s="37"/>
      <c r="J105" s="38">
        <f>SUM(T98:T104)</f>
        <v>1294.42</v>
      </c>
    </row>
    <row r="106" spans="1:22" ht="14.25" x14ac:dyDescent="0.2">
      <c r="A106" s="53"/>
      <c r="B106" s="53"/>
      <c r="C106" s="54"/>
      <c r="D106" s="54" t="s">
        <v>399</v>
      </c>
      <c r="E106" s="37" t="s">
        <v>398</v>
      </c>
      <c r="F106" s="13"/>
      <c r="G106" s="36">
        <f>Source!AU60</f>
        <v>50</v>
      </c>
      <c r="H106" s="38">
        <f>SUM(U98:U105)</f>
        <v>136.77000000000001</v>
      </c>
      <c r="I106" s="37"/>
      <c r="J106" s="38">
        <f>SUM(V98:V105)</f>
        <v>819.25</v>
      </c>
    </row>
    <row r="107" spans="1:22" ht="14.25" x14ac:dyDescent="0.2">
      <c r="A107" s="55"/>
      <c r="B107" s="55"/>
      <c r="C107" s="56"/>
      <c r="D107" s="56" t="s">
        <v>480</v>
      </c>
      <c r="E107" s="45" t="s">
        <v>401</v>
      </c>
      <c r="F107" s="43">
        <f>Source!AQ60</f>
        <v>228.35</v>
      </c>
      <c r="G107" s="44"/>
      <c r="H107" s="46">
        <f>Source!U61</f>
        <v>30.735909999999997</v>
      </c>
      <c r="I107" s="45"/>
      <c r="J107" s="46"/>
    </row>
    <row r="108" spans="1:22" ht="15" x14ac:dyDescent="0.25">
      <c r="G108" s="106">
        <f xml:space="preserve"> Source!P60+Source!Q60+Source!S60+SUM(H104:H106)</f>
        <v>781.49</v>
      </c>
      <c r="H108" s="106"/>
      <c r="I108" s="106">
        <f xml:space="preserve"> Source!P61+Source!Q61+Source!S61+SUM(J104:J106)</f>
        <v>4681.08</v>
      </c>
      <c r="J108" s="106"/>
      <c r="O108" s="29">
        <f>G108</f>
        <v>781.49</v>
      </c>
      <c r="P108" s="29">
        <f>I108</f>
        <v>4681.08</v>
      </c>
    </row>
    <row r="109" spans="1:22" ht="71.25" x14ac:dyDescent="0.2">
      <c r="A109" s="53">
        <v>21</v>
      </c>
      <c r="B109" s="53" t="str">
        <f>Source!E64</f>
        <v>7</v>
      </c>
      <c r="C109" s="54" t="str">
        <f>Source!F64</f>
        <v>62-16-4</v>
      </c>
      <c r="D109" s="54" t="str">
        <f>Source!G64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E109" s="37" t="str">
        <f>Source!H64</f>
        <v>100 м2</v>
      </c>
      <c r="F109" s="13">
        <f>Source!I64</f>
        <v>0.1346</v>
      </c>
      <c r="G109" s="36">
        <f>IF(Source!AK64&lt;&gt; 0, Source!AK64,Source!AL64 + Source!AM64 + Source!AO64)</f>
        <v>759.03</v>
      </c>
      <c r="H109" s="38"/>
      <c r="I109" s="37" t="str">
        <f>Source!BO65</f>
        <v/>
      </c>
      <c r="J109" s="38"/>
      <c r="S109">
        <f>Source!X64</f>
        <v>27.76</v>
      </c>
      <c r="T109">
        <f>Source!X65</f>
        <v>166.27</v>
      </c>
      <c r="U109">
        <f>Source!Y64</f>
        <v>17.350000000000001</v>
      </c>
      <c r="V109">
        <f>Source!Y65</f>
        <v>103.92</v>
      </c>
    </row>
    <row r="110" spans="1:22" x14ac:dyDescent="0.2">
      <c r="D110" s="28" t="str">
        <f>"Объем: "&amp;Source!I64&amp;"=13,46/"&amp;"100"</f>
        <v>Объем: 0,1346=13,46/100</v>
      </c>
    </row>
    <row r="111" spans="1:22" ht="14.25" x14ac:dyDescent="0.2">
      <c r="A111" s="53"/>
      <c r="B111" s="53"/>
      <c r="C111" s="54"/>
      <c r="D111" s="54" t="s">
        <v>479</v>
      </c>
      <c r="E111" s="37"/>
      <c r="F111" s="13"/>
      <c r="G111" s="36">
        <f>Source!AO64</f>
        <v>255.74</v>
      </c>
      <c r="H111" s="38">
        <f>Source!S64</f>
        <v>34.42</v>
      </c>
      <c r="I111" s="37">
        <f>IF(Source!BA65&lt;&gt; 0, Source!BA65, 1)</f>
        <v>5.99</v>
      </c>
      <c r="J111" s="38">
        <f>Source!S65</f>
        <v>206.19</v>
      </c>
      <c r="R111">
        <f>H111</f>
        <v>34.42</v>
      </c>
    </row>
    <row r="112" spans="1:22" ht="14.25" x14ac:dyDescent="0.2">
      <c r="A112" s="53"/>
      <c r="B112" s="53"/>
      <c r="C112" s="54"/>
      <c r="D112" s="54" t="s">
        <v>170</v>
      </c>
      <c r="E112" s="37"/>
      <c r="F112" s="13"/>
      <c r="G112" s="36">
        <f>Source!AM64</f>
        <v>7.07</v>
      </c>
      <c r="H112" s="38">
        <f>Source!Q64</f>
        <v>0.95</v>
      </c>
      <c r="I112" s="37">
        <f>IF(Source!BB65&lt;&gt; 0, Source!BB65, 1)</f>
        <v>5.99</v>
      </c>
      <c r="J112" s="38">
        <f>Source!Q65</f>
        <v>5.7</v>
      </c>
    </row>
    <row r="113" spans="1:22" ht="14.25" x14ac:dyDescent="0.2">
      <c r="A113" s="53"/>
      <c r="B113" s="53"/>
      <c r="C113" s="54"/>
      <c r="D113" s="54" t="s">
        <v>396</v>
      </c>
      <c r="E113" s="37"/>
      <c r="F113" s="13"/>
      <c r="G113" s="36">
        <f>Source!AN64</f>
        <v>2.0499999999999998</v>
      </c>
      <c r="H113" s="40">
        <f>Source!R64</f>
        <v>0.28000000000000003</v>
      </c>
      <c r="I113" s="37">
        <f>IF(Source!BS65&lt;&gt; 0, Source!BS65, 1)</f>
        <v>5.99</v>
      </c>
      <c r="J113" s="40">
        <f>Source!R65</f>
        <v>1.65</v>
      </c>
      <c r="R113">
        <f>H113</f>
        <v>0.28000000000000003</v>
      </c>
    </row>
    <row r="114" spans="1:22" ht="14.25" x14ac:dyDescent="0.2">
      <c r="A114" s="53"/>
      <c r="B114" s="53"/>
      <c r="C114" s="54"/>
      <c r="D114" s="54" t="s">
        <v>402</v>
      </c>
      <c r="E114" s="37"/>
      <c r="F114" s="13"/>
      <c r="G114" s="36">
        <f>Source!AL64</f>
        <v>496.22</v>
      </c>
      <c r="H114" s="38">
        <f>Source!P64</f>
        <v>66.790000000000006</v>
      </c>
      <c r="I114" s="37">
        <f>IF(Source!BC65&lt;&gt; 0, Source!BC65, 1)</f>
        <v>5.99</v>
      </c>
      <c r="J114" s="38">
        <f>Source!P65</f>
        <v>400.08</v>
      </c>
    </row>
    <row r="115" spans="1:22" ht="14.25" x14ac:dyDescent="0.2">
      <c r="A115" s="53">
        <v>22</v>
      </c>
      <c r="B115" s="53" t="str">
        <f>Source!E66</f>
        <v>7,1</v>
      </c>
      <c r="C115" s="54" t="str">
        <f>Source!F66</f>
        <v>14.3.02.01</v>
      </c>
      <c r="D115" s="54" t="str">
        <f>Source!G66</f>
        <v>Краска водоэмульсионная</v>
      </c>
      <c r="E115" s="37" t="str">
        <f>Source!H66</f>
        <v>т</v>
      </c>
      <c r="F115" s="13">
        <f>Source!I66</f>
        <v>9.5569999999999995E-3</v>
      </c>
      <c r="G115" s="36">
        <f>Source!AK66</f>
        <v>0</v>
      </c>
      <c r="H115" s="38">
        <f>Source!O66</f>
        <v>0</v>
      </c>
      <c r="I115" s="37">
        <f>IF(Source!BC67&lt;&gt; 0, Source!BC67, 1)</f>
        <v>5.99</v>
      </c>
      <c r="J115" s="38">
        <f>Source!O67</f>
        <v>0</v>
      </c>
      <c r="S115">
        <f>Source!X66</f>
        <v>0</v>
      </c>
      <c r="T115">
        <f>Source!X67</f>
        <v>0</v>
      </c>
      <c r="U115">
        <f>Source!Y66</f>
        <v>0</v>
      </c>
      <c r="V115">
        <f>Source!Y67</f>
        <v>0</v>
      </c>
    </row>
    <row r="116" spans="1:22" ht="28.5" x14ac:dyDescent="0.2">
      <c r="A116" s="53">
        <v>23</v>
      </c>
      <c r="B116" s="53" t="str">
        <f>Source!E68</f>
        <v>7,2</v>
      </c>
      <c r="C116" s="54" t="str">
        <f>Source!F68</f>
        <v>14.3.02.01-0223</v>
      </c>
      <c r="D116" s="54" t="str">
        <f>Source!G68</f>
        <v>Краска водоэмульсионная для внутренних работ ВАК-15</v>
      </c>
      <c r="E116" s="37" t="str">
        <f>Source!H68</f>
        <v>т</v>
      </c>
      <c r="F116" s="13">
        <f>Source!I68</f>
        <v>9.5569999999999995E-3</v>
      </c>
      <c r="G116" s="36">
        <f>Source!AK68</f>
        <v>19973.669999999998</v>
      </c>
      <c r="H116" s="38">
        <f>Source!O68</f>
        <v>190.89</v>
      </c>
      <c r="I116" s="37">
        <f>IF(Source!BC69&lt;&gt; 0, Source!BC69, 1)</f>
        <v>5.99</v>
      </c>
      <c r="J116" s="38">
        <f>Source!O69</f>
        <v>1143.42</v>
      </c>
      <c r="S116">
        <f>Source!X68</f>
        <v>0</v>
      </c>
      <c r="T116">
        <f>Source!X69</f>
        <v>0</v>
      </c>
      <c r="U116">
        <f>Source!Y68</f>
        <v>0</v>
      </c>
      <c r="V116">
        <f>Source!Y69</f>
        <v>0</v>
      </c>
    </row>
    <row r="117" spans="1:22" ht="14.25" x14ac:dyDescent="0.2">
      <c r="A117" s="53"/>
      <c r="B117" s="53"/>
      <c r="C117" s="54"/>
      <c r="D117" s="54" t="s">
        <v>397</v>
      </c>
      <c r="E117" s="37" t="s">
        <v>398</v>
      </c>
      <c r="F117" s="13"/>
      <c r="G117" s="36">
        <f>Source!AT64</f>
        <v>80</v>
      </c>
      <c r="H117" s="38">
        <f>SUM(S109:S116)</f>
        <v>27.76</v>
      </c>
      <c r="I117" s="37"/>
      <c r="J117" s="38">
        <f>SUM(T109:T116)</f>
        <v>166.27</v>
      </c>
    </row>
    <row r="118" spans="1:22" ht="14.25" x14ac:dyDescent="0.2">
      <c r="A118" s="53"/>
      <c r="B118" s="53"/>
      <c r="C118" s="54"/>
      <c r="D118" s="54" t="s">
        <v>399</v>
      </c>
      <c r="E118" s="37" t="s">
        <v>398</v>
      </c>
      <c r="F118" s="13"/>
      <c r="G118" s="36">
        <f>Source!AU64</f>
        <v>50</v>
      </c>
      <c r="H118" s="38">
        <f>SUM(U109:U117)</f>
        <v>17.350000000000001</v>
      </c>
      <c r="I118" s="37"/>
      <c r="J118" s="38">
        <f>SUM(V109:V117)</f>
        <v>103.92</v>
      </c>
    </row>
    <row r="119" spans="1:22" ht="14.25" x14ac:dyDescent="0.2">
      <c r="A119" s="55"/>
      <c r="B119" s="55"/>
      <c r="C119" s="56"/>
      <c r="D119" s="56" t="s">
        <v>480</v>
      </c>
      <c r="E119" s="45" t="s">
        <v>401</v>
      </c>
      <c r="F119" s="43">
        <f>Source!AQ64</f>
        <v>29.6</v>
      </c>
      <c r="G119" s="44"/>
      <c r="H119" s="46">
        <f>Source!U65</f>
        <v>3.9841600000000001</v>
      </c>
      <c r="I119" s="45"/>
      <c r="J119" s="46"/>
    </row>
    <row r="120" spans="1:22" ht="15" x14ac:dyDescent="0.25">
      <c r="G120" s="106">
        <f xml:space="preserve"> Source!P64+Source!Q64+Source!S64+SUM(H115:H118)</f>
        <v>338.15999999999997</v>
      </c>
      <c r="H120" s="106"/>
      <c r="I120" s="106">
        <f xml:space="preserve"> Source!P65+Source!Q65+Source!S65+SUM(J115:J118)</f>
        <v>2025.5800000000002</v>
      </c>
      <c r="J120" s="106"/>
      <c r="O120" s="29">
        <f>G120</f>
        <v>338.15999999999997</v>
      </c>
      <c r="P120" s="29">
        <f>I120</f>
        <v>2025.5800000000002</v>
      </c>
    </row>
    <row r="121" spans="1:22" ht="71.25" x14ac:dyDescent="0.2">
      <c r="A121" s="53">
        <v>24</v>
      </c>
      <c r="B121" s="53" t="str">
        <f>Source!E70</f>
        <v>8</v>
      </c>
      <c r="C121" s="54" t="str">
        <f>Source!F70</f>
        <v>61-10-3</v>
      </c>
      <c r="D121" s="54" t="str">
        <f>Source!G70</f>
        <v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v>
      </c>
      <c r="E121" s="37" t="str">
        <f>Source!H70</f>
        <v>100 м2</v>
      </c>
      <c r="F121" s="13">
        <f>Source!I70</f>
        <v>7.3400000000000007E-2</v>
      </c>
      <c r="G121" s="36">
        <f>IF(Source!AK70&lt;&gt; 0, Source!AK70,Source!AL70 + Source!AM70 + Source!AO70)</f>
        <v>2786.77</v>
      </c>
      <c r="H121" s="38"/>
      <c r="I121" s="37" t="str">
        <f>Source!BO71</f>
        <v/>
      </c>
      <c r="J121" s="38"/>
      <c r="S121">
        <f>Source!X70</f>
        <v>95.41</v>
      </c>
      <c r="T121">
        <f>Source!X71</f>
        <v>571.48</v>
      </c>
      <c r="U121">
        <f>Source!Y70</f>
        <v>60.39</v>
      </c>
      <c r="V121">
        <f>Source!Y71</f>
        <v>361.7</v>
      </c>
    </row>
    <row r="122" spans="1:22" x14ac:dyDescent="0.2">
      <c r="D122" s="28" t="str">
        <f>"Объем: "&amp;Source!I70&amp;"=7,34/"&amp;"100"</f>
        <v>Объем: 0,0734=7,34/100</v>
      </c>
    </row>
    <row r="123" spans="1:22" ht="14.25" x14ac:dyDescent="0.2">
      <c r="A123" s="53"/>
      <c r="B123" s="53"/>
      <c r="C123" s="54"/>
      <c r="D123" s="54" t="s">
        <v>479</v>
      </c>
      <c r="E123" s="37"/>
      <c r="F123" s="13"/>
      <c r="G123" s="36">
        <f>Source!AO70</f>
        <v>1645.31</v>
      </c>
      <c r="H123" s="38">
        <f>Source!S70</f>
        <v>120.77</v>
      </c>
      <c r="I123" s="37">
        <f>IF(Source!BA71&lt;&gt; 0, Source!BA71, 1)</f>
        <v>5.99</v>
      </c>
      <c r="J123" s="38">
        <f>Source!S71</f>
        <v>723.39</v>
      </c>
      <c r="R123">
        <f>H123</f>
        <v>120.77</v>
      </c>
    </row>
    <row r="124" spans="1:22" ht="14.25" x14ac:dyDescent="0.2">
      <c r="A124" s="53"/>
      <c r="B124" s="53"/>
      <c r="C124" s="54"/>
      <c r="D124" s="54" t="s">
        <v>170</v>
      </c>
      <c r="E124" s="37"/>
      <c r="F124" s="13"/>
      <c r="G124" s="36">
        <f>Source!AM70</f>
        <v>1.21</v>
      </c>
      <c r="H124" s="38">
        <f>Source!Q70</f>
        <v>0.09</v>
      </c>
      <c r="I124" s="37">
        <f>IF(Source!BB71&lt;&gt; 0, Source!BB71, 1)</f>
        <v>5.99</v>
      </c>
      <c r="J124" s="38">
        <f>Source!Q71</f>
        <v>0.53</v>
      </c>
    </row>
    <row r="125" spans="1:22" ht="14.25" x14ac:dyDescent="0.2">
      <c r="A125" s="53"/>
      <c r="B125" s="53"/>
      <c r="C125" s="54"/>
      <c r="D125" s="54" t="s">
        <v>402</v>
      </c>
      <c r="E125" s="37"/>
      <c r="F125" s="13"/>
      <c r="G125" s="36">
        <f>Source!AL70</f>
        <v>1140.25</v>
      </c>
      <c r="H125" s="38">
        <f>Source!P70</f>
        <v>83.69</v>
      </c>
      <c r="I125" s="37">
        <f>IF(Source!BC71&lt;&gt; 0, Source!BC71, 1)</f>
        <v>5.99</v>
      </c>
      <c r="J125" s="38">
        <f>Source!P71</f>
        <v>501.33</v>
      </c>
    </row>
    <row r="126" spans="1:22" ht="14.25" x14ac:dyDescent="0.2">
      <c r="A126" s="53">
        <v>25</v>
      </c>
      <c r="B126" s="53" t="str">
        <f>Source!E72</f>
        <v>8,1</v>
      </c>
      <c r="C126" s="54" t="str">
        <f>Source!F72</f>
        <v>01.7.07.07</v>
      </c>
      <c r="D126" s="54" t="str">
        <f>Source!G72</f>
        <v>Строительный мусор</v>
      </c>
      <c r="E126" s="37" t="str">
        <f>Source!H72</f>
        <v>т</v>
      </c>
      <c r="F126" s="13">
        <f>Source!I72</f>
        <v>0.35525600000000002</v>
      </c>
      <c r="G126" s="36">
        <f>Source!AK72</f>
        <v>0</v>
      </c>
      <c r="H126" s="38">
        <f>Source!O72</f>
        <v>0</v>
      </c>
      <c r="I126" s="37">
        <f>IF(Source!BC73&lt;&gt; 0, Source!BC73, 1)</f>
        <v>5.99</v>
      </c>
      <c r="J126" s="38">
        <f>Source!O73</f>
        <v>0</v>
      </c>
      <c r="S126">
        <f>Source!X72</f>
        <v>0</v>
      </c>
      <c r="T126">
        <f>Source!X73</f>
        <v>0</v>
      </c>
      <c r="U126">
        <f>Source!Y72</f>
        <v>0</v>
      </c>
      <c r="V126">
        <f>Source!Y73</f>
        <v>0</v>
      </c>
    </row>
    <row r="127" spans="1:22" ht="14.25" x14ac:dyDescent="0.2">
      <c r="A127" s="53"/>
      <c r="B127" s="53"/>
      <c r="C127" s="54"/>
      <c r="D127" s="54" t="s">
        <v>397</v>
      </c>
      <c r="E127" s="37" t="s">
        <v>398</v>
      </c>
      <c r="F127" s="13"/>
      <c r="G127" s="36">
        <f>Source!AT70</f>
        <v>79</v>
      </c>
      <c r="H127" s="38">
        <f>SUM(S121:S126)</f>
        <v>95.41</v>
      </c>
      <c r="I127" s="37"/>
      <c r="J127" s="38">
        <f>SUM(T121:T126)</f>
        <v>571.48</v>
      </c>
    </row>
    <row r="128" spans="1:22" ht="14.25" x14ac:dyDescent="0.2">
      <c r="A128" s="53"/>
      <c r="B128" s="53"/>
      <c r="C128" s="54"/>
      <c r="D128" s="54" t="s">
        <v>399</v>
      </c>
      <c r="E128" s="37" t="s">
        <v>398</v>
      </c>
      <c r="F128" s="13"/>
      <c r="G128" s="36">
        <f>Source!AU70</f>
        <v>50</v>
      </c>
      <c r="H128" s="38">
        <f>SUM(U121:U127)</f>
        <v>60.39</v>
      </c>
      <c r="I128" s="37"/>
      <c r="J128" s="38">
        <f>SUM(V121:V127)</f>
        <v>361.7</v>
      </c>
    </row>
    <row r="129" spans="1:22" ht="14.25" x14ac:dyDescent="0.2">
      <c r="A129" s="55"/>
      <c r="B129" s="55"/>
      <c r="C129" s="56"/>
      <c r="D129" s="56" t="s">
        <v>480</v>
      </c>
      <c r="E129" s="45" t="s">
        <v>401</v>
      </c>
      <c r="F129" s="43">
        <f>Source!AQ70</f>
        <v>188.25</v>
      </c>
      <c r="G129" s="44"/>
      <c r="H129" s="46">
        <f>Source!U71</f>
        <v>13.817550000000001</v>
      </c>
      <c r="I129" s="45"/>
      <c r="J129" s="46"/>
    </row>
    <row r="130" spans="1:22" ht="15" x14ac:dyDescent="0.25">
      <c r="G130" s="106">
        <f xml:space="preserve"> Source!P70+Source!Q70+Source!S70+SUM(H126:H128)</f>
        <v>360.35</v>
      </c>
      <c r="H130" s="106"/>
      <c r="I130" s="106">
        <f xml:space="preserve"> Source!P71+Source!Q71+Source!S71+SUM(J126:J128)</f>
        <v>2158.4300000000003</v>
      </c>
      <c r="J130" s="106"/>
      <c r="O130" s="29">
        <f>G130</f>
        <v>360.35</v>
      </c>
      <c r="P130" s="29">
        <f>I130</f>
        <v>2158.4300000000003</v>
      </c>
    </row>
    <row r="131" spans="1:22" ht="42.75" x14ac:dyDescent="0.2">
      <c r="A131" s="53">
        <v>26</v>
      </c>
      <c r="B131" s="53" t="str">
        <f>Source!E74</f>
        <v>9</v>
      </c>
      <c r="C131" s="54" t="str">
        <f>Source!F74</f>
        <v>15-04-012-01</v>
      </c>
      <c r="D131" s="54" t="str">
        <f>Source!G74</f>
        <v>Окраска фасадов с лесов с подготовкой поверхности перхлорвиниловая</v>
      </c>
      <c r="E131" s="37" t="str">
        <f>Source!H74</f>
        <v>100 м2</v>
      </c>
      <c r="F131" s="13">
        <f>Source!I74</f>
        <v>7.3400000000000007E-2</v>
      </c>
      <c r="G131" s="36">
        <f>IF(Source!AK74&lt;&gt; 0, Source!AK74,Source!AL74 + Source!AM74 + Source!AO74)</f>
        <v>685.42</v>
      </c>
      <c r="H131" s="38"/>
      <c r="I131" s="37" t="str">
        <f>Source!BO75</f>
        <v/>
      </c>
      <c r="J131" s="38"/>
      <c r="S131">
        <f>Source!X74</f>
        <v>9.1999999999999993</v>
      </c>
      <c r="T131">
        <f>Source!X75</f>
        <v>55.1</v>
      </c>
      <c r="U131">
        <f>Source!Y74</f>
        <v>4.55</v>
      </c>
      <c r="V131">
        <f>Source!Y75</f>
        <v>27.26</v>
      </c>
    </row>
    <row r="132" spans="1:22" x14ac:dyDescent="0.2">
      <c r="D132" s="28" t="str">
        <f>"Объем: "&amp;Source!I74&amp;"=7,34/"&amp;"100"</f>
        <v>Объем: 0,0734=7,34/100</v>
      </c>
    </row>
    <row r="133" spans="1:22" ht="14.25" x14ac:dyDescent="0.2">
      <c r="A133" s="53"/>
      <c r="B133" s="53"/>
      <c r="C133" s="54"/>
      <c r="D133" s="54" t="s">
        <v>479</v>
      </c>
      <c r="E133" s="37"/>
      <c r="F133" s="13"/>
      <c r="G133" s="36">
        <f>Source!AO74</f>
        <v>130.52000000000001</v>
      </c>
      <c r="H133" s="38">
        <f>Source!S74</f>
        <v>9.58</v>
      </c>
      <c r="I133" s="37">
        <f>IF(Source!BA75&lt;&gt; 0, Source!BA75, 1)</f>
        <v>5.99</v>
      </c>
      <c r="J133" s="38">
        <f>Source!S75</f>
        <v>57.39</v>
      </c>
      <c r="R133">
        <f>H133</f>
        <v>9.58</v>
      </c>
    </row>
    <row r="134" spans="1:22" ht="14.25" x14ac:dyDescent="0.2">
      <c r="A134" s="53"/>
      <c r="B134" s="53"/>
      <c r="C134" s="54"/>
      <c r="D134" s="54" t="s">
        <v>170</v>
      </c>
      <c r="E134" s="37"/>
      <c r="F134" s="13"/>
      <c r="G134" s="36">
        <f>Source!AM74</f>
        <v>8.3000000000000007</v>
      </c>
      <c r="H134" s="38">
        <f>Source!Q74</f>
        <v>0.61</v>
      </c>
      <c r="I134" s="37">
        <f>IF(Source!BB75&lt;&gt; 0, Source!BB75, 1)</f>
        <v>5.99</v>
      </c>
      <c r="J134" s="38">
        <f>Source!Q75</f>
        <v>3.65</v>
      </c>
    </row>
    <row r="135" spans="1:22" ht="14.25" x14ac:dyDescent="0.2">
      <c r="A135" s="53"/>
      <c r="B135" s="53"/>
      <c r="C135" s="54"/>
      <c r="D135" s="54" t="s">
        <v>396</v>
      </c>
      <c r="E135" s="37"/>
      <c r="F135" s="13"/>
      <c r="G135" s="36">
        <f>Source!AN74</f>
        <v>1.39</v>
      </c>
      <c r="H135" s="40">
        <f>Source!R74</f>
        <v>0.1</v>
      </c>
      <c r="I135" s="37">
        <f>IF(Source!BS75&lt;&gt; 0, Source!BS75, 1)</f>
        <v>5.99</v>
      </c>
      <c r="J135" s="40">
        <f>Source!R75</f>
        <v>0.61</v>
      </c>
      <c r="R135">
        <f>H135</f>
        <v>0.1</v>
      </c>
    </row>
    <row r="136" spans="1:22" ht="14.25" x14ac:dyDescent="0.2">
      <c r="A136" s="53"/>
      <c r="B136" s="53"/>
      <c r="C136" s="54"/>
      <c r="D136" s="54" t="s">
        <v>402</v>
      </c>
      <c r="E136" s="37"/>
      <c r="F136" s="13"/>
      <c r="G136" s="36">
        <f>Source!AL74</f>
        <v>546.6</v>
      </c>
      <c r="H136" s="38">
        <f>Source!P74</f>
        <v>40.119999999999997</v>
      </c>
      <c r="I136" s="37">
        <f>IF(Source!BC75&lt;&gt; 0, Source!BC75, 1)</f>
        <v>5.99</v>
      </c>
      <c r="J136" s="38">
        <f>Source!P75</f>
        <v>240.32</v>
      </c>
    </row>
    <row r="137" spans="1:22" ht="14.25" x14ac:dyDescent="0.2">
      <c r="A137" s="53">
        <v>27</v>
      </c>
      <c r="B137" s="53" t="str">
        <f>Source!E76</f>
        <v>9,1</v>
      </c>
      <c r="C137" s="54" t="str">
        <f>Source!F76</f>
        <v>14.4.02.07</v>
      </c>
      <c r="D137" s="54" t="str">
        <f>Source!G76</f>
        <v>Краски перхлорвиниловые</v>
      </c>
      <c r="E137" s="37" t="str">
        <f>Source!H76</f>
        <v>т</v>
      </c>
      <c r="F137" s="13">
        <f>Source!I76</f>
        <v>4.3309999999999998E-3</v>
      </c>
      <c r="G137" s="36">
        <f>Source!AK76</f>
        <v>0</v>
      </c>
      <c r="H137" s="38">
        <f>Source!O76</f>
        <v>0</v>
      </c>
      <c r="I137" s="37">
        <f>IF(Source!BC77&lt;&gt; 0, Source!BC77, 1)</f>
        <v>5.99</v>
      </c>
      <c r="J137" s="38">
        <f>Source!O77</f>
        <v>0</v>
      </c>
      <c r="S137">
        <f>Source!X76</f>
        <v>0</v>
      </c>
      <c r="T137">
        <f>Source!X77</f>
        <v>0</v>
      </c>
      <c r="U137">
        <f>Source!Y76</f>
        <v>0</v>
      </c>
      <c r="V137">
        <f>Source!Y77</f>
        <v>0</v>
      </c>
    </row>
    <row r="138" spans="1:22" ht="28.5" x14ac:dyDescent="0.2">
      <c r="A138" s="53">
        <v>28</v>
      </c>
      <c r="B138" s="53" t="str">
        <f>Source!E78</f>
        <v>9,2</v>
      </c>
      <c r="C138" s="54" t="str">
        <f>Source!F78</f>
        <v>14.4.02.07-0002</v>
      </c>
      <c r="D138" s="54" t="str">
        <f>Source!G78</f>
        <v>Краска ХВ-161 перхлорвиниловая фасадная марок А, Б</v>
      </c>
      <c r="E138" s="37" t="str">
        <f>Source!H78</f>
        <v>т</v>
      </c>
      <c r="F138" s="13">
        <f>Source!I78</f>
        <v>4.3309999999999998E-3</v>
      </c>
      <c r="G138" s="36">
        <f>Source!AK78</f>
        <v>15989</v>
      </c>
      <c r="H138" s="38">
        <f>Source!O78</f>
        <v>69.25</v>
      </c>
      <c r="I138" s="37">
        <f>IF(Source!BC79&lt;&gt; 0, Source!BC79, 1)</f>
        <v>5.99</v>
      </c>
      <c r="J138" s="38">
        <f>Source!O79</f>
        <v>414.8</v>
      </c>
      <c r="S138">
        <f>Source!X78</f>
        <v>0</v>
      </c>
      <c r="T138">
        <f>Source!X79</f>
        <v>0</v>
      </c>
      <c r="U138">
        <f>Source!Y78</f>
        <v>0</v>
      </c>
      <c r="V138">
        <f>Source!Y79</f>
        <v>0</v>
      </c>
    </row>
    <row r="139" spans="1:22" ht="14.25" x14ac:dyDescent="0.2">
      <c r="A139" s="53"/>
      <c r="B139" s="53"/>
      <c r="C139" s="54"/>
      <c r="D139" s="54" t="s">
        <v>397</v>
      </c>
      <c r="E139" s="37" t="s">
        <v>398</v>
      </c>
      <c r="F139" s="13"/>
      <c r="G139" s="36">
        <f>Source!AT74</f>
        <v>95</v>
      </c>
      <c r="H139" s="38">
        <f>SUM(S131:S138)</f>
        <v>9.1999999999999993</v>
      </c>
      <c r="I139" s="37"/>
      <c r="J139" s="38">
        <f>SUM(T131:T138)</f>
        <v>55.1</v>
      </c>
    </row>
    <row r="140" spans="1:22" ht="14.25" x14ac:dyDescent="0.2">
      <c r="A140" s="53"/>
      <c r="B140" s="53"/>
      <c r="C140" s="54"/>
      <c r="D140" s="54" t="s">
        <v>399</v>
      </c>
      <c r="E140" s="37" t="s">
        <v>398</v>
      </c>
      <c r="F140" s="13"/>
      <c r="G140" s="36">
        <f>Source!AU74</f>
        <v>47</v>
      </c>
      <c r="H140" s="38">
        <f>SUM(U131:U139)</f>
        <v>4.55</v>
      </c>
      <c r="I140" s="37"/>
      <c r="J140" s="38">
        <f>SUM(V131:V139)</f>
        <v>27.26</v>
      </c>
    </row>
    <row r="141" spans="1:22" ht="14.25" x14ac:dyDescent="0.2">
      <c r="A141" s="55"/>
      <c r="B141" s="55"/>
      <c r="C141" s="56"/>
      <c r="D141" s="56" t="s">
        <v>480</v>
      </c>
      <c r="E141" s="45" t="s">
        <v>401</v>
      </c>
      <c r="F141" s="43">
        <f>Source!AQ74</f>
        <v>14.39</v>
      </c>
      <c r="G141" s="44"/>
      <c r="H141" s="46">
        <f>Source!U75</f>
        <v>1.0562260000000001</v>
      </c>
      <c r="I141" s="45"/>
      <c r="J141" s="46"/>
    </row>
    <row r="142" spans="1:22" ht="15" x14ac:dyDescent="0.25">
      <c r="G142" s="106">
        <f xml:space="preserve"> Source!P74+Source!Q74+Source!S74+SUM(H137:H140)</f>
        <v>133.31</v>
      </c>
      <c r="H142" s="106"/>
      <c r="I142" s="106">
        <f xml:space="preserve"> Source!P75+Source!Q75+Source!S75+SUM(J137:J140)</f>
        <v>798.52</v>
      </c>
      <c r="J142" s="106"/>
      <c r="O142" s="29">
        <f>G142</f>
        <v>133.31</v>
      </c>
      <c r="P142" s="29">
        <f>I142</f>
        <v>798.52</v>
      </c>
    </row>
    <row r="143" spans="1:22" ht="42.75" x14ac:dyDescent="0.2">
      <c r="A143" s="55">
        <v>29</v>
      </c>
      <c r="B143" s="55" t="str">
        <f>Source!E80</f>
        <v>10</v>
      </c>
      <c r="C143" s="56" t="str">
        <f>Source!F80</f>
        <v>т01-01-01-041</v>
      </c>
      <c r="D143" s="56" t="str">
        <f>Source!G80</f>
        <v>Погрузочные работы при автомобильных перевозках мусора строительного с погрузкой вручную</v>
      </c>
      <c r="E143" s="45" t="str">
        <f>Source!H80</f>
        <v>1 Т ГРУЗА</v>
      </c>
      <c r="F143" s="43">
        <f>Source!I80</f>
        <v>3.1</v>
      </c>
      <c r="G143" s="44">
        <f>Source!AK80</f>
        <v>42.98</v>
      </c>
      <c r="H143" s="46">
        <f>Source!GM80</f>
        <v>133.24</v>
      </c>
      <c r="I143" s="45">
        <f>Source!AZ81</f>
        <v>5.99</v>
      </c>
      <c r="J143" s="46">
        <f>Source!GM81</f>
        <v>798.1</v>
      </c>
      <c r="S143">
        <f>Source!X80</f>
        <v>0</v>
      </c>
      <c r="T143">
        <f>Source!X81</f>
        <v>0</v>
      </c>
      <c r="U143">
        <f>Source!Y80</f>
        <v>0</v>
      </c>
      <c r="V143">
        <f>Source!Y81</f>
        <v>0</v>
      </c>
    </row>
    <row r="144" spans="1:22" ht="15" x14ac:dyDescent="0.25">
      <c r="G144" s="106">
        <f>H143+SUM(H144:H144)</f>
        <v>133.24</v>
      </c>
      <c r="H144" s="106"/>
      <c r="I144" s="106">
        <f>J143+SUM(J144:J144)</f>
        <v>798.1</v>
      </c>
      <c r="J144" s="106"/>
      <c r="O144" s="29">
        <f>G144</f>
        <v>133.24</v>
      </c>
      <c r="P144" s="29">
        <f>I144</f>
        <v>798.1</v>
      </c>
    </row>
    <row r="145" spans="1:32" ht="57" x14ac:dyDescent="0.2">
      <c r="A145" s="55">
        <v>30</v>
      </c>
      <c r="B145" s="55" t="str">
        <f>Source!E82</f>
        <v>11</v>
      </c>
      <c r="C145" s="56" t="str">
        <f>Source!F82</f>
        <v>т03-21-01-015</v>
      </c>
      <c r="D145" s="56" t="str">
        <f>Source!G82</f>
        <v>Перевозка грузов I класса автомобилями-самосвалами грузоподъемностью 10 т работающих вне карьера на расстояние до 15 км</v>
      </c>
      <c r="E145" s="45" t="str">
        <f>Source!H82</f>
        <v>1 Т ГРУЗА</v>
      </c>
      <c r="F145" s="43">
        <f>Source!I82</f>
        <v>3.1</v>
      </c>
      <c r="G145" s="44">
        <f>Source!AK82</f>
        <v>13.38</v>
      </c>
      <c r="H145" s="46">
        <f>Source!GM82</f>
        <v>41.48</v>
      </c>
      <c r="I145" s="45">
        <f>Source!AZ83</f>
        <v>5.99</v>
      </c>
      <c r="J145" s="46">
        <f>Source!GM83</f>
        <v>248.45</v>
      </c>
      <c r="S145">
        <f>Source!X82</f>
        <v>0</v>
      </c>
      <c r="T145">
        <f>Source!X83</f>
        <v>0</v>
      </c>
      <c r="U145">
        <f>Source!Y82</f>
        <v>0</v>
      </c>
      <c r="V145">
        <f>Source!Y83</f>
        <v>0</v>
      </c>
    </row>
    <row r="146" spans="1:32" ht="15" x14ac:dyDescent="0.25">
      <c r="G146" s="106">
        <f>H145+SUM(H146:H146)</f>
        <v>41.48</v>
      </c>
      <c r="H146" s="106"/>
      <c r="I146" s="106">
        <f>J145+SUM(J146:J146)</f>
        <v>248.45</v>
      </c>
      <c r="J146" s="106"/>
      <c r="O146" s="29">
        <f>G146</f>
        <v>41.48</v>
      </c>
      <c r="P146" s="29">
        <f>I146</f>
        <v>248.45</v>
      </c>
    </row>
    <row r="148" spans="1:32" ht="15" x14ac:dyDescent="0.25">
      <c r="A148" s="105" t="str">
        <f>CONCATENATE("Итого по локальной смете: ",IF(Source!G85&lt;&gt;"Новая локальная смета", Source!G85, ""))</f>
        <v xml:space="preserve">Итого по локальной смете: </v>
      </c>
      <c r="B148" s="105"/>
      <c r="C148" s="105"/>
      <c r="D148" s="105"/>
      <c r="E148" s="105"/>
      <c r="F148" s="105"/>
      <c r="G148" s="106">
        <f>SUM(O35:O147)</f>
        <v>216065.41999999998</v>
      </c>
      <c r="H148" s="100"/>
      <c r="I148" s="106">
        <f>SUM(P35:P147)</f>
        <v>1294232.01</v>
      </c>
      <c r="J148" s="100"/>
    </row>
    <row r="151" spans="1:32" ht="14.25" x14ac:dyDescent="0.2">
      <c r="A151" s="133" t="str">
        <f>Source!H118</f>
        <v>Итого</v>
      </c>
      <c r="B151" s="133"/>
      <c r="C151" s="133"/>
      <c r="D151" s="133"/>
      <c r="E151" s="133"/>
      <c r="F151" s="133"/>
      <c r="G151" s="101">
        <f>Source!F118</f>
        <v>215890.7</v>
      </c>
      <c r="H151" s="101"/>
      <c r="I151" s="101">
        <f>Source!P118</f>
        <v>1293185.46</v>
      </c>
      <c r="J151" s="101"/>
    </row>
    <row r="152" spans="1:32" ht="14.25" x14ac:dyDescent="0.2">
      <c r="A152" s="133" t="str">
        <f>Source!H119</f>
        <v>НДС 18%</v>
      </c>
      <c r="B152" s="133"/>
      <c r="C152" s="133"/>
      <c r="D152" s="133"/>
      <c r="E152" s="133"/>
      <c r="F152" s="133"/>
      <c r="G152" s="101">
        <f>Source!F119</f>
        <v>38860.33</v>
      </c>
      <c r="H152" s="101"/>
      <c r="I152" s="101">
        <f>Source!P119</f>
        <v>232773.38</v>
      </c>
      <c r="J152" s="101"/>
    </row>
    <row r="153" spans="1:32" ht="14.25" x14ac:dyDescent="0.2">
      <c r="A153" s="133" t="str">
        <f>Source!H120</f>
        <v>Всего</v>
      </c>
      <c r="B153" s="133"/>
      <c r="C153" s="133"/>
      <c r="D153" s="133"/>
      <c r="E153" s="133"/>
      <c r="F153" s="133"/>
      <c r="G153" s="101">
        <f>Source!F120</f>
        <v>254751.03</v>
      </c>
      <c r="H153" s="101"/>
      <c r="I153" s="101">
        <f>Source!P120</f>
        <v>1525958.84</v>
      </c>
      <c r="J153" s="101"/>
    </row>
    <row r="155" spans="1:32" ht="30" x14ac:dyDescent="0.25">
      <c r="A155" s="105" t="str">
        <f>CONCATENATE("Итого по смете: ",IF(Source!G122&lt;&gt;"Новый объект", Source!G122, ""))</f>
        <v>Итого по смете: Капитальный ремонт окооных проемов в актовом зале учебного корпуса общежития ДИТИ НИЯУ МИФИ_</v>
      </c>
      <c r="B155" s="105"/>
      <c r="C155" s="105"/>
      <c r="D155" s="105"/>
      <c r="E155" s="105"/>
      <c r="F155" s="105"/>
      <c r="G155" s="106">
        <f>SUM(O1:O154)</f>
        <v>216065.41999999998</v>
      </c>
      <c r="H155" s="100"/>
      <c r="I155" s="106">
        <f>SUM(P1:P154)</f>
        <v>1294232.01</v>
      </c>
      <c r="J155" s="100"/>
      <c r="AF155" s="69" t="str">
        <f>CONCATENATE("Итого по смете: ",IF(Source!G122&lt;&gt;"Новый объект", Source!G122, ""))</f>
        <v>Итого по смете: Капитальный ремонт окооных проемов в актовом зале учебного корпуса общежития ДИТИ НИЯУ МИФИ_</v>
      </c>
    </row>
    <row r="157" spans="1:32" ht="14.25" x14ac:dyDescent="0.2">
      <c r="A157" s="133" t="str">
        <f>Source!H155</f>
        <v>Итого</v>
      </c>
      <c r="B157" s="133"/>
      <c r="C157" s="133"/>
      <c r="D157" s="133"/>
      <c r="E157" s="133"/>
      <c r="F157" s="133"/>
      <c r="G157" s="101">
        <f>Source!F155</f>
        <v>215890.7</v>
      </c>
      <c r="H157" s="101"/>
      <c r="I157" s="101">
        <f>Source!P155</f>
        <v>1293185.46</v>
      </c>
      <c r="J157" s="101"/>
    </row>
    <row r="158" spans="1:32" ht="14.25" x14ac:dyDescent="0.2">
      <c r="A158" s="133" t="str">
        <f>Source!H156</f>
        <v>НДС 18%</v>
      </c>
      <c r="B158" s="133"/>
      <c r="C158" s="133"/>
      <c r="D158" s="133"/>
      <c r="E158" s="133"/>
      <c r="F158" s="133"/>
      <c r="G158" s="101">
        <f>Source!F156</f>
        <v>38860.33</v>
      </c>
      <c r="H158" s="101"/>
      <c r="I158" s="101">
        <f>Source!P156</f>
        <v>232773.38</v>
      </c>
      <c r="J158" s="101"/>
    </row>
    <row r="159" spans="1:32" ht="14.25" x14ac:dyDescent="0.2">
      <c r="A159" s="133" t="str">
        <f>Source!H157</f>
        <v>Всего</v>
      </c>
      <c r="B159" s="133"/>
      <c r="C159" s="133"/>
      <c r="D159" s="133"/>
      <c r="E159" s="133"/>
      <c r="F159" s="133"/>
      <c r="G159" s="101">
        <f>Source!F157</f>
        <v>254751.03</v>
      </c>
      <c r="H159" s="101"/>
      <c r="I159" s="101">
        <f>Source!P157</f>
        <v>1525958.84</v>
      </c>
      <c r="J159" s="101"/>
    </row>
    <row r="162" spans="1:10" ht="15" x14ac:dyDescent="0.25">
      <c r="A162" s="82"/>
      <c r="B162" s="67" t="s">
        <v>481</v>
      </c>
      <c r="C162" s="82"/>
      <c r="D162" s="83" t="str">
        <f>IF(Source!AC12&lt;&gt;"", Source!AC12," ")</f>
        <v xml:space="preserve"> </v>
      </c>
      <c r="E162" s="82"/>
      <c r="F162" s="82"/>
      <c r="G162" s="82"/>
      <c r="H162" s="84" t="str">
        <f>IF(Source!AB12&lt;&gt;"", Source!AB12," ")</f>
        <v xml:space="preserve"> </v>
      </c>
      <c r="I162" s="85"/>
      <c r="J162" s="82"/>
    </row>
    <row r="163" spans="1:10" ht="14.25" x14ac:dyDescent="0.2">
      <c r="A163" s="14"/>
      <c r="B163" s="14"/>
      <c r="C163" s="14"/>
      <c r="D163" s="86" t="s">
        <v>482</v>
      </c>
      <c r="E163" s="14"/>
      <c r="F163" s="87" t="s">
        <v>483</v>
      </c>
      <c r="G163" s="14"/>
      <c r="H163" s="117" t="s">
        <v>484</v>
      </c>
      <c r="I163" s="117"/>
      <c r="J163" s="14"/>
    </row>
    <row r="164" spans="1:10" ht="14.25" x14ac:dyDescent="0.2">
      <c r="A164" s="14"/>
      <c r="B164" s="14"/>
      <c r="C164" s="14"/>
      <c r="D164" s="88"/>
      <c r="E164" s="14"/>
      <c r="F164" s="89"/>
      <c r="G164" s="14"/>
      <c r="H164" s="73"/>
      <c r="I164" s="73"/>
      <c r="J164" s="14"/>
    </row>
    <row r="165" spans="1:10" ht="14.25" x14ac:dyDescent="0.2">
      <c r="A165" s="14"/>
      <c r="B165" s="14"/>
      <c r="C165" s="88" t="s">
        <v>456</v>
      </c>
      <c r="D165" s="14"/>
      <c r="E165" s="14"/>
      <c r="F165" s="89"/>
      <c r="G165" s="14"/>
      <c r="H165" s="73"/>
      <c r="I165" s="73"/>
      <c r="J165" s="14"/>
    </row>
    <row r="166" spans="1:10" ht="14.25" x14ac:dyDescent="0.2">
      <c r="A166" s="14"/>
      <c r="B166" s="14"/>
      <c r="C166" s="88"/>
      <c r="D166" s="14"/>
      <c r="E166" s="14"/>
      <c r="F166" s="89"/>
      <c r="G166" s="14"/>
      <c r="H166" s="73"/>
      <c r="I166" s="73"/>
      <c r="J166" s="14"/>
    </row>
    <row r="167" spans="1:10" ht="15" x14ac:dyDescent="0.25">
      <c r="A167" s="14"/>
      <c r="B167" s="67" t="s">
        <v>485</v>
      </c>
      <c r="C167" s="14"/>
      <c r="D167" s="16" t="str">
        <f>IF(Source!AG12&lt;&gt;"", Source!AG12," ")</f>
        <v xml:space="preserve"> </v>
      </c>
      <c r="E167" s="14"/>
      <c r="F167" s="22"/>
      <c r="G167" s="14"/>
      <c r="H167" s="33" t="str">
        <f>IF(Source!AF12&lt;&gt;"", Source!AF12," ")</f>
        <v xml:space="preserve"> </v>
      </c>
      <c r="I167" s="90"/>
      <c r="J167" s="14"/>
    </row>
    <row r="168" spans="1:10" ht="14.25" x14ac:dyDescent="0.2">
      <c r="A168" s="14"/>
      <c r="B168" s="14"/>
      <c r="C168" s="14"/>
      <c r="D168" s="86" t="s">
        <v>482</v>
      </c>
      <c r="E168" s="14"/>
      <c r="F168" s="87" t="s">
        <v>483</v>
      </c>
      <c r="G168" s="14"/>
      <c r="H168" s="117" t="s">
        <v>484</v>
      </c>
      <c r="I168" s="117"/>
      <c r="J168" s="14"/>
    </row>
    <row r="169" spans="1:10" ht="14.25" x14ac:dyDescent="0.2">
      <c r="A169" s="14"/>
      <c r="B169" s="14"/>
      <c r="C169" s="14"/>
      <c r="D169" s="14"/>
      <c r="E169" s="14"/>
      <c r="F169" s="14"/>
      <c r="G169" s="14"/>
      <c r="H169" s="14"/>
      <c r="I169" s="14"/>
      <c r="J169" s="14"/>
    </row>
    <row r="170" spans="1:10" ht="14.25" x14ac:dyDescent="0.2">
      <c r="A170" s="14"/>
      <c r="B170" s="14"/>
      <c r="C170" s="88" t="s">
        <v>456</v>
      </c>
      <c r="D170" s="14"/>
      <c r="E170" s="14"/>
      <c r="F170" s="14"/>
      <c r="G170" s="14"/>
      <c r="H170" s="14"/>
      <c r="I170" s="14"/>
      <c r="J170" s="14"/>
    </row>
    <row r="171" spans="1:10" ht="14.25" x14ac:dyDescent="0.2">
      <c r="A171" s="14"/>
      <c r="B171" s="14"/>
      <c r="C171" s="88"/>
      <c r="D171" s="14"/>
      <c r="E171" s="14"/>
      <c r="F171" s="14"/>
      <c r="G171" s="14"/>
      <c r="H171" s="14"/>
      <c r="I171" s="14"/>
      <c r="J171" s="14"/>
    </row>
    <row r="172" spans="1:10" ht="15" x14ac:dyDescent="0.25">
      <c r="A172" s="14"/>
      <c r="B172" s="31" t="s">
        <v>486</v>
      </c>
      <c r="C172" s="14"/>
      <c r="D172" s="14"/>
      <c r="E172" s="14"/>
      <c r="F172" s="14"/>
      <c r="G172" s="14"/>
      <c r="H172" s="14"/>
      <c r="I172" s="14"/>
      <c r="J172" s="14"/>
    </row>
    <row r="173" spans="1:10" ht="15" x14ac:dyDescent="0.25">
      <c r="A173" s="14"/>
      <c r="B173" s="31" t="s">
        <v>487</v>
      </c>
      <c r="C173" s="14"/>
      <c r="D173" s="14"/>
      <c r="E173" s="14"/>
      <c r="F173" s="14"/>
      <c r="G173" s="14"/>
      <c r="H173" s="14"/>
      <c r="I173" s="14"/>
      <c r="J173" s="14"/>
    </row>
    <row r="174" spans="1:10" ht="15" x14ac:dyDescent="0.25">
      <c r="A174" s="14"/>
      <c r="B174" s="31" t="s">
        <v>488</v>
      </c>
      <c r="C174" s="14"/>
      <c r="D174" s="82"/>
      <c r="E174" s="82"/>
      <c r="F174" s="82"/>
      <c r="G174" s="82"/>
      <c r="H174" s="85"/>
      <c r="I174" s="85"/>
      <c r="J174" s="14"/>
    </row>
    <row r="175" spans="1:10" ht="14.25" x14ac:dyDescent="0.2">
      <c r="A175" s="14"/>
      <c r="B175" s="14"/>
      <c r="C175" s="14"/>
      <c r="D175" s="86" t="s">
        <v>482</v>
      </c>
      <c r="E175" s="14"/>
      <c r="F175" s="87" t="s">
        <v>483</v>
      </c>
      <c r="G175" s="14"/>
      <c r="H175" s="117" t="s">
        <v>484</v>
      </c>
      <c r="I175" s="117"/>
      <c r="J175" s="14"/>
    </row>
  </sheetData>
  <mergeCells count="92">
    <mergeCell ref="A155:F155"/>
    <mergeCell ref="I155:J155"/>
    <mergeCell ref="G155:H155"/>
    <mergeCell ref="H175:I175"/>
    <mergeCell ref="A157:F157"/>
    <mergeCell ref="G157:H157"/>
    <mergeCell ref="I157:J157"/>
    <mergeCell ref="A158:F158"/>
    <mergeCell ref="G158:H158"/>
    <mergeCell ref="I158:J158"/>
    <mergeCell ref="A159:F159"/>
    <mergeCell ref="G159:H159"/>
    <mergeCell ref="I159:J159"/>
    <mergeCell ref="H163:I163"/>
    <mergeCell ref="H168:I168"/>
    <mergeCell ref="A152:F152"/>
    <mergeCell ref="G152:H152"/>
    <mergeCell ref="I152:J152"/>
    <mergeCell ref="A153:F153"/>
    <mergeCell ref="G153:H153"/>
    <mergeCell ref="I153:J153"/>
    <mergeCell ref="A148:F148"/>
    <mergeCell ref="I148:J148"/>
    <mergeCell ref="G148:H148"/>
    <mergeCell ref="A151:F151"/>
    <mergeCell ref="G151:H151"/>
    <mergeCell ref="I151:J151"/>
    <mergeCell ref="G142:H142"/>
    <mergeCell ref="I142:J142"/>
    <mergeCell ref="G144:H144"/>
    <mergeCell ref="I144:J144"/>
    <mergeCell ref="G146:H146"/>
    <mergeCell ref="I146:J146"/>
    <mergeCell ref="G108:H108"/>
    <mergeCell ref="I108:J108"/>
    <mergeCell ref="G120:H120"/>
    <mergeCell ref="I120:J120"/>
    <mergeCell ref="G130:H130"/>
    <mergeCell ref="I130:J130"/>
    <mergeCell ref="I56:J56"/>
    <mergeCell ref="G81:H81"/>
    <mergeCell ref="I81:J81"/>
    <mergeCell ref="G97:H97"/>
    <mergeCell ref="I97:J97"/>
    <mergeCell ref="G67:H67"/>
    <mergeCell ref="I67:J67"/>
    <mergeCell ref="A26:J26"/>
    <mergeCell ref="A27:J27"/>
    <mergeCell ref="A29:F29"/>
    <mergeCell ref="G29:H29"/>
    <mergeCell ref="G30:H30"/>
    <mergeCell ref="A35:J35"/>
    <mergeCell ref="G44:H44"/>
    <mergeCell ref="I44:J44"/>
    <mergeCell ref="G56:H56"/>
    <mergeCell ref="E18:G18"/>
    <mergeCell ref="I18:J18"/>
    <mergeCell ref="I19:J19"/>
    <mergeCell ref="I20:J20"/>
    <mergeCell ref="F22:F23"/>
    <mergeCell ref="G22:G23"/>
    <mergeCell ref="H22:I22"/>
    <mergeCell ref="A31:B31"/>
    <mergeCell ref="C31:C32"/>
    <mergeCell ref="D31:D32"/>
    <mergeCell ref="E31:E32"/>
    <mergeCell ref="F31:J31"/>
    <mergeCell ref="C15:G15"/>
    <mergeCell ref="I15:J16"/>
    <mergeCell ref="C16:G16"/>
    <mergeCell ref="C17:E17"/>
    <mergeCell ref="F17:H17"/>
    <mergeCell ref="I17:J17"/>
    <mergeCell ref="D11:G11"/>
    <mergeCell ref="I11:J11"/>
    <mergeCell ref="D12:G12"/>
    <mergeCell ref="I12:J12"/>
    <mergeCell ref="D13:G13"/>
    <mergeCell ref="I13:J14"/>
    <mergeCell ref="C14:G14"/>
    <mergeCell ref="I7:J8"/>
    <mergeCell ref="C8:G8"/>
    <mergeCell ref="C9:G9"/>
    <mergeCell ref="I9:J9"/>
    <mergeCell ref="D10:G10"/>
    <mergeCell ref="I10:J10"/>
    <mergeCell ref="I6:J6"/>
    <mergeCell ref="A2:E2"/>
    <mergeCell ref="G2:J2"/>
    <mergeCell ref="F3:J3"/>
    <mergeCell ref="G4:J4"/>
    <mergeCell ref="I5:J5"/>
  </mergeCells>
  <pageMargins left="0.4" right="0.2" top="0.4" bottom="0.4" header="0.2" footer="0.2"/>
  <pageSetup paperSize="9" scale="6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57" t="str">
        <f>Source!B1</f>
        <v>Smeta.RU  (495) 974-1589</v>
      </c>
      <c r="B1" s="157"/>
      <c r="C1" s="157"/>
      <c r="D1" s="157"/>
      <c r="E1" s="14"/>
      <c r="F1" s="14"/>
      <c r="G1" s="14"/>
      <c r="H1" s="115" t="s">
        <v>489</v>
      </c>
      <c r="I1" s="115"/>
      <c r="J1" s="115"/>
      <c r="K1" s="115"/>
      <c r="L1" s="115"/>
    </row>
    <row r="2" spans="1:12" ht="14.25" x14ac:dyDescent="0.2">
      <c r="A2" s="14"/>
      <c r="B2" s="14"/>
      <c r="C2" s="14"/>
      <c r="D2" s="14"/>
      <c r="E2" s="14"/>
      <c r="F2" s="14"/>
      <c r="G2" s="14"/>
      <c r="H2" s="115" t="s">
        <v>404</v>
      </c>
      <c r="I2" s="115"/>
      <c r="J2" s="115"/>
      <c r="K2" s="115"/>
      <c r="L2" s="115"/>
    </row>
    <row r="3" spans="1:12" ht="14.25" x14ac:dyDescent="0.2">
      <c r="A3" s="14"/>
      <c r="B3" s="14"/>
      <c r="C3" s="14"/>
      <c r="D3" s="14"/>
      <c r="E3" s="14"/>
      <c r="F3" s="14"/>
      <c r="G3" s="14"/>
      <c r="H3" s="115" t="s">
        <v>405</v>
      </c>
      <c r="I3" s="115"/>
      <c r="J3" s="115"/>
      <c r="K3" s="115"/>
      <c r="L3" s="115"/>
    </row>
    <row r="4" spans="1:12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10" t="s">
        <v>490</v>
      </c>
      <c r="L4" s="111"/>
    </row>
    <row r="5" spans="1:12" ht="14.25" x14ac:dyDescent="0.2">
      <c r="A5" s="14"/>
      <c r="B5" s="14"/>
      <c r="C5" s="14"/>
      <c r="D5" s="14"/>
      <c r="E5" s="14"/>
      <c r="F5" s="14"/>
      <c r="G5" s="14"/>
      <c r="H5" s="14"/>
      <c r="I5" s="103" t="s">
        <v>407</v>
      </c>
      <c r="J5" s="103"/>
      <c r="K5" s="110">
        <v>322001</v>
      </c>
      <c r="L5" s="111"/>
    </row>
    <row r="6" spans="1:12" ht="14.25" x14ac:dyDescent="0.2">
      <c r="A6" s="103" t="s">
        <v>491</v>
      </c>
      <c r="B6" s="103"/>
      <c r="C6" s="158"/>
      <c r="D6" s="158"/>
      <c r="E6" s="158"/>
      <c r="F6" s="158"/>
      <c r="G6" s="158"/>
      <c r="H6" s="158"/>
      <c r="I6" s="158"/>
      <c r="J6" s="13" t="s">
        <v>410</v>
      </c>
      <c r="K6" s="110"/>
      <c r="L6" s="111"/>
    </row>
    <row r="7" spans="1:12" ht="14.25" x14ac:dyDescent="0.2">
      <c r="A7" s="14"/>
      <c r="B7" s="14"/>
      <c r="C7" s="117" t="s">
        <v>411</v>
      </c>
      <c r="D7" s="117"/>
      <c r="E7" s="117"/>
      <c r="F7" s="117"/>
      <c r="G7" s="117"/>
      <c r="H7" s="117"/>
      <c r="I7" s="117"/>
      <c r="J7" s="14"/>
      <c r="K7" s="59"/>
      <c r="L7" s="91"/>
    </row>
    <row r="8" spans="1:12" ht="14.25" x14ac:dyDescent="0.2">
      <c r="A8" s="103" t="s">
        <v>492</v>
      </c>
      <c r="B8" s="103"/>
      <c r="C8" s="158"/>
      <c r="D8" s="158"/>
      <c r="E8" s="158"/>
      <c r="F8" s="158"/>
      <c r="G8" s="158"/>
      <c r="H8" s="158"/>
      <c r="I8" s="30"/>
      <c r="J8" s="13" t="s">
        <v>410</v>
      </c>
      <c r="K8" s="112"/>
      <c r="L8" s="113"/>
    </row>
    <row r="9" spans="1:12" ht="14.25" x14ac:dyDescent="0.2">
      <c r="A9" s="14"/>
      <c r="B9" s="14"/>
      <c r="C9" s="117" t="s">
        <v>411</v>
      </c>
      <c r="D9" s="117"/>
      <c r="E9" s="117"/>
      <c r="F9" s="117"/>
      <c r="G9" s="117"/>
      <c r="H9" s="117"/>
      <c r="I9" s="117"/>
      <c r="J9" s="14"/>
      <c r="K9" s="59"/>
      <c r="L9" s="91"/>
    </row>
    <row r="10" spans="1:12" ht="14.25" x14ac:dyDescent="0.2">
      <c r="A10" s="103" t="s">
        <v>493</v>
      </c>
      <c r="B10" s="103"/>
      <c r="C10" s="158"/>
      <c r="D10" s="158"/>
      <c r="E10" s="158"/>
      <c r="F10" s="158"/>
      <c r="G10" s="158"/>
      <c r="H10" s="158"/>
      <c r="I10" s="158"/>
      <c r="J10" s="13" t="s">
        <v>410</v>
      </c>
      <c r="K10" s="112"/>
      <c r="L10" s="113"/>
    </row>
    <row r="11" spans="1:12" ht="14.25" x14ac:dyDescent="0.2">
      <c r="A11" s="14"/>
      <c r="B11" s="14"/>
      <c r="C11" s="117" t="s">
        <v>411</v>
      </c>
      <c r="D11" s="117"/>
      <c r="E11" s="117"/>
      <c r="F11" s="117"/>
      <c r="G11" s="117"/>
      <c r="H11" s="117"/>
      <c r="I11" s="117"/>
      <c r="J11" s="14"/>
      <c r="K11" s="59"/>
      <c r="L11" s="91"/>
    </row>
    <row r="12" spans="1:12" ht="14.25" x14ac:dyDescent="0.2">
      <c r="A12" s="103" t="s">
        <v>494</v>
      </c>
      <c r="B12" s="103"/>
      <c r="C12" s="158"/>
      <c r="D12" s="158"/>
      <c r="E12" s="158"/>
      <c r="F12" s="158"/>
      <c r="G12" s="158"/>
      <c r="H12" s="158"/>
      <c r="I12" s="158"/>
      <c r="J12" s="13" t="s">
        <v>410</v>
      </c>
      <c r="K12" s="112"/>
      <c r="L12" s="113"/>
    </row>
    <row r="13" spans="1:12" ht="14.25" x14ac:dyDescent="0.2">
      <c r="A13" s="14"/>
      <c r="B13" s="14"/>
      <c r="C13" s="117" t="s">
        <v>415</v>
      </c>
      <c r="D13" s="117"/>
      <c r="E13" s="117"/>
      <c r="F13" s="117"/>
      <c r="G13" s="117"/>
      <c r="H13" s="103" t="s">
        <v>495</v>
      </c>
      <c r="I13" s="103"/>
      <c r="J13" s="121"/>
      <c r="K13" s="110"/>
      <c r="L13" s="111"/>
    </row>
    <row r="14" spans="1:12" ht="14.25" x14ac:dyDescent="0.2">
      <c r="A14" s="14"/>
      <c r="B14" s="14"/>
      <c r="C14" s="14"/>
      <c r="D14" s="14"/>
      <c r="E14" s="103" t="s">
        <v>496</v>
      </c>
      <c r="F14" s="103"/>
      <c r="G14" s="103"/>
      <c r="H14" s="103"/>
      <c r="I14" s="159" t="s">
        <v>420</v>
      </c>
      <c r="J14" s="160"/>
      <c r="K14" s="110"/>
      <c r="L14" s="111"/>
    </row>
    <row r="15" spans="1:12" ht="14.25" x14ac:dyDescent="0.2">
      <c r="A15" s="14"/>
      <c r="B15" s="14"/>
      <c r="C15" s="14"/>
      <c r="D15" s="14"/>
      <c r="E15" s="14"/>
      <c r="F15" s="14"/>
      <c r="G15" s="14"/>
      <c r="H15" s="14"/>
      <c r="I15" s="161" t="s">
        <v>421</v>
      </c>
      <c r="J15" s="162"/>
      <c r="K15" s="122"/>
      <c r="L15" s="123"/>
    </row>
    <row r="16" spans="1:12" ht="14.25" x14ac:dyDescent="0.2">
      <c r="A16" s="14"/>
      <c r="B16" s="14"/>
      <c r="C16" s="14"/>
      <c r="D16" s="14"/>
      <c r="E16" s="14"/>
      <c r="F16" s="14"/>
      <c r="G16" s="14"/>
      <c r="H16" s="14"/>
      <c r="I16" s="160" t="s">
        <v>497</v>
      </c>
      <c r="J16" s="160"/>
      <c r="K16" s="163"/>
      <c r="L16" s="164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50" t="s">
        <v>423</v>
      </c>
      <c r="D19" s="165"/>
      <c r="E19" s="150" t="s">
        <v>424</v>
      </c>
      <c r="F19" s="151"/>
      <c r="G19" s="14"/>
      <c r="H19" s="14"/>
      <c r="I19" s="150" t="s">
        <v>425</v>
      </c>
      <c r="J19" s="165"/>
      <c r="K19" s="165"/>
      <c r="L19" s="151"/>
    </row>
    <row r="20" spans="1:12" ht="14.25" x14ac:dyDescent="0.2">
      <c r="A20" s="14"/>
      <c r="B20" s="14"/>
      <c r="C20" s="166"/>
      <c r="D20" s="167"/>
      <c r="E20" s="166"/>
      <c r="F20" s="168"/>
      <c r="G20" s="14"/>
      <c r="H20" s="14"/>
      <c r="I20" s="169" t="s">
        <v>426</v>
      </c>
      <c r="J20" s="170"/>
      <c r="K20" s="169" t="s">
        <v>427</v>
      </c>
      <c r="L20" s="171"/>
    </row>
    <row r="21" spans="1:12" ht="14.25" x14ac:dyDescent="0.2">
      <c r="A21" s="14"/>
      <c r="B21" s="14"/>
      <c r="C21" s="124"/>
      <c r="D21" s="172"/>
      <c r="E21" s="146"/>
      <c r="F21" s="147"/>
      <c r="G21" s="92"/>
      <c r="H21" s="92"/>
      <c r="I21" s="146"/>
      <c r="J21" s="173"/>
      <c r="K21" s="146"/>
      <c r="L21" s="147"/>
    </row>
    <row r="22" spans="1:1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ht="18" x14ac:dyDescent="0.25">
      <c r="A24" s="120" t="s">
        <v>498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</row>
    <row r="25" spans="1:12" ht="18" x14ac:dyDescent="0.25">
      <c r="A25" s="120" t="s">
        <v>499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</row>
    <row r="26" spans="1:12" ht="14.25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ht="14.25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ht="14.25" x14ac:dyDescent="0.2">
      <c r="A28" s="174" t="s">
        <v>383</v>
      </c>
      <c r="B28" s="174" t="s">
        <v>500</v>
      </c>
      <c r="C28" s="176"/>
      <c r="D28" s="176"/>
      <c r="E28" s="176"/>
      <c r="F28" s="174" t="s">
        <v>406</v>
      </c>
      <c r="G28" s="174" t="s">
        <v>501</v>
      </c>
      <c r="H28" s="176"/>
      <c r="I28" s="176"/>
      <c r="J28" s="176"/>
      <c r="K28" s="176"/>
      <c r="L28" s="178"/>
    </row>
    <row r="29" spans="1:12" x14ac:dyDescent="0.2">
      <c r="A29" s="175"/>
      <c r="B29" s="175"/>
      <c r="C29" s="177"/>
      <c r="D29" s="177"/>
      <c r="E29" s="177"/>
      <c r="F29" s="175"/>
      <c r="G29" s="174" t="s">
        <v>502</v>
      </c>
      <c r="H29" s="176"/>
      <c r="I29" s="174" t="s">
        <v>503</v>
      </c>
      <c r="J29" s="176"/>
      <c r="K29" s="174" t="s">
        <v>504</v>
      </c>
      <c r="L29" s="178"/>
    </row>
    <row r="30" spans="1:12" x14ac:dyDescent="0.2">
      <c r="A30" s="175"/>
      <c r="B30" s="175"/>
      <c r="C30" s="177"/>
      <c r="D30" s="177"/>
      <c r="E30" s="177"/>
      <c r="F30" s="175"/>
      <c r="G30" s="175"/>
      <c r="H30" s="177"/>
      <c r="I30" s="175"/>
      <c r="J30" s="177"/>
      <c r="K30" s="175"/>
      <c r="L30" s="179"/>
    </row>
    <row r="31" spans="1:12" x14ac:dyDescent="0.2">
      <c r="A31" s="175"/>
      <c r="B31" s="175"/>
      <c r="C31" s="177"/>
      <c r="D31" s="177"/>
      <c r="E31" s="177"/>
      <c r="F31" s="175"/>
      <c r="G31" s="175"/>
      <c r="H31" s="177"/>
      <c r="I31" s="175"/>
      <c r="J31" s="177"/>
      <c r="K31" s="175"/>
      <c r="L31" s="179"/>
    </row>
    <row r="32" spans="1:12" x14ac:dyDescent="0.2">
      <c r="A32" s="175"/>
      <c r="B32" s="175"/>
      <c r="C32" s="177"/>
      <c r="D32" s="177"/>
      <c r="E32" s="177"/>
      <c r="F32" s="175"/>
      <c r="G32" s="175"/>
      <c r="H32" s="177"/>
      <c r="I32" s="175"/>
      <c r="J32" s="177"/>
      <c r="K32" s="175"/>
      <c r="L32" s="179"/>
    </row>
    <row r="33" spans="1:12" ht="14.25" x14ac:dyDescent="0.2">
      <c r="A33" s="59">
        <v>1</v>
      </c>
      <c r="B33" s="110">
        <v>2</v>
      </c>
      <c r="C33" s="183"/>
      <c r="D33" s="183"/>
      <c r="E33" s="183"/>
      <c r="F33" s="59">
        <v>3</v>
      </c>
      <c r="G33" s="110">
        <v>4</v>
      </c>
      <c r="H33" s="183"/>
      <c r="I33" s="110">
        <v>5</v>
      </c>
      <c r="J33" s="183"/>
      <c r="K33" s="110">
        <v>6</v>
      </c>
      <c r="L33" s="111"/>
    </row>
    <row r="34" spans="1:12" ht="14.25" x14ac:dyDescent="0.2">
      <c r="A34" s="93"/>
      <c r="B34" s="184" t="s">
        <v>505</v>
      </c>
      <c r="C34" s="185"/>
      <c r="D34" s="185"/>
      <c r="E34" s="185"/>
      <c r="F34" s="94"/>
      <c r="G34" s="186"/>
      <c r="H34" s="187"/>
      <c r="I34" s="186"/>
      <c r="J34" s="187"/>
      <c r="K34" s="186"/>
      <c r="L34" s="188"/>
    </row>
    <row r="35" spans="1:12" ht="14.25" x14ac:dyDescent="0.2">
      <c r="A35" s="95"/>
      <c r="B35" s="189" t="s">
        <v>506</v>
      </c>
      <c r="C35" s="190"/>
      <c r="D35" s="190"/>
      <c r="E35" s="190"/>
      <c r="F35" s="190"/>
      <c r="G35" s="190"/>
      <c r="H35" s="190"/>
      <c r="I35" s="190"/>
      <c r="J35" s="190"/>
      <c r="K35" s="185"/>
      <c r="L35" s="191"/>
    </row>
    <row r="36" spans="1:12" ht="14.25" x14ac:dyDescent="0.2">
      <c r="A36" s="160" t="s">
        <v>206</v>
      </c>
      <c r="B36" s="160"/>
      <c r="C36" s="160"/>
      <c r="D36" s="160"/>
      <c r="E36" s="160"/>
      <c r="F36" s="160"/>
      <c r="G36" s="160"/>
      <c r="H36" s="160"/>
      <c r="I36" s="160"/>
      <c r="J36" s="192"/>
      <c r="K36" s="193"/>
      <c r="L36" s="192"/>
    </row>
    <row r="37" spans="1:12" ht="14.25" x14ac:dyDescent="0.2">
      <c r="A37" s="180" t="s">
        <v>507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94"/>
      <c r="L37" s="195"/>
    </row>
    <row r="38" spans="1:12" ht="14.25" x14ac:dyDescent="0.2">
      <c r="A38" s="180" t="s">
        <v>508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1"/>
      <c r="L38" s="182"/>
    </row>
    <row r="39" spans="1:12" ht="14.25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2" spans="1:12" ht="14.25" x14ac:dyDescent="0.2">
      <c r="A42" s="136" t="s">
        <v>492</v>
      </c>
      <c r="B42" s="136"/>
      <c r="C42" s="196"/>
      <c r="D42" s="196"/>
      <c r="E42" s="196"/>
      <c r="F42" s="14"/>
      <c r="G42" s="196"/>
      <c r="H42" s="196"/>
      <c r="I42" s="14"/>
      <c r="J42" s="196"/>
      <c r="K42" s="196"/>
      <c r="L42" s="196"/>
    </row>
    <row r="43" spans="1:12" ht="14.25" x14ac:dyDescent="0.2">
      <c r="A43" s="14"/>
      <c r="B43" s="14"/>
      <c r="C43" s="197" t="s">
        <v>453</v>
      </c>
      <c r="D43" s="197"/>
      <c r="E43" s="197"/>
      <c r="F43" s="14"/>
      <c r="G43" s="197" t="s">
        <v>454</v>
      </c>
      <c r="H43" s="197"/>
      <c r="I43" s="14"/>
      <c r="J43" s="197" t="s">
        <v>455</v>
      </c>
      <c r="K43" s="197"/>
      <c r="L43" s="197"/>
    </row>
    <row r="44" spans="1:12" ht="14.25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</row>
    <row r="45" spans="1:12" ht="14.25" x14ac:dyDescent="0.2">
      <c r="A45" s="13" t="s">
        <v>509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</row>
    <row r="46" spans="1:12" ht="14.25" x14ac:dyDescent="0.2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47" spans="1:12" ht="14.25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14.25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ht="14.25" x14ac:dyDescent="0.2">
      <c r="A49" s="136" t="s">
        <v>493</v>
      </c>
      <c r="B49" s="136"/>
      <c r="C49" s="196"/>
      <c r="D49" s="196"/>
      <c r="E49" s="196"/>
      <c r="F49" s="14"/>
      <c r="G49" s="196"/>
      <c r="H49" s="196"/>
      <c r="I49" s="14"/>
      <c r="J49" s="196"/>
      <c r="K49" s="196"/>
      <c r="L49" s="196"/>
    </row>
    <row r="50" spans="1:12" ht="14.25" x14ac:dyDescent="0.2">
      <c r="A50" s="14"/>
      <c r="B50" s="14"/>
      <c r="C50" s="197" t="s">
        <v>453</v>
      </c>
      <c r="D50" s="197"/>
      <c r="E50" s="197"/>
      <c r="F50" s="14"/>
      <c r="G50" s="197" t="s">
        <v>454</v>
      </c>
      <c r="H50" s="197"/>
      <c r="I50" s="14"/>
      <c r="J50" s="197" t="s">
        <v>455</v>
      </c>
      <c r="K50" s="197"/>
      <c r="L50" s="197"/>
    </row>
    <row r="51" spans="1:12" ht="14.25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</row>
    <row r="52" spans="1:12" ht="14.25" x14ac:dyDescent="0.2">
      <c r="A52" s="13" t="s">
        <v>509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</row>
  </sheetData>
  <mergeCells count="79">
    <mergeCell ref="A49:B49"/>
    <mergeCell ref="C49:E49"/>
    <mergeCell ref="G49:H49"/>
    <mergeCell ref="J49:L49"/>
    <mergeCell ref="C50:E50"/>
    <mergeCell ref="G50:H50"/>
    <mergeCell ref="J50:L50"/>
    <mergeCell ref="A42:B42"/>
    <mergeCell ref="C42:E42"/>
    <mergeCell ref="G42:H42"/>
    <mergeCell ref="J42:L42"/>
    <mergeCell ref="C43:E43"/>
    <mergeCell ref="G43:H43"/>
    <mergeCell ref="J43:L43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28:A32"/>
    <mergeCell ref="B28:E32"/>
    <mergeCell ref="F28:F32"/>
    <mergeCell ref="G28:L28"/>
    <mergeCell ref="G29:H32"/>
    <mergeCell ref="I29:J32"/>
    <mergeCell ref="K29:L32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C13:G13"/>
    <mergeCell ref="H13:J13"/>
    <mergeCell ref="K13:L13"/>
    <mergeCell ref="E14:H14"/>
    <mergeCell ref="I14:J14"/>
    <mergeCell ref="K14:L1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I5:J5"/>
    <mergeCell ref="K5:L5"/>
    <mergeCell ref="A1:D1"/>
    <mergeCell ref="H1:L1"/>
    <mergeCell ref="H2:L2"/>
    <mergeCell ref="H3:L3"/>
    <mergeCell ref="K4:L4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4"/>
  <sheetViews>
    <sheetView workbookViewId="0">
      <selection activeCell="A190" sqref="A190:AH190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188</v>
      </c>
      <c r="C12" s="1">
        <v>0</v>
      </c>
      <c r="D12" s="1">
        <f>ROW(A122)</f>
        <v>122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B122</f>
        <v>188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Капитальный ремонт окооных проемов в актовом зале учебного корпуса общежития ДИТИ НИЯУ МИФИ_</v>
      </c>
      <c r="H18" s="3"/>
      <c r="I18" s="3"/>
      <c r="J18" s="3"/>
      <c r="K18" s="3"/>
      <c r="L18" s="3"/>
      <c r="M18" s="3"/>
      <c r="N18" s="3"/>
      <c r="O18" s="3">
        <f t="shared" ref="O18:AT18" si="1">O122</f>
        <v>210423.39</v>
      </c>
      <c r="P18" s="3">
        <f t="shared" si="1"/>
        <v>206553.52</v>
      </c>
      <c r="Q18" s="3">
        <f t="shared" si="1"/>
        <v>479.73</v>
      </c>
      <c r="R18" s="3">
        <f t="shared" si="1"/>
        <v>148.58000000000001</v>
      </c>
      <c r="S18" s="3">
        <f t="shared" si="1"/>
        <v>3390.14</v>
      </c>
      <c r="T18" s="3">
        <f t="shared" si="1"/>
        <v>0</v>
      </c>
      <c r="U18" s="3">
        <f t="shared" si="1"/>
        <v>399.7512319999999</v>
      </c>
      <c r="V18" s="3">
        <f t="shared" si="1"/>
        <v>11.497266000000002</v>
      </c>
      <c r="W18" s="3">
        <f t="shared" si="1"/>
        <v>0</v>
      </c>
      <c r="X18" s="3">
        <f t="shared" si="1"/>
        <v>3489.97</v>
      </c>
      <c r="Y18" s="3">
        <f t="shared" si="1"/>
        <v>1977.34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216065.42</v>
      </c>
      <c r="AS18" s="3">
        <f t="shared" si="1"/>
        <v>216065.42</v>
      </c>
      <c r="AT18" s="3">
        <f t="shared" si="1"/>
        <v>0</v>
      </c>
      <c r="AU18" s="3">
        <f t="shared" ref="AU18:BZ18" si="2">AU122</f>
        <v>0</v>
      </c>
      <c r="AV18" s="3">
        <f t="shared" si="2"/>
        <v>206553.52</v>
      </c>
      <c r="AW18" s="3">
        <f t="shared" si="2"/>
        <v>206553.52</v>
      </c>
      <c r="AX18" s="3">
        <f t="shared" si="2"/>
        <v>0</v>
      </c>
      <c r="AY18" s="3">
        <f t="shared" si="2"/>
        <v>206553.52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CA122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DG122</f>
        <v>1260436.22</v>
      </c>
      <c r="DH18" s="4">
        <f t="shared" si="4"/>
        <v>1237255.6399999999</v>
      </c>
      <c r="DI18" s="4">
        <f t="shared" si="4"/>
        <v>2873.58</v>
      </c>
      <c r="DJ18" s="4">
        <f t="shared" si="4"/>
        <v>890.01</v>
      </c>
      <c r="DK18" s="4">
        <f t="shared" si="4"/>
        <v>20307</v>
      </c>
      <c r="DL18" s="4">
        <f t="shared" si="4"/>
        <v>0</v>
      </c>
      <c r="DM18" s="4">
        <f t="shared" si="4"/>
        <v>399.7512319999999</v>
      </c>
      <c r="DN18" s="4">
        <f t="shared" si="4"/>
        <v>11.497266000000002</v>
      </c>
      <c r="DO18" s="4">
        <f t="shared" si="4"/>
        <v>0</v>
      </c>
      <c r="DP18" s="4">
        <f t="shared" si="4"/>
        <v>20904.93</v>
      </c>
      <c r="DQ18" s="4">
        <f t="shared" si="4"/>
        <v>11844.31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1294232.01</v>
      </c>
      <c r="EK18" s="4">
        <f t="shared" si="4"/>
        <v>1294232.01</v>
      </c>
      <c r="EL18" s="4">
        <f t="shared" si="4"/>
        <v>0</v>
      </c>
      <c r="EM18" s="4">
        <f t="shared" ref="EM18:FR18" si="5">EM122</f>
        <v>0</v>
      </c>
      <c r="EN18" s="4">
        <f t="shared" si="5"/>
        <v>1237255.6399999999</v>
      </c>
      <c r="EO18" s="4">
        <f t="shared" si="5"/>
        <v>1237255.6399999999</v>
      </c>
      <c r="EP18" s="4">
        <f t="shared" si="5"/>
        <v>0</v>
      </c>
      <c r="EQ18" s="4">
        <f t="shared" si="5"/>
        <v>1237255.6399999999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FS122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ROW(A85)</f>
        <v>85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B85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O85</f>
        <v>210423.39</v>
      </c>
      <c r="P22" s="3">
        <f t="shared" si="8"/>
        <v>206553.52</v>
      </c>
      <c r="Q22" s="3">
        <f t="shared" si="8"/>
        <v>479.73</v>
      </c>
      <c r="R22" s="3">
        <f t="shared" si="8"/>
        <v>148.58000000000001</v>
      </c>
      <c r="S22" s="3">
        <f t="shared" si="8"/>
        <v>3390.14</v>
      </c>
      <c r="T22" s="3">
        <f t="shared" si="8"/>
        <v>0</v>
      </c>
      <c r="U22" s="3">
        <f t="shared" si="8"/>
        <v>399.7512319999999</v>
      </c>
      <c r="V22" s="3">
        <f t="shared" si="8"/>
        <v>11.497266000000002</v>
      </c>
      <c r="W22" s="3">
        <f t="shared" si="8"/>
        <v>0</v>
      </c>
      <c r="X22" s="3">
        <f t="shared" si="8"/>
        <v>3489.97</v>
      </c>
      <c r="Y22" s="3">
        <f t="shared" si="8"/>
        <v>1977.34</v>
      </c>
      <c r="Z22" s="3">
        <f t="shared" si="8"/>
        <v>0</v>
      </c>
      <c r="AA22" s="3">
        <f t="shared" si="8"/>
        <v>0</v>
      </c>
      <c r="AB22" s="3">
        <f t="shared" si="8"/>
        <v>210423.39</v>
      </c>
      <c r="AC22" s="3">
        <f t="shared" si="8"/>
        <v>206553.52</v>
      </c>
      <c r="AD22" s="3">
        <f t="shared" si="8"/>
        <v>479.73</v>
      </c>
      <c r="AE22" s="3">
        <f t="shared" si="8"/>
        <v>148.58000000000001</v>
      </c>
      <c r="AF22" s="3">
        <f t="shared" si="8"/>
        <v>3390.14</v>
      </c>
      <c r="AG22" s="3">
        <f t="shared" si="8"/>
        <v>0</v>
      </c>
      <c r="AH22" s="3">
        <f t="shared" si="8"/>
        <v>399.7512319999999</v>
      </c>
      <c r="AI22" s="3">
        <f t="shared" si="8"/>
        <v>11.497266000000002</v>
      </c>
      <c r="AJ22" s="3">
        <f t="shared" si="8"/>
        <v>0</v>
      </c>
      <c r="AK22" s="3">
        <f t="shared" si="8"/>
        <v>3489.97</v>
      </c>
      <c r="AL22" s="3">
        <f t="shared" si="8"/>
        <v>1977.34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216065.42</v>
      </c>
      <c r="AS22" s="3">
        <f t="shared" si="8"/>
        <v>216065.42</v>
      </c>
      <c r="AT22" s="3">
        <f t="shared" si="8"/>
        <v>0</v>
      </c>
      <c r="AU22" s="3">
        <f t="shared" ref="AU22:BZ22" si="9">AU85</f>
        <v>0</v>
      </c>
      <c r="AV22" s="3">
        <f t="shared" si="9"/>
        <v>206553.52</v>
      </c>
      <c r="AW22" s="3">
        <f t="shared" si="9"/>
        <v>206553.52</v>
      </c>
      <c r="AX22" s="3">
        <f t="shared" si="9"/>
        <v>0</v>
      </c>
      <c r="AY22" s="3">
        <f t="shared" si="9"/>
        <v>206553.52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CA85</f>
        <v>216065.42</v>
      </c>
      <c r="CB22" s="3">
        <f t="shared" si="10"/>
        <v>216065.42</v>
      </c>
      <c r="CC22" s="3">
        <f t="shared" si="10"/>
        <v>0</v>
      </c>
      <c r="CD22" s="3">
        <f t="shared" si="10"/>
        <v>0</v>
      </c>
      <c r="CE22" s="3">
        <f t="shared" si="10"/>
        <v>206553.52</v>
      </c>
      <c r="CF22" s="3">
        <f t="shared" si="10"/>
        <v>206553.52</v>
      </c>
      <c r="CG22" s="3">
        <f t="shared" si="10"/>
        <v>0</v>
      </c>
      <c r="CH22" s="3">
        <f t="shared" si="10"/>
        <v>206553.52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DG85</f>
        <v>1260436.22</v>
      </c>
      <c r="DH22" s="4">
        <f t="shared" si="11"/>
        <v>1237255.6399999999</v>
      </c>
      <c r="DI22" s="4">
        <f t="shared" si="11"/>
        <v>2873.58</v>
      </c>
      <c r="DJ22" s="4">
        <f t="shared" si="11"/>
        <v>890.01</v>
      </c>
      <c r="DK22" s="4">
        <f t="shared" si="11"/>
        <v>20307</v>
      </c>
      <c r="DL22" s="4">
        <f t="shared" si="11"/>
        <v>0</v>
      </c>
      <c r="DM22" s="4">
        <f t="shared" si="11"/>
        <v>399.7512319999999</v>
      </c>
      <c r="DN22" s="4">
        <f t="shared" si="11"/>
        <v>11.497266000000002</v>
      </c>
      <c r="DO22" s="4">
        <f t="shared" si="11"/>
        <v>0</v>
      </c>
      <c r="DP22" s="4">
        <f t="shared" si="11"/>
        <v>20904.93</v>
      </c>
      <c r="DQ22" s="4">
        <f t="shared" si="11"/>
        <v>11844.31</v>
      </c>
      <c r="DR22" s="4">
        <f t="shared" si="11"/>
        <v>0</v>
      </c>
      <c r="DS22" s="4">
        <f t="shared" si="11"/>
        <v>0</v>
      </c>
      <c r="DT22" s="4">
        <f t="shared" si="11"/>
        <v>1260436.22</v>
      </c>
      <c r="DU22" s="4">
        <f t="shared" si="11"/>
        <v>1237255.6399999999</v>
      </c>
      <c r="DV22" s="4">
        <f t="shared" si="11"/>
        <v>2873.58</v>
      </c>
      <c r="DW22" s="4">
        <f t="shared" si="11"/>
        <v>890.01</v>
      </c>
      <c r="DX22" s="4">
        <f t="shared" si="11"/>
        <v>20307</v>
      </c>
      <c r="DY22" s="4">
        <f t="shared" si="11"/>
        <v>0</v>
      </c>
      <c r="DZ22" s="4">
        <f t="shared" si="11"/>
        <v>399.7512319999999</v>
      </c>
      <c r="EA22" s="4">
        <f t="shared" si="11"/>
        <v>11.497266000000002</v>
      </c>
      <c r="EB22" s="4">
        <f t="shared" si="11"/>
        <v>0</v>
      </c>
      <c r="EC22" s="4">
        <f t="shared" si="11"/>
        <v>20904.93</v>
      </c>
      <c r="ED22" s="4">
        <f t="shared" si="11"/>
        <v>11844.31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1294232.01</v>
      </c>
      <c r="EK22" s="4">
        <f t="shared" si="11"/>
        <v>1294232.01</v>
      </c>
      <c r="EL22" s="4">
        <f t="shared" si="11"/>
        <v>0</v>
      </c>
      <c r="EM22" s="4">
        <f t="shared" ref="EM22:FR22" si="12">EM85</f>
        <v>0</v>
      </c>
      <c r="EN22" s="4">
        <f t="shared" si="12"/>
        <v>1237255.6399999999</v>
      </c>
      <c r="EO22" s="4">
        <f t="shared" si="12"/>
        <v>1237255.6399999999</v>
      </c>
      <c r="EP22" s="4">
        <f t="shared" si="12"/>
        <v>0</v>
      </c>
      <c r="EQ22" s="4">
        <f t="shared" si="12"/>
        <v>1237255.6399999999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FS85</f>
        <v>1294232.01</v>
      </c>
      <c r="FT22" s="4">
        <f t="shared" si="13"/>
        <v>1294232.01</v>
      </c>
      <c r="FU22" s="4">
        <f t="shared" si="13"/>
        <v>0</v>
      </c>
      <c r="FV22" s="4">
        <f t="shared" si="13"/>
        <v>0</v>
      </c>
      <c r="FW22" s="4">
        <f t="shared" si="13"/>
        <v>1237255.6399999999</v>
      </c>
      <c r="FX22" s="4">
        <f t="shared" si="13"/>
        <v>1237255.6399999999</v>
      </c>
      <c r="FY22" s="4">
        <f t="shared" si="13"/>
        <v>0</v>
      </c>
      <c r="FZ22" s="4">
        <f t="shared" si="13"/>
        <v>1237255.6399999999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ROW(SmtRes!A3)</f>
        <v>3</v>
      </c>
      <c r="D24" s="2">
        <f>ROW(EtalonRes!A3)</f>
        <v>3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ROUND(93.64/100,9)</f>
        <v>0.93640000000000001</v>
      </c>
      <c r="J24" s="2">
        <v>0</v>
      </c>
      <c r="K24" s="2"/>
      <c r="L24" s="2"/>
      <c r="M24" s="2"/>
      <c r="N24" s="2"/>
      <c r="O24" s="2">
        <f t="shared" ref="O24:O55" si="14">ROUND(CP24,2)</f>
        <v>1654.84</v>
      </c>
      <c r="P24" s="2">
        <f t="shared" ref="P24:P55" si="15">ROUND(CQ24*I24,2)</f>
        <v>0</v>
      </c>
      <c r="Q24" s="2">
        <f t="shared" ref="Q24:Q55" si="16">ROUND(CR24*I24,2)</f>
        <v>226.56</v>
      </c>
      <c r="R24" s="2">
        <f t="shared" ref="R24:R55" si="17">ROUND(CS24*I24,2)</f>
        <v>97.84</v>
      </c>
      <c r="S24" s="2">
        <f t="shared" ref="S24:S55" si="18">ROUND(CT24*I24,2)</f>
        <v>1428.28</v>
      </c>
      <c r="T24" s="2">
        <f t="shared" ref="T24:T55" si="19">ROUND(CU24*I24,2)</f>
        <v>0</v>
      </c>
      <c r="U24" s="2">
        <f t="shared" ref="U24:U55" si="20">CV24*I24</f>
        <v>176.548856</v>
      </c>
      <c r="V24" s="2">
        <f t="shared" ref="V24:V55" si="21">CW24*I24</f>
        <v>7.2477360000000006</v>
      </c>
      <c r="W24" s="2">
        <f t="shared" ref="W24:W55" si="22">ROUND(CX24*I24,2)</f>
        <v>0</v>
      </c>
      <c r="X24" s="2">
        <f t="shared" ref="X24:X55" si="23">ROUND(CY24,2)</f>
        <v>1510.86</v>
      </c>
      <c r="Y24" s="2">
        <f t="shared" ref="Y24:Y55" si="24">ROUND(CZ24,2)</f>
        <v>915.67</v>
      </c>
      <c r="Z24" s="2"/>
      <c r="AA24" s="2">
        <v>16481133</v>
      </c>
      <c r="AB24" s="2">
        <f t="shared" ref="AB24:AB55" si="25">ROUND((AC24+AD24+AF24),6)</f>
        <v>1767.24</v>
      </c>
      <c r="AC24" s="2">
        <f t="shared" ref="AC24:AC55" si="26">ROUND((ES24),6)</f>
        <v>0</v>
      </c>
      <c r="AD24" s="2">
        <f t="shared" ref="AD24:AD55" si="27">ROUND((((ET24)-(EU24))+AE24),6)</f>
        <v>241.95</v>
      </c>
      <c r="AE24" s="2">
        <f t="shared" ref="AE24:AE55" si="28">ROUND((EU24),6)</f>
        <v>104.49</v>
      </c>
      <c r="AF24" s="2">
        <f t="shared" ref="AF24:AF55" si="29">ROUND((EV24),6)</f>
        <v>1525.29</v>
      </c>
      <c r="AG24" s="2">
        <f t="shared" ref="AG24:AG55" si="30">ROUND((AP24),6)</f>
        <v>0</v>
      </c>
      <c r="AH24" s="2">
        <f t="shared" ref="AH24:AH55" si="31">(EW24)</f>
        <v>188.54</v>
      </c>
      <c r="AI24" s="2">
        <f t="shared" ref="AI24:AI55" si="32">(EX24)</f>
        <v>7.74</v>
      </c>
      <c r="AJ24" s="2">
        <f t="shared" ref="AJ24:AJ55" si="33">ROUND((AS24),6)</f>
        <v>0</v>
      </c>
      <c r="AK24" s="2">
        <v>1767.24</v>
      </c>
      <c r="AL24" s="2">
        <v>0</v>
      </c>
      <c r="AM24" s="2">
        <v>241.95</v>
      </c>
      <c r="AN24" s="2">
        <v>104.49</v>
      </c>
      <c r="AO24" s="2">
        <v>1525.29</v>
      </c>
      <c r="AP24" s="2">
        <v>0</v>
      </c>
      <c r="AQ24" s="2">
        <v>188.54</v>
      </c>
      <c r="AR24" s="2">
        <v>7.74</v>
      </c>
      <c r="AS24" s="2">
        <v>0</v>
      </c>
      <c r="AT24" s="2">
        <v>99</v>
      </c>
      <c r="AU24" s="2">
        <v>60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46001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110</v>
      </c>
      <c r="CA24" s="2">
        <v>70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55" si="34">(P24+Q24+S24)</f>
        <v>1654.84</v>
      </c>
      <c r="CQ24" s="2">
        <f t="shared" ref="CQ24:CQ55" si="35">AC24*BC24</f>
        <v>0</v>
      </c>
      <c r="CR24" s="2">
        <f t="shared" ref="CR24:CR55" si="36">AD24*BB24</f>
        <v>241.95</v>
      </c>
      <c r="CS24" s="2">
        <f t="shared" ref="CS24:CS55" si="37">AE24*BS24</f>
        <v>104.49</v>
      </c>
      <c r="CT24" s="2">
        <f t="shared" ref="CT24:CT55" si="38">AF24*BA24</f>
        <v>1525.29</v>
      </c>
      <c r="CU24" s="2">
        <f t="shared" ref="CU24:CU55" si="39">AG24</f>
        <v>0</v>
      </c>
      <c r="CV24" s="2">
        <f t="shared" ref="CV24:CV55" si="40">AH24</f>
        <v>188.54</v>
      </c>
      <c r="CW24" s="2">
        <f t="shared" ref="CW24:CW55" si="41">AI24</f>
        <v>7.74</v>
      </c>
      <c r="CX24" s="2">
        <f t="shared" ref="CX24:CX55" si="42">AJ24</f>
        <v>0</v>
      </c>
      <c r="CY24" s="2">
        <f t="shared" ref="CY24:CY55" si="43">(((S24+R24)*AT24)/100)</f>
        <v>1510.8587999999997</v>
      </c>
      <c r="CZ24" s="2">
        <f t="shared" ref="CZ24:CZ55" si="44">(((S24+R24)*AU24)/100)</f>
        <v>915.67200000000003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1005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15139168</v>
      </c>
      <c r="EF24" s="2">
        <v>2</v>
      </c>
      <c r="EG24" s="2" t="s">
        <v>18</v>
      </c>
      <c r="EH24" s="2">
        <v>0</v>
      </c>
      <c r="EI24" s="2" t="s">
        <v>6</v>
      </c>
      <c r="EJ24" s="2">
        <v>1</v>
      </c>
      <c r="EK24" s="2">
        <v>46001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0</v>
      </c>
      <c r="ER24" s="2">
        <v>1767.24</v>
      </c>
      <c r="ES24" s="2">
        <v>0</v>
      </c>
      <c r="ET24" s="2">
        <v>241.95</v>
      </c>
      <c r="EU24" s="2">
        <v>104.49</v>
      </c>
      <c r="EV24" s="2">
        <v>1525.29</v>
      </c>
      <c r="EW24" s="2">
        <v>188.54</v>
      </c>
      <c r="EX24" s="2">
        <v>7.74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45">ROUND(IF(AND(BH24=3,BI24=3),P24,0),2)</f>
        <v>0</v>
      </c>
      <c r="FS24" s="2">
        <v>0</v>
      </c>
      <c r="FT24" s="2" t="s">
        <v>21</v>
      </c>
      <c r="FU24" s="2" t="s">
        <v>22</v>
      </c>
      <c r="FV24" s="2"/>
      <c r="FW24" s="2"/>
      <c r="FX24" s="2">
        <v>99</v>
      </c>
      <c r="FY24" s="2">
        <v>59.5</v>
      </c>
      <c r="FZ24" s="2"/>
      <c r="GA24" s="2" t="s">
        <v>6</v>
      </c>
      <c r="GB24" s="2"/>
      <c r="GC24" s="2"/>
      <c r="GD24" s="2">
        <v>0</v>
      </c>
      <c r="GE24" s="2"/>
      <c r="GF24" s="2">
        <v>1630687704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6">ROUND(IF(AND(BH24=3,BI24=3,FS24&lt;&gt;0),P24,0),2)</f>
        <v>0</v>
      </c>
      <c r="GM24" s="2">
        <f t="shared" ref="GM24:GM55" si="47">ROUND(O24+X24+Y24+GK24,2)+GX24</f>
        <v>4081.37</v>
      </c>
      <c r="GN24" s="2">
        <f t="shared" ref="GN24:GN55" si="48">IF(OR(BI24=0,BI24=1),ROUND(O24+X24+Y24+GK24,2),0)</f>
        <v>4081.37</v>
      </c>
      <c r="GO24" s="2">
        <f t="shared" ref="GO24:GO55" si="49">IF(BI24=2,ROUND(O24+X24+Y24+GK24,2),0)</f>
        <v>0</v>
      </c>
      <c r="GP24" s="2">
        <f t="shared" ref="GP24:GP55" si="50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55" si="51">ROUND(GT24,6)</f>
        <v>0</v>
      </c>
      <c r="GW24" s="2">
        <v>1</v>
      </c>
      <c r="GX24" s="2">
        <f t="shared" ref="GX24:GX55" si="52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ROW(SmtRes!A6)</f>
        <v>6</v>
      </c>
      <c r="D25">
        <f>ROW(EtalonRes!A6)</f>
        <v>6</v>
      </c>
      <c r="E25" t="s">
        <v>13</v>
      </c>
      <c r="F25" t="s">
        <v>14</v>
      </c>
      <c r="G25" t="s">
        <v>15</v>
      </c>
      <c r="H25" t="s">
        <v>16</v>
      </c>
      <c r="I25">
        <f>ROUND(93.64/100,9)</f>
        <v>0.93640000000000001</v>
      </c>
      <c r="J25">
        <v>0</v>
      </c>
      <c r="O25">
        <f t="shared" si="14"/>
        <v>9912.52</v>
      </c>
      <c r="P25">
        <f t="shared" si="15"/>
        <v>0</v>
      </c>
      <c r="Q25">
        <f t="shared" si="16"/>
        <v>1357.11</v>
      </c>
      <c r="R25">
        <f t="shared" si="17"/>
        <v>586.09</v>
      </c>
      <c r="S25">
        <f t="shared" si="18"/>
        <v>8555.41</v>
      </c>
      <c r="T25">
        <f t="shared" si="19"/>
        <v>0</v>
      </c>
      <c r="U25">
        <f t="shared" si="20"/>
        <v>176.548856</v>
      </c>
      <c r="V25">
        <f t="shared" si="21"/>
        <v>7.2477360000000006</v>
      </c>
      <c r="W25">
        <f t="shared" si="22"/>
        <v>0</v>
      </c>
      <c r="X25">
        <f t="shared" si="23"/>
        <v>9050.09</v>
      </c>
      <c r="Y25">
        <f t="shared" si="24"/>
        <v>5484.9</v>
      </c>
      <c r="AA25">
        <v>16481134</v>
      </c>
      <c r="AB25">
        <f t="shared" si="25"/>
        <v>1767.24</v>
      </c>
      <c r="AC25">
        <f t="shared" si="26"/>
        <v>0</v>
      </c>
      <c r="AD25">
        <f t="shared" si="27"/>
        <v>241.95</v>
      </c>
      <c r="AE25">
        <f t="shared" si="28"/>
        <v>104.49</v>
      </c>
      <c r="AF25">
        <f t="shared" si="29"/>
        <v>1525.29</v>
      </c>
      <c r="AG25">
        <f t="shared" si="30"/>
        <v>0</v>
      </c>
      <c r="AH25">
        <f t="shared" si="31"/>
        <v>188.54</v>
      </c>
      <c r="AI25">
        <f t="shared" si="32"/>
        <v>7.74</v>
      </c>
      <c r="AJ25">
        <f t="shared" si="33"/>
        <v>0</v>
      </c>
      <c r="AK25">
        <v>1767.24</v>
      </c>
      <c r="AL25">
        <v>0</v>
      </c>
      <c r="AM25">
        <v>241.95</v>
      </c>
      <c r="AN25">
        <v>104.49</v>
      </c>
      <c r="AO25">
        <v>1525.29</v>
      </c>
      <c r="AP25">
        <v>0</v>
      </c>
      <c r="AQ25">
        <v>188.54</v>
      </c>
      <c r="AR25">
        <v>7.74</v>
      </c>
      <c r="AS25">
        <v>0</v>
      </c>
      <c r="AT25">
        <v>99</v>
      </c>
      <c r="AU25">
        <v>60</v>
      </c>
      <c r="AV25">
        <v>1</v>
      </c>
      <c r="AW25">
        <v>1</v>
      </c>
      <c r="AZ25">
        <v>5.99</v>
      </c>
      <c r="BA25">
        <v>5.99</v>
      </c>
      <c r="BB25">
        <v>5.99</v>
      </c>
      <c r="BC25">
        <v>5.99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46001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5.99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110</v>
      </c>
      <c r="CA25">
        <v>70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34"/>
        <v>9912.52</v>
      </c>
      <c r="CQ25">
        <f t="shared" si="35"/>
        <v>0</v>
      </c>
      <c r="CR25">
        <f t="shared" si="36"/>
        <v>1449.2805000000001</v>
      </c>
      <c r="CS25">
        <f t="shared" si="37"/>
        <v>625.89509999999996</v>
      </c>
      <c r="CT25">
        <f t="shared" si="38"/>
        <v>9136.4871000000003</v>
      </c>
      <c r="CU25">
        <f t="shared" si="39"/>
        <v>0</v>
      </c>
      <c r="CV25">
        <f t="shared" si="40"/>
        <v>188.54</v>
      </c>
      <c r="CW25">
        <f t="shared" si="41"/>
        <v>7.74</v>
      </c>
      <c r="CX25">
        <f t="shared" si="42"/>
        <v>0</v>
      </c>
      <c r="CY25">
        <f t="shared" si="43"/>
        <v>9050.0849999999991</v>
      </c>
      <c r="CZ25">
        <f t="shared" si="44"/>
        <v>5484.9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15139168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46001</v>
      </c>
      <c r="EL25" t="s">
        <v>19</v>
      </c>
      <c r="EM25" t="s">
        <v>20</v>
      </c>
      <c r="EO25" t="s">
        <v>6</v>
      </c>
      <c r="EQ25">
        <v>0</v>
      </c>
      <c r="ER25">
        <v>1767.24</v>
      </c>
      <c r="ES25">
        <v>0</v>
      </c>
      <c r="ET25">
        <v>241.95</v>
      </c>
      <c r="EU25">
        <v>104.49</v>
      </c>
      <c r="EV25">
        <v>1525.29</v>
      </c>
      <c r="EW25">
        <v>188.54</v>
      </c>
      <c r="EX25">
        <v>7.74</v>
      </c>
      <c r="EY25">
        <v>0</v>
      </c>
      <c r="FQ25">
        <v>0</v>
      </c>
      <c r="FR25">
        <f t="shared" si="45"/>
        <v>0</v>
      </c>
      <c r="FS25">
        <v>0</v>
      </c>
      <c r="FT25" t="s">
        <v>21</v>
      </c>
      <c r="FU25" t="s">
        <v>22</v>
      </c>
      <c r="FX25">
        <v>99</v>
      </c>
      <c r="FY25">
        <v>59.5</v>
      </c>
      <c r="GA25" t="s">
        <v>6</v>
      </c>
      <c r="GD25">
        <v>0</v>
      </c>
      <c r="GF25">
        <v>1630687704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6"/>
        <v>0</v>
      </c>
      <c r="GM25">
        <f t="shared" si="47"/>
        <v>24447.51</v>
      </c>
      <c r="GN25">
        <f t="shared" si="48"/>
        <v>24447.51</v>
      </c>
      <c r="GO25">
        <f t="shared" si="49"/>
        <v>0</v>
      </c>
      <c r="GP25">
        <f t="shared" si="50"/>
        <v>0</v>
      </c>
      <c r="GR25">
        <v>0</v>
      </c>
      <c r="GS25">
        <v>3</v>
      </c>
      <c r="GT25">
        <v>0</v>
      </c>
      <c r="GU25" t="s">
        <v>6</v>
      </c>
      <c r="GV25">
        <f t="shared" si="51"/>
        <v>0</v>
      </c>
      <c r="GW25">
        <v>1</v>
      </c>
      <c r="GX25">
        <f t="shared" si="52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ROW(SmtRes!A18)</f>
        <v>18</v>
      </c>
      <c r="D26" s="2">
        <f>ROW(EtalonRes!A17)</f>
        <v>17</v>
      </c>
      <c r="E26" s="2" t="s">
        <v>23</v>
      </c>
      <c r="F26" s="2" t="s">
        <v>24</v>
      </c>
      <c r="G26" s="2" t="s">
        <v>25</v>
      </c>
      <c r="H26" s="2" t="s">
        <v>16</v>
      </c>
      <c r="I26" s="2">
        <f>ROUND(93.64/100,9)</f>
        <v>0.93640000000000001</v>
      </c>
      <c r="J26" s="2">
        <v>0</v>
      </c>
      <c r="K26" s="2"/>
      <c r="L26" s="2"/>
      <c r="M26" s="2"/>
      <c r="N26" s="2"/>
      <c r="O26" s="2">
        <f t="shared" si="14"/>
        <v>9465.0300000000007</v>
      </c>
      <c r="P26" s="2">
        <f t="shared" si="15"/>
        <v>8005.3</v>
      </c>
      <c r="Q26" s="2">
        <f t="shared" si="16"/>
        <v>238.98</v>
      </c>
      <c r="R26" s="2">
        <f t="shared" si="17"/>
        <v>47.12</v>
      </c>
      <c r="S26" s="2">
        <f t="shared" si="18"/>
        <v>1220.75</v>
      </c>
      <c r="T26" s="2">
        <f t="shared" si="19"/>
        <v>0</v>
      </c>
      <c r="U26" s="2">
        <f t="shared" si="20"/>
        <v>139.67342400000001</v>
      </c>
      <c r="V26" s="2">
        <f t="shared" si="21"/>
        <v>3.9609720000000004</v>
      </c>
      <c r="W26" s="2">
        <f t="shared" si="22"/>
        <v>0</v>
      </c>
      <c r="X26" s="2">
        <f t="shared" si="23"/>
        <v>1343.94</v>
      </c>
      <c r="Y26" s="2">
        <f t="shared" si="24"/>
        <v>684.65</v>
      </c>
      <c r="Z26" s="2"/>
      <c r="AA26" s="2">
        <v>16481133</v>
      </c>
      <c r="AB26" s="2">
        <f t="shared" si="25"/>
        <v>10107.89</v>
      </c>
      <c r="AC26" s="2">
        <f t="shared" si="26"/>
        <v>8549.02</v>
      </c>
      <c r="AD26" s="2">
        <f t="shared" si="27"/>
        <v>255.21</v>
      </c>
      <c r="AE26" s="2">
        <f t="shared" si="28"/>
        <v>50.32</v>
      </c>
      <c r="AF26" s="2">
        <f t="shared" si="29"/>
        <v>1303.6600000000001</v>
      </c>
      <c r="AG26" s="2">
        <f t="shared" si="30"/>
        <v>0</v>
      </c>
      <c r="AH26" s="2">
        <f t="shared" si="31"/>
        <v>149.16</v>
      </c>
      <c r="AI26" s="2">
        <f t="shared" si="32"/>
        <v>4.2300000000000004</v>
      </c>
      <c r="AJ26" s="2">
        <f t="shared" si="33"/>
        <v>0</v>
      </c>
      <c r="AK26" s="2">
        <v>10107.89</v>
      </c>
      <c r="AL26" s="2">
        <v>8549.02</v>
      </c>
      <c r="AM26" s="2">
        <v>255.21</v>
      </c>
      <c r="AN26" s="2">
        <v>50.32</v>
      </c>
      <c r="AO26" s="2">
        <v>1303.6600000000001</v>
      </c>
      <c r="AP26" s="2">
        <v>0</v>
      </c>
      <c r="AQ26" s="2">
        <v>149.16</v>
      </c>
      <c r="AR26" s="2">
        <v>4.2300000000000004</v>
      </c>
      <c r="AS26" s="2">
        <v>0</v>
      </c>
      <c r="AT26" s="2">
        <v>106</v>
      </c>
      <c r="AU26" s="2">
        <v>54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26</v>
      </c>
      <c r="BK26" s="2"/>
      <c r="BL26" s="2"/>
      <c r="BM26" s="2">
        <v>10001</v>
      </c>
      <c r="BN26" s="2">
        <v>0</v>
      </c>
      <c r="BO26" s="2" t="s">
        <v>6</v>
      </c>
      <c r="BP26" s="2">
        <v>0</v>
      </c>
      <c r="BQ26" s="2">
        <v>2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118</v>
      </c>
      <c r="CA26" s="2">
        <v>63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6</v>
      </c>
      <c r="CO26" s="2">
        <v>0</v>
      </c>
      <c r="CP26" s="2">
        <f t="shared" si="34"/>
        <v>9465.0300000000007</v>
      </c>
      <c r="CQ26" s="2">
        <f t="shared" si="35"/>
        <v>8549.02</v>
      </c>
      <c r="CR26" s="2">
        <f t="shared" si="36"/>
        <v>255.21</v>
      </c>
      <c r="CS26" s="2">
        <f t="shared" si="37"/>
        <v>50.32</v>
      </c>
      <c r="CT26" s="2">
        <f t="shared" si="38"/>
        <v>1303.6600000000001</v>
      </c>
      <c r="CU26" s="2">
        <f t="shared" si="39"/>
        <v>0</v>
      </c>
      <c r="CV26" s="2">
        <f t="shared" si="40"/>
        <v>149.16</v>
      </c>
      <c r="CW26" s="2">
        <f t="shared" si="41"/>
        <v>4.2300000000000004</v>
      </c>
      <c r="CX26" s="2">
        <f t="shared" si="42"/>
        <v>0</v>
      </c>
      <c r="CY26" s="2">
        <f t="shared" si="43"/>
        <v>1343.9422</v>
      </c>
      <c r="CZ26" s="2">
        <f t="shared" si="44"/>
        <v>684.64979999999991</v>
      </c>
      <c r="DA26" s="2"/>
      <c r="DB26" s="2"/>
      <c r="DC26" s="2" t="s">
        <v>6</v>
      </c>
      <c r="DD26" s="2" t="s">
        <v>6</v>
      </c>
      <c r="DE26" s="2" t="s">
        <v>6</v>
      </c>
      <c r="DF26" s="2" t="s">
        <v>6</v>
      </c>
      <c r="DG26" s="2" t="s">
        <v>6</v>
      </c>
      <c r="DH26" s="2" t="s">
        <v>6</v>
      </c>
      <c r="DI26" s="2" t="s">
        <v>6</v>
      </c>
      <c r="DJ26" s="2" t="s">
        <v>6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16</v>
      </c>
      <c r="DW26" s="2" t="s">
        <v>16</v>
      </c>
      <c r="DX26" s="2">
        <v>100</v>
      </c>
      <c r="DY26" s="2"/>
      <c r="DZ26" s="2"/>
      <c r="EA26" s="2"/>
      <c r="EB26" s="2"/>
      <c r="EC26" s="2"/>
      <c r="ED26" s="2"/>
      <c r="EE26" s="2">
        <v>15139100</v>
      </c>
      <c r="EF26" s="2">
        <v>2</v>
      </c>
      <c r="EG26" s="2" t="s">
        <v>18</v>
      </c>
      <c r="EH26" s="2">
        <v>0</v>
      </c>
      <c r="EI26" s="2" t="s">
        <v>6</v>
      </c>
      <c r="EJ26" s="2">
        <v>1</v>
      </c>
      <c r="EK26" s="2">
        <v>10001</v>
      </c>
      <c r="EL26" s="2" t="s">
        <v>27</v>
      </c>
      <c r="EM26" s="2" t="s">
        <v>28</v>
      </c>
      <c r="EN26" s="2"/>
      <c r="EO26" s="2" t="s">
        <v>6</v>
      </c>
      <c r="EP26" s="2"/>
      <c r="EQ26" s="2">
        <v>0</v>
      </c>
      <c r="ER26" s="2">
        <v>10107.89</v>
      </c>
      <c r="ES26" s="2">
        <v>8549.02</v>
      </c>
      <c r="ET26" s="2">
        <v>255.21</v>
      </c>
      <c r="EU26" s="2">
        <v>50.32</v>
      </c>
      <c r="EV26" s="2">
        <v>1303.6600000000001</v>
      </c>
      <c r="EW26" s="2">
        <v>149.16</v>
      </c>
      <c r="EX26" s="2">
        <v>4.2300000000000004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5"/>
        <v>0</v>
      </c>
      <c r="FS26" s="2">
        <v>0</v>
      </c>
      <c r="FT26" s="2" t="s">
        <v>21</v>
      </c>
      <c r="FU26" s="2" t="s">
        <v>22</v>
      </c>
      <c r="FV26" s="2"/>
      <c r="FW26" s="2"/>
      <c r="FX26" s="2">
        <v>106.2</v>
      </c>
      <c r="FY26" s="2">
        <v>53.55</v>
      </c>
      <c r="FZ26" s="2"/>
      <c r="GA26" s="2" t="s">
        <v>6</v>
      </c>
      <c r="GB26" s="2"/>
      <c r="GC26" s="2"/>
      <c r="GD26" s="2">
        <v>0</v>
      </c>
      <c r="GE26" s="2"/>
      <c r="GF26" s="2">
        <v>-330529066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6"/>
        <v>0</v>
      </c>
      <c r="GM26" s="2">
        <f t="shared" si="47"/>
        <v>11493.62</v>
      </c>
      <c r="GN26" s="2">
        <f t="shared" si="48"/>
        <v>11493.62</v>
      </c>
      <c r="GO26" s="2">
        <f t="shared" si="49"/>
        <v>0</v>
      </c>
      <c r="GP26" s="2">
        <f t="shared" si="50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51"/>
        <v>0</v>
      </c>
      <c r="GW26" s="2">
        <v>1</v>
      </c>
      <c r="GX26" s="2">
        <f t="shared" si="52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ROW(SmtRes!A30)</f>
        <v>30</v>
      </c>
      <c r="D27">
        <f>ROW(EtalonRes!A28)</f>
        <v>28</v>
      </c>
      <c r="E27" t="s">
        <v>23</v>
      </c>
      <c r="F27" t="s">
        <v>24</v>
      </c>
      <c r="G27" t="s">
        <v>25</v>
      </c>
      <c r="H27" t="s">
        <v>16</v>
      </c>
      <c r="I27">
        <f>ROUND(93.64/100,9)</f>
        <v>0.93640000000000001</v>
      </c>
      <c r="J27">
        <v>0</v>
      </c>
      <c r="O27">
        <f t="shared" si="14"/>
        <v>56695.519999999997</v>
      </c>
      <c r="P27">
        <f t="shared" si="15"/>
        <v>47951.76</v>
      </c>
      <c r="Q27">
        <f t="shared" si="16"/>
        <v>1431.48</v>
      </c>
      <c r="R27">
        <f t="shared" si="17"/>
        <v>282.25</v>
      </c>
      <c r="S27">
        <f t="shared" si="18"/>
        <v>7312.28</v>
      </c>
      <c r="T27">
        <f t="shared" si="19"/>
        <v>0</v>
      </c>
      <c r="U27">
        <f t="shared" si="20"/>
        <v>139.67342400000001</v>
      </c>
      <c r="V27">
        <f t="shared" si="21"/>
        <v>3.9609720000000004</v>
      </c>
      <c r="W27">
        <f t="shared" si="22"/>
        <v>0</v>
      </c>
      <c r="X27">
        <f t="shared" si="23"/>
        <v>8050.2</v>
      </c>
      <c r="Y27">
        <f t="shared" si="24"/>
        <v>4101.05</v>
      </c>
      <c r="AA27">
        <v>16481134</v>
      </c>
      <c r="AB27">
        <f t="shared" si="25"/>
        <v>10107.89</v>
      </c>
      <c r="AC27">
        <f t="shared" si="26"/>
        <v>8549.02</v>
      </c>
      <c r="AD27">
        <f t="shared" si="27"/>
        <v>255.21</v>
      </c>
      <c r="AE27">
        <f t="shared" si="28"/>
        <v>50.32</v>
      </c>
      <c r="AF27">
        <f t="shared" si="29"/>
        <v>1303.6600000000001</v>
      </c>
      <c r="AG27">
        <f t="shared" si="30"/>
        <v>0</v>
      </c>
      <c r="AH27">
        <f t="shared" si="31"/>
        <v>149.16</v>
      </c>
      <c r="AI27">
        <f t="shared" si="32"/>
        <v>4.2300000000000004</v>
      </c>
      <c r="AJ27">
        <f t="shared" si="33"/>
        <v>0</v>
      </c>
      <c r="AK27">
        <v>10107.89</v>
      </c>
      <c r="AL27">
        <v>8549.02</v>
      </c>
      <c r="AM27">
        <v>255.21</v>
      </c>
      <c r="AN27">
        <v>50.32</v>
      </c>
      <c r="AO27">
        <v>1303.6600000000001</v>
      </c>
      <c r="AP27">
        <v>0</v>
      </c>
      <c r="AQ27">
        <v>149.16</v>
      </c>
      <c r="AR27">
        <v>4.2300000000000004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5.99</v>
      </c>
      <c r="BA27">
        <v>5.99</v>
      </c>
      <c r="BB27">
        <v>5.99</v>
      </c>
      <c r="BC27">
        <v>5.99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26</v>
      </c>
      <c r="BM27">
        <v>10001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5.99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118</v>
      </c>
      <c r="CA27">
        <v>63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34"/>
        <v>56695.520000000004</v>
      </c>
      <c r="CQ27">
        <f t="shared" si="35"/>
        <v>51208.629800000002</v>
      </c>
      <c r="CR27">
        <f t="shared" si="36"/>
        <v>1528.7079000000001</v>
      </c>
      <c r="CS27">
        <f t="shared" si="37"/>
        <v>301.41680000000002</v>
      </c>
      <c r="CT27">
        <f t="shared" si="38"/>
        <v>7808.9234000000006</v>
      </c>
      <c r="CU27">
        <f t="shared" si="39"/>
        <v>0</v>
      </c>
      <c r="CV27">
        <f t="shared" si="40"/>
        <v>149.16</v>
      </c>
      <c r="CW27">
        <f t="shared" si="41"/>
        <v>4.2300000000000004</v>
      </c>
      <c r="CX27">
        <f t="shared" si="42"/>
        <v>0</v>
      </c>
      <c r="CY27">
        <f t="shared" si="43"/>
        <v>8050.2017999999989</v>
      </c>
      <c r="CZ27">
        <f t="shared" si="44"/>
        <v>4101.0461999999998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16</v>
      </c>
      <c r="DW27" t="s">
        <v>16</v>
      </c>
      <c r="DX27">
        <v>100</v>
      </c>
      <c r="EE27">
        <v>15139100</v>
      </c>
      <c r="EF27">
        <v>2</v>
      </c>
      <c r="EG27" t="s">
        <v>18</v>
      </c>
      <c r="EH27">
        <v>0</v>
      </c>
      <c r="EI27" t="s">
        <v>6</v>
      </c>
      <c r="EJ27">
        <v>1</v>
      </c>
      <c r="EK27">
        <v>10001</v>
      </c>
      <c r="EL27" t="s">
        <v>27</v>
      </c>
      <c r="EM27" t="s">
        <v>28</v>
      </c>
      <c r="EO27" t="s">
        <v>6</v>
      </c>
      <c r="EQ27">
        <v>0</v>
      </c>
      <c r="ER27">
        <v>10107.89</v>
      </c>
      <c r="ES27">
        <v>8549.02</v>
      </c>
      <c r="ET27">
        <v>255.21</v>
      </c>
      <c r="EU27">
        <v>50.32</v>
      </c>
      <c r="EV27">
        <v>1303.6600000000001</v>
      </c>
      <c r="EW27">
        <v>149.16</v>
      </c>
      <c r="EX27">
        <v>4.2300000000000004</v>
      </c>
      <c r="EY27">
        <v>0</v>
      </c>
      <c r="FQ27">
        <v>0</v>
      </c>
      <c r="FR27">
        <f t="shared" si="45"/>
        <v>0</v>
      </c>
      <c r="FS27">
        <v>0</v>
      </c>
      <c r="FT27" t="s">
        <v>21</v>
      </c>
      <c r="FU27" t="s">
        <v>22</v>
      </c>
      <c r="FX27">
        <v>106.2</v>
      </c>
      <c r="FY27">
        <v>53.55</v>
      </c>
      <c r="GA27" t="s">
        <v>6</v>
      </c>
      <c r="GD27">
        <v>0</v>
      </c>
      <c r="GF27">
        <v>-330529066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6"/>
        <v>0</v>
      </c>
      <c r="GM27">
        <f t="shared" si="47"/>
        <v>68846.77</v>
      </c>
      <c r="GN27">
        <f t="shared" si="48"/>
        <v>68846.77</v>
      </c>
      <c r="GO27">
        <f t="shared" si="49"/>
        <v>0</v>
      </c>
      <c r="GP27">
        <f t="shared" si="50"/>
        <v>0</v>
      </c>
      <c r="GR27">
        <v>0</v>
      </c>
      <c r="GS27">
        <v>3</v>
      </c>
      <c r="GT27">
        <v>0</v>
      </c>
      <c r="GU27" t="s">
        <v>6</v>
      </c>
      <c r="GV27">
        <f t="shared" si="51"/>
        <v>0</v>
      </c>
      <c r="GW27">
        <v>1</v>
      </c>
      <c r="GX27">
        <f t="shared" si="52"/>
        <v>0</v>
      </c>
      <c r="HA27">
        <v>0</v>
      </c>
      <c r="HB27">
        <v>0</v>
      </c>
      <c r="IK27">
        <v>0</v>
      </c>
    </row>
    <row r="28" spans="1:255" x14ac:dyDescent="0.2">
      <c r="A28" s="2">
        <v>18</v>
      </c>
      <c r="B28" s="2">
        <v>1</v>
      </c>
      <c r="C28" s="2">
        <v>16</v>
      </c>
      <c r="D28" s="2"/>
      <c r="E28" s="2" t="s">
        <v>29</v>
      </c>
      <c r="F28" s="2" t="s">
        <v>30</v>
      </c>
      <c r="G28" s="2" t="s">
        <v>31</v>
      </c>
      <c r="H28" s="2" t="s">
        <v>32</v>
      </c>
      <c r="I28" s="2">
        <f>I26*J28</f>
        <v>93.64</v>
      </c>
      <c r="J28" s="2">
        <v>100</v>
      </c>
      <c r="K28" s="2"/>
      <c r="L28" s="2"/>
      <c r="M28" s="2"/>
      <c r="N28" s="2"/>
      <c r="O28" s="2">
        <f t="shared" si="14"/>
        <v>0</v>
      </c>
      <c r="P28" s="2">
        <f t="shared" si="15"/>
        <v>0</v>
      </c>
      <c r="Q28" s="2">
        <f t="shared" si="16"/>
        <v>0</v>
      </c>
      <c r="R28" s="2">
        <f t="shared" si="17"/>
        <v>0</v>
      </c>
      <c r="S28" s="2">
        <f t="shared" si="18"/>
        <v>0</v>
      </c>
      <c r="T28" s="2">
        <f t="shared" si="19"/>
        <v>0</v>
      </c>
      <c r="U28" s="2">
        <f t="shared" si="20"/>
        <v>0</v>
      </c>
      <c r="V28" s="2">
        <f t="shared" si="21"/>
        <v>0</v>
      </c>
      <c r="W28" s="2">
        <f t="shared" si="22"/>
        <v>0</v>
      </c>
      <c r="X28" s="2">
        <f t="shared" si="23"/>
        <v>0</v>
      </c>
      <c r="Y28" s="2">
        <f t="shared" si="24"/>
        <v>0</v>
      </c>
      <c r="Z28" s="2"/>
      <c r="AA28" s="2">
        <v>16481133</v>
      </c>
      <c r="AB28" s="2">
        <f t="shared" si="25"/>
        <v>0</v>
      </c>
      <c r="AC28" s="2">
        <f t="shared" si="26"/>
        <v>0</v>
      </c>
      <c r="AD28" s="2">
        <f t="shared" si="27"/>
        <v>0</v>
      </c>
      <c r="AE28" s="2">
        <f t="shared" si="28"/>
        <v>0</v>
      </c>
      <c r="AF28" s="2">
        <f t="shared" si="29"/>
        <v>0</v>
      </c>
      <c r="AG28" s="2">
        <f t="shared" si="30"/>
        <v>0</v>
      </c>
      <c r="AH28" s="2">
        <f t="shared" si="31"/>
        <v>0</v>
      </c>
      <c r="AI28" s="2">
        <f t="shared" si="32"/>
        <v>0</v>
      </c>
      <c r="AJ28" s="2">
        <f t="shared" si="33"/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106</v>
      </c>
      <c r="AU28" s="2">
        <v>54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3</v>
      </c>
      <c r="BI28" s="2">
        <v>1</v>
      </c>
      <c r="BJ28" s="2" t="s">
        <v>6</v>
      </c>
      <c r="BK28" s="2"/>
      <c r="BL28" s="2"/>
      <c r="BM28" s="2">
        <v>10001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118</v>
      </c>
      <c r="CA28" s="2">
        <v>63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34"/>
        <v>0</v>
      </c>
      <c r="CQ28" s="2">
        <f t="shared" si="35"/>
        <v>0</v>
      </c>
      <c r="CR28" s="2">
        <f t="shared" si="36"/>
        <v>0</v>
      </c>
      <c r="CS28" s="2">
        <f t="shared" si="37"/>
        <v>0</v>
      </c>
      <c r="CT28" s="2">
        <f t="shared" si="38"/>
        <v>0</v>
      </c>
      <c r="CU28" s="2">
        <f t="shared" si="39"/>
        <v>0</v>
      </c>
      <c r="CV28" s="2">
        <f t="shared" si="40"/>
        <v>0</v>
      </c>
      <c r="CW28" s="2">
        <f t="shared" si="41"/>
        <v>0</v>
      </c>
      <c r="CX28" s="2">
        <f t="shared" si="42"/>
        <v>0</v>
      </c>
      <c r="CY28" s="2">
        <f t="shared" si="43"/>
        <v>0</v>
      </c>
      <c r="CZ28" s="2">
        <f t="shared" si="44"/>
        <v>0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32</v>
      </c>
      <c r="DW28" s="2" t="s">
        <v>32</v>
      </c>
      <c r="DX28" s="2">
        <v>1</v>
      </c>
      <c r="DY28" s="2"/>
      <c r="DZ28" s="2"/>
      <c r="EA28" s="2"/>
      <c r="EB28" s="2"/>
      <c r="EC28" s="2"/>
      <c r="ED28" s="2"/>
      <c r="EE28" s="2">
        <v>15139100</v>
      </c>
      <c r="EF28" s="2">
        <v>2</v>
      </c>
      <c r="EG28" s="2" t="s">
        <v>18</v>
      </c>
      <c r="EH28" s="2">
        <v>0</v>
      </c>
      <c r="EI28" s="2" t="s">
        <v>6</v>
      </c>
      <c r="EJ28" s="2">
        <v>1</v>
      </c>
      <c r="EK28" s="2">
        <v>10001</v>
      </c>
      <c r="EL28" s="2" t="s">
        <v>27</v>
      </c>
      <c r="EM28" s="2" t="s">
        <v>28</v>
      </c>
      <c r="EN28" s="2"/>
      <c r="EO28" s="2" t="s">
        <v>6</v>
      </c>
      <c r="EP28" s="2"/>
      <c r="EQ28" s="2">
        <v>0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0</v>
      </c>
      <c r="EX28" s="2">
        <v>0</v>
      </c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5"/>
        <v>0</v>
      </c>
      <c r="FS28" s="2">
        <v>0</v>
      </c>
      <c r="FT28" s="2" t="s">
        <v>21</v>
      </c>
      <c r="FU28" s="2" t="s">
        <v>22</v>
      </c>
      <c r="FV28" s="2"/>
      <c r="FW28" s="2"/>
      <c r="FX28" s="2">
        <v>106.2</v>
      </c>
      <c r="FY28" s="2">
        <v>53.55</v>
      </c>
      <c r="FZ28" s="2"/>
      <c r="GA28" s="2" t="s">
        <v>6</v>
      </c>
      <c r="GB28" s="2"/>
      <c r="GC28" s="2"/>
      <c r="GD28" s="2">
        <v>0</v>
      </c>
      <c r="GE28" s="2"/>
      <c r="GF28" s="2">
        <v>1219964505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6"/>
        <v>0</v>
      </c>
      <c r="GM28" s="2">
        <f t="shared" si="47"/>
        <v>0</v>
      </c>
      <c r="GN28" s="2">
        <f t="shared" si="48"/>
        <v>0</v>
      </c>
      <c r="GO28" s="2">
        <f t="shared" si="49"/>
        <v>0</v>
      </c>
      <c r="GP28" s="2">
        <f t="shared" si="50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51"/>
        <v>0</v>
      </c>
      <c r="GW28" s="2">
        <v>1</v>
      </c>
      <c r="GX28" s="2">
        <f t="shared" si="52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18</v>
      </c>
      <c r="B29">
        <v>1</v>
      </c>
      <c r="C29">
        <v>28</v>
      </c>
      <c r="E29" t="s">
        <v>29</v>
      </c>
      <c r="F29" t="s">
        <v>30</v>
      </c>
      <c r="G29" t="s">
        <v>31</v>
      </c>
      <c r="H29" t="s">
        <v>32</v>
      </c>
      <c r="I29">
        <f>I27*J29</f>
        <v>93.64</v>
      </c>
      <c r="J29">
        <v>100</v>
      </c>
      <c r="O29">
        <f t="shared" si="14"/>
        <v>0</v>
      </c>
      <c r="P29">
        <f t="shared" si="15"/>
        <v>0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16481134</v>
      </c>
      <c r="AB29">
        <f t="shared" si="25"/>
        <v>0</v>
      </c>
      <c r="AC29">
        <f t="shared" si="26"/>
        <v>0</v>
      </c>
      <c r="AD29">
        <f t="shared" si="27"/>
        <v>0</v>
      </c>
      <c r="AE29">
        <f t="shared" si="28"/>
        <v>0</v>
      </c>
      <c r="AF29">
        <f t="shared" si="29"/>
        <v>0</v>
      </c>
      <c r="AG29">
        <f t="shared" si="30"/>
        <v>0</v>
      </c>
      <c r="AH29">
        <f t="shared" si="31"/>
        <v>0</v>
      </c>
      <c r="AI29">
        <f t="shared" si="32"/>
        <v>0</v>
      </c>
      <c r="AJ29">
        <f t="shared" si="33"/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106</v>
      </c>
      <c r="AU29">
        <v>54</v>
      </c>
      <c r="AV29">
        <v>1</v>
      </c>
      <c r="AW29">
        <v>1</v>
      </c>
      <c r="AZ29">
        <v>5.99</v>
      </c>
      <c r="BA29">
        <v>1</v>
      </c>
      <c r="BB29">
        <v>1</v>
      </c>
      <c r="BC29">
        <v>5.99</v>
      </c>
      <c r="BD29" t="s">
        <v>6</v>
      </c>
      <c r="BE29" t="s">
        <v>6</v>
      </c>
      <c r="BF29" t="s">
        <v>6</v>
      </c>
      <c r="BG29" t="s">
        <v>6</v>
      </c>
      <c r="BH29">
        <v>3</v>
      </c>
      <c r="BI29">
        <v>1</v>
      </c>
      <c r="BJ29" t="s">
        <v>6</v>
      </c>
      <c r="BM29">
        <v>10001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118</v>
      </c>
      <c r="CA29">
        <v>63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4"/>
        <v>0</v>
      </c>
      <c r="CQ29">
        <f t="shared" si="35"/>
        <v>0</v>
      </c>
      <c r="CR29">
        <f t="shared" si="36"/>
        <v>0</v>
      </c>
      <c r="CS29">
        <f t="shared" si="37"/>
        <v>0</v>
      </c>
      <c r="CT29">
        <f t="shared" si="38"/>
        <v>0</v>
      </c>
      <c r="CU29">
        <f t="shared" si="39"/>
        <v>0</v>
      </c>
      <c r="CV29">
        <f t="shared" si="40"/>
        <v>0</v>
      </c>
      <c r="CW29">
        <f t="shared" si="41"/>
        <v>0</v>
      </c>
      <c r="CX29">
        <f t="shared" si="42"/>
        <v>0</v>
      </c>
      <c r="CY29">
        <f t="shared" si="43"/>
        <v>0</v>
      </c>
      <c r="CZ29">
        <f t="shared" si="44"/>
        <v>0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32</v>
      </c>
      <c r="DW29" t="s">
        <v>32</v>
      </c>
      <c r="DX29">
        <v>1</v>
      </c>
      <c r="EE29">
        <v>15139100</v>
      </c>
      <c r="EF29">
        <v>2</v>
      </c>
      <c r="EG29" t="s">
        <v>18</v>
      </c>
      <c r="EH29">
        <v>0</v>
      </c>
      <c r="EI29" t="s">
        <v>6</v>
      </c>
      <c r="EJ29">
        <v>1</v>
      </c>
      <c r="EK29">
        <v>10001</v>
      </c>
      <c r="EL29" t="s">
        <v>27</v>
      </c>
      <c r="EM29" t="s">
        <v>28</v>
      </c>
      <c r="EO29" t="s">
        <v>6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45"/>
        <v>0</v>
      </c>
      <c r="FS29">
        <v>0</v>
      </c>
      <c r="FT29" t="s">
        <v>21</v>
      </c>
      <c r="FU29" t="s">
        <v>22</v>
      </c>
      <c r="FX29">
        <v>106.2</v>
      </c>
      <c r="FY29">
        <v>53.55</v>
      </c>
      <c r="GA29" t="s">
        <v>6</v>
      </c>
      <c r="GD29">
        <v>0</v>
      </c>
      <c r="GF29">
        <v>1219964505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6"/>
        <v>0</v>
      </c>
      <c r="GM29">
        <f t="shared" si="47"/>
        <v>0</v>
      </c>
      <c r="GN29">
        <f t="shared" si="48"/>
        <v>0</v>
      </c>
      <c r="GO29">
        <f t="shared" si="49"/>
        <v>0</v>
      </c>
      <c r="GP29">
        <f t="shared" si="50"/>
        <v>0</v>
      </c>
      <c r="GR29">
        <v>0</v>
      </c>
      <c r="GS29">
        <v>3</v>
      </c>
      <c r="GT29">
        <v>0</v>
      </c>
      <c r="GU29" t="s">
        <v>6</v>
      </c>
      <c r="GV29">
        <f t="shared" si="51"/>
        <v>0</v>
      </c>
      <c r="GW29">
        <v>1</v>
      </c>
      <c r="GX29">
        <f t="shared" si="52"/>
        <v>0</v>
      </c>
      <c r="HA29">
        <v>0</v>
      </c>
      <c r="HB29">
        <v>0</v>
      </c>
      <c r="IK29">
        <v>0</v>
      </c>
    </row>
    <row r="30" spans="1:255" x14ac:dyDescent="0.2">
      <c r="A30" s="2">
        <v>18</v>
      </c>
      <c r="B30" s="2">
        <v>1</v>
      </c>
      <c r="C30" s="2">
        <v>15</v>
      </c>
      <c r="D30" s="2"/>
      <c r="E30" s="2" t="s">
        <v>33</v>
      </c>
      <c r="F30" s="2" t="s">
        <v>34</v>
      </c>
      <c r="G30" s="2" t="s">
        <v>35</v>
      </c>
      <c r="H30" s="2" t="s">
        <v>32</v>
      </c>
      <c r="I30" s="2">
        <f>I26*J30</f>
        <v>93.64</v>
      </c>
      <c r="J30" s="2">
        <v>100</v>
      </c>
      <c r="K30" s="2"/>
      <c r="L30" s="2"/>
      <c r="M30" s="2"/>
      <c r="N30" s="2"/>
      <c r="O30" s="2">
        <f t="shared" si="14"/>
        <v>194244.94</v>
      </c>
      <c r="P30" s="2">
        <f t="shared" si="15"/>
        <v>194244.94</v>
      </c>
      <c r="Q30" s="2">
        <f t="shared" si="16"/>
        <v>0</v>
      </c>
      <c r="R30" s="2">
        <f t="shared" si="17"/>
        <v>0</v>
      </c>
      <c r="S30" s="2">
        <f t="shared" si="18"/>
        <v>0</v>
      </c>
      <c r="T30" s="2">
        <f t="shared" si="19"/>
        <v>0</v>
      </c>
      <c r="U30" s="2">
        <f t="shared" si="20"/>
        <v>0</v>
      </c>
      <c r="V30" s="2">
        <f t="shared" si="21"/>
        <v>0</v>
      </c>
      <c r="W30" s="2">
        <f t="shared" si="22"/>
        <v>0</v>
      </c>
      <c r="X30" s="2">
        <f t="shared" si="23"/>
        <v>0</v>
      </c>
      <c r="Y30" s="2">
        <f t="shared" si="24"/>
        <v>0</v>
      </c>
      <c r="Z30" s="2"/>
      <c r="AA30" s="2">
        <v>16481133</v>
      </c>
      <c r="AB30" s="2">
        <f t="shared" si="25"/>
        <v>2074.38</v>
      </c>
      <c r="AC30" s="2">
        <f t="shared" si="26"/>
        <v>2074.38</v>
      </c>
      <c r="AD30" s="2">
        <f t="shared" si="27"/>
        <v>0</v>
      </c>
      <c r="AE30" s="2">
        <f t="shared" si="28"/>
        <v>0</v>
      </c>
      <c r="AF30" s="2">
        <f t="shared" si="29"/>
        <v>0</v>
      </c>
      <c r="AG30" s="2">
        <f t="shared" si="30"/>
        <v>0</v>
      </c>
      <c r="AH30" s="2">
        <f t="shared" si="31"/>
        <v>0</v>
      </c>
      <c r="AI30" s="2">
        <f t="shared" si="32"/>
        <v>0</v>
      </c>
      <c r="AJ30" s="2">
        <f t="shared" si="33"/>
        <v>0</v>
      </c>
      <c r="AK30" s="2">
        <v>2074.38</v>
      </c>
      <c r="AL30" s="2">
        <v>2074.38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106</v>
      </c>
      <c r="AU30" s="2">
        <v>54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3</v>
      </c>
      <c r="BI30" s="2">
        <v>1</v>
      </c>
      <c r="BJ30" s="2" t="s">
        <v>36</v>
      </c>
      <c r="BK30" s="2"/>
      <c r="BL30" s="2"/>
      <c r="BM30" s="2">
        <v>10001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118</v>
      </c>
      <c r="CA30" s="2">
        <v>63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34"/>
        <v>194244.94</v>
      </c>
      <c r="CQ30" s="2">
        <f t="shared" si="35"/>
        <v>2074.38</v>
      </c>
      <c r="CR30" s="2">
        <f t="shared" si="36"/>
        <v>0</v>
      </c>
      <c r="CS30" s="2">
        <f t="shared" si="37"/>
        <v>0</v>
      </c>
      <c r="CT30" s="2">
        <f t="shared" si="38"/>
        <v>0</v>
      </c>
      <c r="CU30" s="2">
        <f t="shared" si="39"/>
        <v>0</v>
      </c>
      <c r="CV30" s="2">
        <f t="shared" si="40"/>
        <v>0</v>
      </c>
      <c r="CW30" s="2">
        <f t="shared" si="41"/>
        <v>0</v>
      </c>
      <c r="CX30" s="2">
        <f t="shared" si="42"/>
        <v>0</v>
      </c>
      <c r="CY30" s="2">
        <f t="shared" si="43"/>
        <v>0</v>
      </c>
      <c r="CZ30" s="2">
        <f t="shared" si="44"/>
        <v>0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32</v>
      </c>
      <c r="DW30" s="2" t="s">
        <v>32</v>
      </c>
      <c r="DX30" s="2">
        <v>1</v>
      </c>
      <c r="DY30" s="2"/>
      <c r="DZ30" s="2"/>
      <c r="EA30" s="2"/>
      <c r="EB30" s="2"/>
      <c r="EC30" s="2"/>
      <c r="ED30" s="2"/>
      <c r="EE30" s="2">
        <v>15139100</v>
      </c>
      <c r="EF30" s="2">
        <v>2</v>
      </c>
      <c r="EG30" s="2" t="s">
        <v>18</v>
      </c>
      <c r="EH30" s="2">
        <v>0</v>
      </c>
      <c r="EI30" s="2" t="s">
        <v>6</v>
      </c>
      <c r="EJ30" s="2">
        <v>1</v>
      </c>
      <c r="EK30" s="2">
        <v>10001</v>
      </c>
      <c r="EL30" s="2" t="s">
        <v>27</v>
      </c>
      <c r="EM30" s="2" t="s">
        <v>28</v>
      </c>
      <c r="EN30" s="2"/>
      <c r="EO30" s="2" t="s">
        <v>6</v>
      </c>
      <c r="EP30" s="2"/>
      <c r="EQ30" s="2">
        <v>0</v>
      </c>
      <c r="ER30" s="2">
        <v>2074.38</v>
      </c>
      <c r="ES30" s="2">
        <v>2074.38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5"/>
        <v>0</v>
      </c>
      <c r="FS30" s="2">
        <v>0</v>
      </c>
      <c r="FT30" s="2" t="s">
        <v>21</v>
      </c>
      <c r="FU30" s="2" t="s">
        <v>22</v>
      </c>
      <c r="FV30" s="2"/>
      <c r="FW30" s="2"/>
      <c r="FX30" s="2">
        <v>106.2</v>
      </c>
      <c r="FY30" s="2">
        <v>53.55</v>
      </c>
      <c r="FZ30" s="2"/>
      <c r="GA30" s="2" t="s">
        <v>6</v>
      </c>
      <c r="GB30" s="2"/>
      <c r="GC30" s="2"/>
      <c r="GD30" s="2">
        <v>0</v>
      </c>
      <c r="GE30" s="2"/>
      <c r="GF30" s="2">
        <v>2097510584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6"/>
        <v>0</v>
      </c>
      <c r="GM30" s="2">
        <f t="shared" si="47"/>
        <v>194244.94</v>
      </c>
      <c r="GN30" s="2">
        <f t="shared" si="48"/>
        <v>194244.94</v>
      </c>
      <c r="GO30" s="2">
        <f t="shared" si="49"/>
        <v>0</v>
      </c>
      <c r="GP30" s="2">
        <f t="shared" si="50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1"/>
        <v>0</v>
      </c>
      <c r="GW30" s="2">
        <v>1</v>
      </c>
      <c r="GX30" s="2">
        <f t="shared" si="52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18</v>
      </c>
      <c r="B31">
        <v>1</v>
      </c>
      <c r="C31">
        <v>27</v>
      </c>
      <c r="E31" t="s">
        <v>33</v>
      </c>
      <c r="F31" t="s">
        <v>34</v>
      </c>
      <c r="G31" t="s">
        <v>35</v>
      </c>
      <c r="H31" t="s">
        <v>32</v>
      </c>
      <c r="I31">
        <f>I27*J31</f>
        <v>93.64</v>
      </c>
      <c r="J31">
        <v>100</v>
      </c>
      <c r="O31">
        <f t="shared" si="14"/>
        <v>1163527.21</v>
      </c>
      <c r="P31">
        <f t="shared" si="15"/>
        <v>1163527.21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16481134</v>
      </c>
      <c r="AB31">
        <f t="shared" si="25"/>
        <v>2074.38</v>
      </c>
      <c r="AC31">
        <f t="shared" si="26"/>
        <v>2074.38</v>
      </c>
      <c r="AD31">
        <f t="shared" si="27"/>
        <v>0</v>
      </c>
      <c r="AE31">
        <f t="shared" si="28"/>
        <v>0</v>
      </c>
      <c r="AF31">
        <f t="shared" si="29"/>
        <v>0</v>
      </c>
      <c r="AG31">
        <f t="shared" si="30"/>
        <v>0</v>
      </c>
      <c r="AH31">
        <f t="shared" si="31"/>
        <v>0</v>
      </c>
      <c r="AI31">
        <f t="shared" si="32"/>
        <v>0</v>
      </c>
      <c r="AJ31">
        <f t="shared" si="33"/>
        <v>0</v>
      </c>
      <c r="AK31">
        <v>2074.38</v>
      </c>
      <c r="AL31">
        <v>2074.38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5.99</v>
      </c>
      <c r="BA31">
        <v>1</v>
      </c>
      <c r="BB31">
        <v>1</v>
      </c>
      <c r="BC31">
        <v>5.99</v>
      </c>
      <c r="BD31" t="s">
        <v>6</v>
      </c>
      <c r="BE31" t="s">
        <v>6</v>
      </c>
      <c r="BF31" t="s">
        <v>6</v>
      </c>
      <c r="BG31" t="s">
        <v>6</v>
      </c>
      <c r="BH31">
        <v>3</v>
      </c>
      <c r="BI31">
        <v>1</v>
      </c>
      <c r="BJ31" t="s">
        <v>36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4"/>
        <v>1163527.21</v>
      </c>
      <c r="CQ31">
        <f t="shared" si="35"/>
        <v>12425.5362</v>
      </c>
      <c r="CR31">
        <f t="shared" si="36"/>
        <v>0</v>
      </c>
      <c r="CS31">
        <f t="shared" si="37"/>
        <v>0</v>
      </c>
      <c r="CT31">
        <f t="shared" si="38"/>
        <v>0</v>
      </c>
      <c r="CU31">
        <f t="shared" si="39"/>
        <v>0</v>
      </c>
      <c r="CV31">
        <f t="shared" si="40"/>
        <v>0</v>
      </c>
      <c r="CW31">
        <f t="shared" si="41"/>
        <v>0</v>
      </c>
      <c r="CX31">
        <f t="shared" si="42"/>
        <v>0</v>
      </c>
      <c r="CY31">
        <f t="shared" si="43"/>
        <v>0</v>
      </c>
      <c r="CZ31">
        <f t="shared" si="44"/>
        <v>0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32</v>
      </c>
      <c r="DW31" t="s">
        <v>32</v>
      </c>
      <c r="DX31">
        <v>1</v>
      </c>
      <c r="EE31">
        <v>15139100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10001</v>
      </c>
      <c r="EL31" t="s">
        <v>27</v>
      </c>
      <c r="EM31" t="s">
        <v>28</v>
      </c>
      <c r="EO31" t="s">
        <v>6</v>
      </c>
      <c r="EQ31">
        <v>0</v>
      </c>
      <c r="ER31">
        <v>2074.38</v>
      </c>
      <c r="ES31">
        <v>2074.38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5"/>
        <v>0</v>
      </c>
      <c r="FS31">
        <v>0</v>
      </c>
      <c r="FT31" t="s">
        <v>21</v>
      </c>
      <c r="FU31" t="s">
        <v>22</v>
      </c>
      <c r="FX31">
        <v>106.2</v>
      </c>
      <c r="FY31">
        <v>53.55</v>
      </c>
      <c r="GA31" t="s">
        <v>6</v>
      </c>
      <c r="GD31">
        <v>0</v>
      </c>
      <c r="GF31">
        <v>2097510584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6"/>
        <v>0</v>
      </c>
      <c r="GM31">
        <f t="shared" si="47"/>
        <v>1163527.21</v>
      </c>
      <c r="GN31">
        <f t="shared" si="48"/>
        <v>1163527.21</v>
      </c>
      <c r="GO31">
        <f t="shared" si="49"/>
        <v>0</v>
      </c>
      <c r="GP31">
        <f t="shared" si="50"/>
        <v>0</v>
      </c>
      <c r="GR31">
        <v>0</v>
      </c>
      <c r="GS31">
        <v>3</v>
      </c>
      <c r="GT31">
        <v>0</v>
      </c>
      <c r="GU31" t="s">
        <v>6</v>
      </c>
      <c r="GV31">
        <f t="shared" si="51"/>
        <v>0</v>
      </c>
      <c r="GW31">
        <v>1</v>
      </c>
      <c r="GX31">
        <f t="shared" si="52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ROW(SmtRes!A37)</f>
        <v>37</v>
      </c>
      <c r="D32" s="2">
        <f>ROW(EtalonRes!A35)</f>
        <v>35</v>
      </c>
      <c r="E32" s="2" t="s">
        <v>37</v>
      </c>
      <c r="F32" s="2" t="s">
        <v>38</v>
      </c>
      <c r="G32" s="2" t="s">
        <v>39</v>
      </c>
      <c r="H32" s="2" t="s">
        <v>40</v>
      </c>
      <c r="I32" s="2">
        <f>ROUND(18.36/100,9)</f>
        <v>0.18360000000000001</v>
      </c>
      <c r="J32" s="2">
        <v>0</v>
      </c>
      <c r="K32" s="2"/>
      <c r="L32" s="2"/>
      <c r="M32" s="2"/>
      <c r="N32" s="2"/>
      <c r="O32" s="2">
        <f t="shared" si="14"/>
        <v>1189.94</v>
      </c>
      <c r="P32" s="2">
        <f t="shared" si="15"/>
        <v>1152.44</v>
      </c>
      <c r="Q32" s="2">
        <f t="shared" si="16"/>
        <v>4.0199999999999996</v>
      </c>
      <c r="R32" s="2">
        <f t="shared" si="17"/>
        <v>0.81</v>
      </c>
      <c r="S32" s="2">
        <f t="shared" si="18"/>
        <v>33.479999999999997</v>
      </c>
      <c r="T32" s="2">
        <f t="shared" si="19"/>
        <v>0</v>
      </c>
      <c r="U32" s="2">
        <f t="shared" si="20"/>
        <v>3.9253680000000002</v>
      </c>
      <c r="V32" s="2">
        <f t="shared" si="21"/>
        <v>6.7932000000000006E-2</v>
      </c>
      <c r="W32" s="2">
        <f t="shared" si="22"/>
        <v>0</v>
      </c>
      <c r="X32" s="2">
        <f t="shared" si="23"/>
        <v>36.35</v>
      </c>
      <c r="Y32" s="2">
        <f t="shared" si="24"/>
        <v>18.52</v>
      </c>
      <c r="Z32" s="2"/>
      <c r="AA32" s="2">
        <v>16481133</v>
      </c>
      <c r="AB32" s="2">
        <f t="shared" si="25"/>
        <v>6481.17</v>
      </c>
      <c r="AC32" s="2">
        <f t="shared" si="26"/>
        <v>6276.9</v>
      </c>
      <c r="AD32" s="2">
        <f t="shared" si="27"/>
        <v>21.9</v>
      </c>
      <c r="AE32" s="2">
        <f t="shared" si="28"/>
        <v>4.43</v>
      </c>
      <c r="AF32" s="2">
        <f t="shared" si="29"/>
        <v>182.37</v>
      </c>
      <c r="AG32" s="2">
        <f t="shared" si="30"/>
        <v>0</v>
      </c>
      <c r="AH32" s="2">
        <f t="shared" si="31"/>
        <v>21.38</v>
      </c>
      <c r="AI32" s="2">
        <f t="shared" si="32"/>
        <v>0.37</v>
      </c>
      <c r="AJ32" s="2">
        <f t="shared" si="33"/>
        <v>0</v>
      </c>
      <c r="AK32" s="2">
        <v>6481.17</v>
      </c>
      <c r="AL32" s="2">
        <v>6276.9</v>
      </c>
      <c r="AM32" s="2">
        <v>21.9</v>
      </c>
      <c r="AN32" s="2">
        <v>4.43</v>
      </c>
      <c r="AO32" s="2">
        <v>182.37</v>
      </c>
      <c r="AP32" s="2">
        <v>0</v>
      </c>
      <c r="AQ32" s="2">
        <v>21.38</v>
      </c>
      <c r="AR32" s="2">
        <v>0.37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41</v>
      </c>
      <c r="BK32" s="2"/>
      <c r="BL32" s="2"/>
      <c r="BM32" s="2">
        <v>10001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118</v>
      </c>
      <c r="CA32" s="2">
        <v>63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4"/>
        <v>1189.94</v>
      </c>
      <c r="CQ32" s="2">
        <f t="shared" si="35"/>
        <v>6276.9</v>
      </c>
      <c r="CR32" s="2">
        <f t="shared" si="36"/>
        <v>21.9</v>
      </c>
      <c r="CS32" s="2">
        <f t="shared" si="37"/>
        <v>4.43</v>
      </c>
      <c r="CT32" s="2">
        <f t="shared" si="38"/>
        <v>182.37</v>
      </c>
      <c r="CU32" s="2">
        <f t="shared" si="39"/>
        <v>0</v>
      </c>
      <c r="CV32" s="2">
        <f t="shared" si="40"/>
        <v>21.38</v>
      </c>
      <c r="CW32" s="2">
        <f t="shared" si="41"/>
        <v>0.37</v>
      </c>
      <c r="CX32" s="2">
        <f t="shared" si="42"/>
        <v>0</v>
      </c>
      <c r="CY32" s="2">
        <f t="shared" si="43"/>
        <v>36.3474</v>
      </c>
      <c r="CZ32" s="2">
        <f t="shared" si="44"/>
        <v>18.516599999999997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40</v>
      </c>
      <c r="DW32" s="2" t="s">
        <v>40</v>
      </c>
      <c r="DX32" s="2">
        <v>100</v>
      </c>
      <c r="DY32" s="2"/>
      <c r="DZ32" s="2"/>
      <c r="EA32" s="2"/>
      <c r="EB32" s="2"/>
      <c r="EC32" s="2"/>
      <c r="ED32" s="2"/>
      <c r="EE32" s="2">
        <v>15139100</v>
      </c>
      <c r="EF32" s="2">
        <v>2</v>
      </c>
      <c r="EG32" s="2" t="s">
        <v>18</v>
      </c>
      <c r="EH32" s="2">
        <v>0</v>
      </c>
      <c r="EI32" s="2" t="s">
        <v>6</v>
      </c>
      <c r="EJ32" s="2">
        <v>1</v>
      </c>
      <c r="EK32" s="2">
        <v>10001</v>
      </c>
      <c r="EL32" s="2" t="s">
        <v>27</v>
      </c>
      <c r="EM32" s="2" t="s">
        <v>28</v>
      </c>
      <c r="EN32" s="2"/>
      <c r="EO32" s="2" t="s">
        <v>6</v>
      </c>
      <c r="EP32" s="2"/>
      <c r="EQ32" s="2">
        <v>0</v>
      </c>
      <c r="ER32" s="2">
        <v>6481.17</v>
      </c>
      <c r="ES32" s="2">
        <v>6276.9</v>
      </c>
      <c r="ET32" s="2">
        <v>21.9</v>
      </c>
      <c r="EU32" s="2">
        <v>4.43</v>
      </c>
      <c r="EV32" s="2">
        <v>182.37</v>
      </c>
      <c r="EW32" s="2">
        <v>21.38</v>
      </c>
      <c r="EX32" s="2">
        <v>0.37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5"/>
        <v>0</v>
      </c>
      <c r="FS32" s="2">
        <v>0</v>
      </c>
      <c r="FT32" s="2" t="s">
        <v>21</v>
      </c>
      <c r="FU32" s="2" t="s">
        <v>22</v>
      </c>
      <c r="FV32" s="2"/>
      <c r="FW32" s="2"/>
      <c r="FX32" s="2">
        <v>106.2</v>
      </c>
      <c r="FY32" s="2">
        <v>53.55</v>
      </c>
      <c r="FZ32" s="2"/>
      <c r="GA32" s="2" t="s">
        <v>6</v>
      </c>
      <c r="GB32" s="2"/>
      <c r="GC32" s="2"/>
      <c r="GD32" s="2">
        <v>0</v>
      </c>
      <c r="GE32" s="2"/>
      <c r="GF32" s="2">
        <v>-1968498593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6"/>
        <v>0</v>
      </c>
      <c r="GM32" s="2">
        <f t="shared" si="47"/>
        <v>1244.81</v>
      </c>
      <c r="GN32" s="2">
        <f t="shared" si="48"/>
        <v>1244.81</v>
      </c>
      <c r="GO32" s="2">
        <f t="shared" si="49"/>
        <v>0</v>
      </c>
      <c r="GP32" s="2">
        <f t="shared" si="50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1"/>
        <v>0</v>
      </c>
      <c r="GW32" s="2">
        <v>1</v>
      </c>
      <c r="GX32" s="2">
        <f t="shared" si="52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ROW(SmtRes!A44)</f>
        <v>44</v>
      </c>
      <c r="D33">
        <f>ROW(EtalonRes!A42)</f>
        <v>42</v>
      </c>
      <c r="E33" t="s">
        <v>37</v>
      </c>
      <c r="F33" t="s">
        <v>38</v>
      </c>
      <c r="G33" t="s">
        <v>39</v>
      </c>
      <c r="H33" t="s">
        <v>40</v>
      </c>
      <c r="I33">
        <f>ROUND(18.36/100,9)</f>
        <v>0.18360000000000001</v>
      </c>
      <c r="J33">
        <v>0</v>
      </c>
      <c r="O33">
        <f t="shared" si="14"/>
        <v>7127.75</v>
      </c>
      <c r="P33">
        <f t="shared" si="15"/>
        <v>6903.11</v>
      </c>
      <c r="Q33">
        <f t="shared" si="16"/>
        <v>24.08</v>
      </c>
      <c r="R33">
        <f t="shared" si="17"/>
        <v>4.87</v>
      </c>
      <c r="S33">
        <f t="shared" si="18"/>
        <v>200.56</v>
      </c>
      <c r="T33">
        <f t="shared" si="19"/>
        <v>0</v>
      </c>
      <c r="U33">
        <f t="shared" si="20"/>
        <v>3.9253680000000002</v>
      </c>
      <c r="V33">
        <f t="shared" si="21"/>
        <v>6.7932000000000006E-2</v>
      </c>
      <c r="W33">
        <f t="shared" si="22"/>
        <v>0</v>
      </c>
      <c r="X33">
        <f t="shared" si="23"/>
        <v>217.76</v>
      </c>
      <c r="Y33">
        <f t="shared" si="24"/>
        <v>110.93</v>
      </c>
      <c r="AA33">
        <v>16481134</v>
      </c>
      <c r="AB33">
        <f t="shared" si="25"/>
        <v>6481.17</v>
      </c>
      <c r="AC33">
        <f t="shared" si="26"/>
        <v>6276.9</v>
      </c>
      <c r="AD33">
        <f t="shared" si="27"/>
        <v>21.9</v>
      </c>
      <c r="AE33">
        <f t="shared" si="28"/>
        <v>4.43</v>
      </c>
      <c r="AF33">
        <f t="shared" si="29"/>
        <v>182.37</v>
      </c>
      <c r="AG33">
        <f t="shared" si="30"/>
        <v>0</v>
      </c>
      <c r="AH33">
        <f t="shared" si="31"/>
        <v>21.38</v>
      </c>
      <c r="AI33">
        <f t="shared" si="32"/>
        <v>0.37</v>
      </c>
      <c r="AJ33">
        <f t="shared" si="33"/>
        <v>0</v>
      </c>
      <c r="AK33">
        <v>6481.17</v>
      </c>
      <c r="AL33">
        <v>6276.9</v>
      </c>
      <c r="AM33">
        <v>21.9</v>
      </c>
      <c r="AN33">
        <v>4.43</v>
      </c>
      <c r="AO33">
        <v>182.37</v>
      </c>
      <c r="AP33">
        <v>0</v>
      </c>
      <c r="AQ33">
        <v>21.38</v>
      </c>
      <c r="AR33">
        <v>0.37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5.99</v>
      </c>
      <c r="BA33">
        <v>5.99</v>
      </c>
      <c r="BB33">
        <v>5.99</v>
      </c>
      <c r="BC33">
        <v>5.99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41</v>
      </c>
      <c r="BM33">
        <v>10001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5.99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118</v>
      </c>
      <c r="CA33">
        <v>63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4"/>
        <v>7127.75</v>
      </c>
      <c r="CQ33">
        <f t="shared" si="35"/>
        <v>37598.631000000001</v>
      </c>
      <c r="CR33">
        <f t="shared" si="36"/>
        <v>131.18099999999998</v>
      </c>
      <c r="CS33">
        <f t="shared" si="37"/>
        <v>26.535699999999999</v>
      </c>
      <c r="CT33">
        <f t="shared" si="38"/>
        <v>1092.3963000000001</v>
      </c>
      <c r="CU33">
        <f t="shared" si="39"/>
        <v>0</v>
      </c>
      <c r="CV33">
        <f t="shared" si="40"/>
        <v>21.38</v>
      </c>
      <c r="CW33">
        <f t="shared" si="41"/>
        <v>0.37</v>
      </c>
      <c r="CX33">
        <f t="shared" si="42"/>
        <v>0</v>
      </c>
      <c r="CY33">
        <f t="shared" si="43"/>
        <v>217.75580000000002</v>
      </c>
      <c r="CZ33">
        <f t="shared" si="44"/>
        <v>110.93220000000001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40</v>
      </c>
      <c r="DW33" t="s">
        <v>40</v>
      </c>
      <c r="DX33">
        <v>100</v>
      </c>
      <c r="EE33">
        <v>15139100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10001</v>
      </c>
      <c r="EL33" t="s">
        <v>27</v>
      </c>
      <c r="EM33" t="s">
        <v>28</v>
      </c>
      <c r="EO33" t="s">
        <v>6</v>
      </c>
      <c r="EQ33">
        <v>0</v>
      </c>
      <c r="ER33">
        <v>6481.17</v>
      </c>
      <c r="ES33">
        <v>6276.9</v>
      </c>
      <c r="ET33">
        <v>21.9</v>
      </c>
      <c r="EU33">
        <v>4.43</v>
      </c>
      <c r="EV33">
        <v>182.37</v>
      </c>
      <c r="EW33">
        <v>21.38</v>
      </c>
      <c r="EX33">
        <v>0.37</v>
      </c>
      <c r="EY33">
        <v>0</v>
      </c>
      <c r="FQ33">
        <v>0</v>
      </c>
      <c r="FR33">
        <f t="shared" si="45"/>
        <v>0</v>
      </c>
      <c r="FS33">
        <v>0</v>
      </c>
      <c r="FT33" t="s">
        <v>21</v>
      </c>
      <c r="FU33" t="s">
        <v>22</v>
      </c>
      <c r="FX33">
        <v>106.2</v>
      </c>
      <c r="FY33">
        <v>53.55</v>
      </c>
      <c r="GA33" t="s">
        <v>6</v>
      </c>
      <c r="GD33">
        <v>0</v>
      </c>
      <c r="GF33">
        <v>-1968498593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6"/>
        <v>0</v>
      </c>
      <c r="GM33">
        <f t="shared" si="47"/>
        <v>7456.44</v>
      </c>
      <c r="GN33">
        <f t="shared" si="48"/>
        <v>7456.44</v>
      </c>
      <c r="GO33">
        <f t="shared" si="49"/>
        <v>0</v>
      </c>
      <c r="GP33">
        <f t="shared" si="50"/>
        <v>0</v>
      </c>
      <c r="GR33">
        <v>0</v>
      </c>
      <c r="GS33">
        <v>3</v>
      </c>
      <c r="GT33">
        <v>0</v>
      </c>
      <c r="GU33" t="s">
        <v>6</v>
      </c>
      <c r="GV33">
        <f t="shared" si="51"/>
        <v>0</v>
      </c>
      <c r="GW33">
        <v>1</v>
      </c>
      <c r="GX33">
        <f t="shared" si="52"/>
        <v>0</v>
      </c>
      <c r="HA33">
        <v>0</v>
      </c>
      <c r="HB33"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35</v>
      </c>
      <c r="D34" s="2"/>
      <c r="E34" s="2" t="s">
        <v>42</v>
      </c>
      <c r="F34" s="2" t="s">
        <v>43</v>
      </c>
      <c r="G34" s="2" t="s">
        <v>44</v>
      </c>
      <c r="H34" s="2" t="s">
        <v>45</v>
      </c>
      <c r="I34" s="2">
        <f>I32*J34</f>
        <v>18.36</v>
      </c>
      <c r="J34" s="2">
        <v>99.999999999999986</v>
      </c>
      <c r="K34" s="2"/>
      <c r="L34" s="2"/>
      <c r="M34" s="2"/>
      <c r="N34" s="2"/>
      <c r="O34" s="2">
        <f t="shared" si="14"/>
        <v>1181.47</v>
      </c>
      <c r="P34" s="2">
        <f t="shared" si="15"/>
        <v>1181.47</v>
      </c>
      <c r="Q34" s="2">
        <f t="shared" si="16"/>
        <v>0</v>
      </c>
      <c r="R34" s="2">
        <f t="shared" si="17"/>
        <v>0</v>
      </c>
      <c r="S34" s="2">
        <f t="shared" si="18"/>
        <v>0</v>
      </c>
      <c r="T34" s="2">
        <f t="shared" si="19"/>
        <v>0</v>
      </c>
      <c r="U34" s="2">
        <f t="shared" si="20"/>
        <v>0</v>
      </c>
      <c r="V34" s="2">
        <f t="shared" si="21"/>
        <v>0</v>
      </c>
      <c r="W34" s="2">
        <f t="shared" si="22"/>
        <v>0</v>
      </c>
      <c r="X34" s="2">
        <f t="shared" si="23"/>
        <v>0</v>
      </c>
      <c r="Y34" s="2">
        <f t="shared" si="24"/>
        <v>0</v>
      </c>
      <c r="Z34" s="2"/>
      <c r="AA34" s="2">
        <v>16481133</v>
      </c>
      <c r="AB34" s="2">
        <f t="shared" si="25"/>
        <v>64.349999999999994</v>
      </c>
      <c r="AC34" s="2">
        <f t="shared" si="26"/>
        <v>64.349999999999994</v>
      </c>
      <c r="AD34" s="2">
        <f t="shared" si="27"/>
        <v>0</v>
      </c>
      <c r="AE34" s="2">
        <f t="shared" si="28"/>
        <v>0</v>
      </c>
      <c r="AF34" s="2">
        <f t="shared" si="29"/>
        <v>0</v>
      </c>
      <c r="AG34" s="2">
        <f t="shared" si="30"/>
        <v>0</v>
      </c>
      <c r="AH34" s="2">
        <f t="shared" si="31"/>
        <v>0</v>
      </c>
      <c r="AI34" s="2">
        <f t="shared" si="32"/>
        <v>0</v>
      </c>
      <c r="AJ34" s="2">
        <f t="shared" si="33"/>
        <v>0</v>
      </c>
      <c r="AK34" s="2">
        <v>64.349999999999994</v>
      </c>
      <c r="AL34" s="2">
        <v>64.349999999999994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106</v>
      </c>
      <c r="AU34" s="2">
        <v>54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3</v>
      </c>
      <c r="BI34" s="2">
        <v>1</v>
      </c>
      <c r="BJ34" s="2" t="s">
        <v>46</v>
      </c>
      <c r="BK34" s="2"/>
      <c r="BL34" s="2"/>
      <c r="BM34" s="2">
        <v>10001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118</v>
      </c>
      <c r="CA34" s="2">
        <v>63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4"/>
        <v>1181.47</v>
      </c>
      <c r="CQ34" s="2">
        <f t="shared" si="35"/>
        <v>64.349999999999994</v>
      </c>
      <c r="CR34" s="2">
        <f t="shared" si="36"/>
        <v>0</v>
      </c>
      <c r="CS34" s="2">
        <f t="shared" si="37"/>
        <v>0</v>
      </c>
      <c r="CT34" s="2">
        <f t="shared" si="38"/>
        <v>0</v>
      </c>
      <c r="CU34" s="2">
        <f t="shared" si="39"/>
        <v>0</v>
      </c>
      <c r="CV34" s="2">
        <f t="shared" si="40"/>
        <v>0</v>
      </c>
      <c r="CW34" s="2">
        <f t="shared" si="41"/>
        <v>0</v>
      </c>
      <c r="CX34" s="2">
        <f t="shared" si="42"/>
        <v>0</v>
      </c>
      <c r="CY34" s="2">
        <f t="shared" si="43"/>
        <v>0</v>
      </c>
      <c r="CZ34" s="2">
        <f t="shared" si="44"/>
        <v>0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1003</v>
      </c>
      <c r="DV34" s="2" t="s">
        <v>45</v>
      </c>
      <c r="DW34" s="2" t="s">
        <v>45</v>
      </c>
      <c r="DX34" s="2">
        <v>1</v>
      </c>
      <c r="DY34" s="2"/>
      <c r="DZ34" s="2"/>
      <c r="EA34" s="2"/>
      <c r="EB34" s="2"/>
      <c r="EC34" s="2"/>
      <c r="ED34" s="2"/>
      <c r="EE34" s="2">
        <v>15139100</v>
      </c>
      <c r="EF34" s="2">
        <v>2</v>
      </c>
      <c r="EG34" s="2" t="s">
        <v>18</v>
      </c>
      <c r="EH34" s="2">
        <v>0</v>
      </c>
      <c r="EI34" s="2" t="s">
        <v>6</v>
      </c>
      <c r="EJ34" s="2">
        <v>1</v>
      </c>
      <c r="EK34" s="2">
        <v>10001</v>
      </c>
      <c r="EL34" s="2" t="s">
        <v>27</v>
      </c>
      <c r="EM34" s="2" t="s">
        <v>28</v>
      </c>
      <c r="EN34" s="2"/>
      <c r="EO34" s="2" t="s">
        <v>6</v>
      </c>
      <c r="EP34" s="2"/>
      <c r="EQ34" s="2">
        <v>0</v>
      </c>
      <c r="ER34" s="2">
        <v>64.349999999999994</v>
      </c>
      <c r="ES34" s="2">
        <v>64.349999999999994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5"/>
        <v>0</v>
      </c>
      <c r="FS34" s="2">
        <v>0</v>
      </c>
      <c r="FT34" s="2" t="s">
        <v>21</v>
      </c>
      <c r="FU34" s="2" t="s">
        <v>22</v>
      </c>
      <c r="FV34" s="2"/>
      <c r="FW34" s="2"/>
      <c r="FX34" s="2">
        <v>106.2</v>
      </c>
      <c r="FY34" s="2">
        <v>53.55</v>
      </c>
      <c r="FZ34" s="2"/>
      <c r="GA34" s="2" t="s">
        <v>6</v>
      </c>
      <c r="GB34" s="2"/>
      <c r="GC34" s="2"/>
      <c r="GD34" s="2">
        <v>0</v>
      </c>
      <c r="GE34" s="2"/>
      <c r="GF34" s="2">
        <v>1369221803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6"/>
        <v>0</v>
      </c>
      <c r="GM34" s="2">
        <f t="shared" si="47"/>
        <v>1181.47</v>
      </c>
      <c r="GN34" s="2">
        <f t="shared" si="48"/>
        <v>1181.47</v>
      </c>
      <c r="GO34" s="2">
        <f t="shared" si="49"/>
        <v>0</v>
      </c>
      <c r="GP34" s="2">
        <f t="shared" si="50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1"/>
        <v>0</v>
      </c>
      <c r="GW34" s="2">
        <v>1</v>
      </c>
      <c r="GX34" s="2">
        <f t="shared" si="52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42</v>
      </c>
      <c r="E35" t="s">
        <v>42</v>
      </c>
      <c r="F35" t="s">
        <v>43</v>
      </c>
      <c r="G35" t="s">
        <v>44</v>
      </c>
      <c r="H35" t="s">
        <v>45</v>
      </c>
      <c r="I35">
        <f>I33*J35</f>
        <v>18.36</v>
      </c>
      <c r="J35">
        <v>99.999999999999986</v>
      </c>
      <c r="O35">
        <f t="shared" si="14"/>
        <v>7076.98</v>
      </c>
      <c r="P35">
        <f t="shared" si="15"/>
        <v>7076.98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16481134</v>
      </c>
      <c r="AB35">
        <f t="shared" si="25"/>
        <v>64.349999999999994</v>
      </c>
      <c r="AC35">
        <f t="shared" si="26"/>
        <v>64.349999999999994</v>
      </c>
      <c r="AD35">
        <f t="shared" si="27"/>
        <v>0</v>
      </c>
      <c r="AE35">
        <f t="shared" si="28"/>
        <v>0</v>
      </c>
      <c r="AF35">
        <f t="shared" si="29"/>
        <v>0</v>
      </c>
      <c r="AG35">
        <f t="shared" si="30"/>
        <v>0</v>
      </c>
      <c r="AH35">
        <f t="shared" si="31"/>
        <v>0</v>
      </c>
      <c r="AI35">
        <f t="shared" si="32"/>
        <v>0</v>
      </c>
      <c r="AJ35">
        <f t="shared" si="33"/>
        <v>0</v>
      </c>
      <c r="AK35">
        <v>64.349999999999994</v>
      </c>
      <c r="AL35">
        <v>64.349999999999994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106</v>
      </c>
      <c r="AU35">
        <v>54</v>
      </c>
      <c r="AV35">
        <v>1</v>
      </c>
      <c r="AW35">
        <v>1</v>
      </c>
      <c r="AZ35">
        <v>5.99</v>
      </c>
      <c r="BA35">
        <v>1</v>
      </c>
      <c r="BB35">
        <v>1</v>
      </c>
      <c r="BC35">
        <v>5.99</v>
      </c>
      <c r="BD35" t="s">
        <v>6</v>
      </c>
      <c r="BE35" t="s">
        <v>6</v>
      </c>
      <c r="BF35" t="s">
        <v>6</v>
      </c>
      <c r="BG35" t="s">
        <v>6</v>
      </c>
      <c r="BH35">
        <v>3</v>
      </c>
      <c r="BI35">
        <v>1</v>
      </c>
      <c r="BJ35" t="s">
        <v>46</v>
      </c>
      <c r="BM35">
        <v>10001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118</v>
      </c>
      <c r="CA35">
        <v>63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4"/>
        <v>7076.98</v>
      </c>
      <c r="CQ35">
        <f t="shared" si="35"/>
        <v>385.45650000000001</v>
      </c>
      <c r="CR35">
        <f t="shared" si="36"/>
        <v>0</v>
      </c>
      <c r="CS35">
        <f t="shared" si="37"/>
        <v>0</v>
      </c>
      <c r="CT35">
        <f t="shared" si="38"/>
        <v>0</v>
      </c>
      <c r="CU35">
        <f t="shared" si="39"/>
        <v>0</v>
      </c>
      <c r="CV35">
        <f t="shared" si="40"/>
        <v>0</v>
      </c>
      <c r="CW35">
        <f t="shared" si="41"/>
        <v>0</v>
      </c>
      <c r="CX35">
        <f t="shared" si="42"/>
        <v>0</v>
      </c>
      <c r="CY35">
        <f t="shared" si="43"/>
        <v>0</v>
      </c>
      <c r="CZ35">
        <f t="shared" si="44"/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45</v>
      </c>
      <c r="DW35" t="s">
        <v>45</v>
      </c>
      <c r="DX35">
        <v>1</v>
      </c>
      <c r="EE35">
        <v>15139100</v>
      </c>
      <c r="EF35">
        <v>2</v>
      </c>
      <c r="EG35" t="s">
        <v>18</v>
      </c>
      <c r="EH35">
        <v>0</v>
      </c>
      <c r="EI35" t="s">
        <v>6</v>
      </c>
      <c r="EJ35">
        <v>1</v>
      </c>
      <c r="EK35">
        <v>10001</v>
      </c>
      <c r="EL35" t="s">
        <v>27</v>
      </c>
      <c r="EM35" t="s">
        <v>28</v>
      </c>
      <c r="EO35" t="s">
        <v>6</v>
      </c>
      <c r="EQ35">
        <v>0</v>
      </c>
      <c r="ER35">
        <v>64.349999999999994</v>
      </c>
      <c r="ES35">
        <v>64.349999999999994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5"/>
        <v>0</v>
      </c>
      <c r="FS35">
        <v>0</v>
      </c>
      <c r="FT35" t="s">
        <v>21</v>
      </c>
      <c r="FU35" t="s">
        <v>22</v>
      </c>
      <c r="FX35">
        <v>106.2</v>
      </c>
      <c r="FY35">
        <v>53.55</v>
      </c>
      <c r="GA35" t="s">
        <v>6</v>
      </c>
      <c r="GD35">
        <v>0</v>
      </c>
      <c r="GF35">
        <v>1369221803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6"/>
        <v>0</v>
      </c>
      <c r="GM35">
        <f t="shared" si="47"/>
        <v>7076.98</v>
      </c>
      <c r="GN35">
        <f t="shared" si="48"/>
        <v>7076.98</v>
      </c>
      <c r="GO35">
        <f t="shared" si="49"/>
        <v>0</v>
      </c>
      <c r="GP35">
        <f t="shared" si="50"/>
        <v>0</v>
      </c>
      <c r="GR35">
        <v>0</v>
      </c>
      <c r="GS35">
        <v>3</v>
      </c>
      <c r="GT35">
        <v>0</v>
      </c>
      <c r="GU35" t="s">
        <v>6</v>
      </c>
      <c r="GV35">
        <f t="shared" si="51"/>
        <v>0</v>
      </c>
      <c r="GW35">
        <v>1</v>
      </c>
      <c r="GX35">
        <f t="shared" si="52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ROW(SmtRes!A54)</f>
        <v>54</v>
      </c>
      <c r="D36" s="2">
        <f>ROW(EtalonRes!A50)</f>
        <v>50</v>
      </c>
      <c r="E36" s="2" t="s">
        <v>47</v>
      </c>
      <c r="F36" s="2" t="s">
        <v>48</v>
      </c>
      <c r="G36" s="2" t="s">
        <v>49</v>
      </c>
      <c r="H36" s="2" t="s">
        <v>40</v>
      </c>
      <c r="I36" s="2">
        <f>ROUND(18.36/100,9)</f>
        <v>0.18360000000000001</v>
      </c>
      <c r="J36" s="2">
        <v>0</v>
      </c>
      <c r="K36" s="2"/>
      <c r="L36" s="2"/>
      <c r="M36" s="2"/>
      <c r="N36" s="2"/>
      <c r="O36" s="2">
        <f t="shared" si="14"/>
        <v>83.42</v>
      </c>
      <c r="P36" s="2">
        <f t="shared" si="15"/>
        <v>17.63</v>
      </c>
      <c r="Q36" s="2">
        <f t="shared" si="16"/>
        <v>0.94</v>
      </c>
      <c r="R36" s="2">
        <f t="shared" si="17"/>
        <v>0.28000000000000003</v>
      </c>
      <c r="S36" s="2">
        <f t="shared" si="18"/>
        <v>64.849999999999994</v>
      </c>
      <c r="T36" s="2">
        <f t="shared" si="19"/>
        <v>0</v>
      </c>
      <c r="U36" s="2">
        <f t="shared" si="20"/>
        <v>7.6028760000000002</v>
      </c>
      <c r="V36" s="2">
        <f t="shared" si="21"/>
        <v>2.2032E-2</v>
      </c>
      <c r="W36" s="2">
        <f t="shared" si="22"/>
        <v>0</v>
      </c>
      <c r="X36" s="2">
        <f t="shared" si="23"/>
        <v>54.06</v>
      </c>
      <c r="Y36" s="2">
        <f t="shared" si="24"/>
        <v>42.33</v>
      </c>
      <c r="Z36" s="2"/>
      <c r="AA36" s="2">
        <v>16481133</v>
      </c>
      <c r="AB36" s="2">
        <f t="shared" si="25"/>
        <v>454.41</v>
      </c>
      <c r="AC36" s="2">
        <f t="shared" si="26"/>
        <v>96.05</v>
      </c>
      <c r="AD36" s="2">
        <f t="shared" si="27"/>
        <v>5.13</v>
      </c>
      <c r="AE36" s="2">
        <f t="shared" si="28"/>
        <v>1.54</v>
      </c>
      <c r="AF36" s="2">
        <f t="shared" si="29"/>
        <v>353.23</v>
      </c>
      <c r="AG36" s="2">
        <f t="shared" si="30"/>
        <v>0</v>
      </c>
      <c r="AH36" s="2">
        <f t="shared" si="31"/>
        <v>41.41</v>
      </c>
      <c r="AI36" s="2">
        <f t="shared" si="32"/>
        <v>0.12</v>
      </c>
      <c r="AJ36" s="2">
        <f t="shared" si="33"/>
        <v>0</v>
      </c>
      <c r="AK36" s="2">
        <v>454.41</v>
      </c>
      <c r="AL36" s="2">
        <v>96.05</v>
      </c>
      <c r="AM36" s="2">
        <v>5.13</v>
      </c>
      <c r="AN36" s="2">
        <v>1.54</v>
      </c>
      <c r="AO36" s="2">
        <v>353.23</v>
      </c>
      <c r="AP36" s="2">
        <v>0</v>
      </c>
      <c r="AQ36" s="2">
        <v>41.41</v>
      </c>
      <c r="AR36" s="2">
        <v>0.12</v>
      </c>
      <c r="AS36" s="2">
        <v>0</v>
      </c>
      <c r="AT36" s="2">
        <v>83</v>
      </c>
      <c r="AU36" s="2">
        <v>65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50</v>
      </c>
      <c r="BK36" s="2"/>
      <c r="BL36" s="2"/>
      <c r="BM36" s="2">
        <v>58001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83</v>
      </c>
      <c r="CA36" s="2">
        <v>65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4"/>
        <v>83.419999999999987</v>
      </c>
      <c r="CQ36" s="2">
        <f t="shared" si="35"/>
        <v>96.05</v>
      </c>
      <c r="CR36" s="2">
        <f t="shared" si="36"/>
        <v>5.13</v>
      </c>
      <c r="CS36" s="2">
        <f t="shared" si="37"/>
        <v>1.54</v>
      </c>
      <c r="CT36" s="2">
        <f t="shared" si="38"/>
        <v>353.23</v>
      </c>
      <c r="CU36" s="2">
        <f t="shared" si="39"/>
        <v>0</v>
      </c>
      <c r="CV36" s="2">
        <f t="shared" si="40"/>
        <v>41.41</v>
      </c>
      <c r="CW36" s="2">
        <f t="shared" si="41"/>
        <v>0.12</v>
      </c>
      <c r="CX36" s="2">
        <f t="shared" si="42"/>
        <v>0</v>
      </c>
      <c r="CY36" s="2">
        <f t="shared" si="43"/>
        <v>54.057899999999997</v>
      </c>
      <c r="CZ36" s="2">
        <f t="shared" si="44"/>
        <v>42.334499999999998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1003</v>
      </c>
      <c r="DV36" s="2" t="s">
        <v>40</v>
      </c>
      <c r="DW36" s="2" t="s">
        <v>40</v>
      </c>
      <c r="DX36" s="2">
        <v>100</v>
      </c>
      <c r="DY36" s="2"/>
      <c r="DZ36" s="2"/>
      <c r="EA36" s="2"/>
      <c r="EB36" s="2"/>
      <c r="EC36" s="2"/>
      <c r="ED36" s="2"/>
      <c r="EE36" s="2">
        <v>15139180</v>
      </c>
      <c r="EF36" s="2">
        <v>6</v>
      </c>
      <c r="EG36" s="2" t="s">
        <v>51</v>
      </c>
      <c r="EH36" s="2">
        <v>0</v>
      </c>
      <c r="EI36" s="2" t="s">
        <v>6</v>
      </c>
      <c r="EJ36" s="2">
        <v>1</v>
      </c>
      <c r="EK36" s="2">
        <v>58001</v>
      </c>
      <c r="EL36" s="2" t="s">
        <v>52</v>
      </c>
      <c r="EM36" s="2" t="s">
        <v>53</v>
      </c>
      <c r="EN36" s="2"/>
      <c r="EO36" s="2" t="s">
        <v>6</v>
      </c>
      <c r="EP36" s="2"/>
      <c r="EQ36" s="2">
        <v>0</v>
      </c>
      <c r="ER36" s="2">
        <v>454.41</v>
      </c>
      <c r="ES36" s="2">
        <v>96.05</v>
      </c>
      <c r="ET36" s="2">
        <v>5.13</v>
      </c>
      <c r="EU36" s="2">
        <v>1.54</v>
      </c>
      <c r="EV36" s="2">
        <v>353.23</v>
      </c>
      <c r="EW36" s="2">
        <v>41.41</v>
      </c>
      <c r="EX36" s="2">
        <v>0.12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5"/>
        <v>0</v>
      </c>
      <c r="FS36" s="2">
        <v>0</v>
      </c>
      <c r="FT36" s="2"/>
      <c r="FU36" s="2"/>
      <c r="FV36" s="2"/>
      <c r="FW36" s="2"/>
      <c r="FX36" s="2">
        <v>83</v>
      </c>
      <c r="FY36" s="2">
        <v>65</v>
      </c>
      <c r="FZ36" s="2"/>
      <c r="GA36" s="2" t="s">
        <v>6</v>
      </c>
      <c r="GB36" s="2"/>
      <c r="GC36" s="2"/>
      <c r="GD36" s="2">
        <v>0</v>
      </c>
      <c r="GE36" s="2"/>
      <c r="GF36" s="2">
        <v>-58071427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6"/>
        <v>0</v>
      </c>
      <c r="GM36" s="2">
        <f t="shared" si="47"/>
        <v>179.81</v>
      </c>
      <c r="GN36" s="2">
        <f t="shared" si="48"/>
        <v>179.81</v>
      </c>
      <c r="GO36" s="2">
        <f t="shared" si="49"/>
        <v>0</v>
      </c>
      <c r="GP36" s="2">
        <f t="shared" si="50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1"/>
        <v>0</v>
      </c>
      <c r="GW36" s="2">
        <v>1</v>
      </c>
      <c r="GX36" s="2">
        <f t="shared" si="52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ROW(SmtRes!A64)</f>
        <v>64</v>
      </c>
      <c r="D37">
        <f>ROW(EtalonRes!A58)</f>
        <v>58</v>
      </c>
      <c r="E37" t="s">
        <v>47</v>
      </c>
      <c r="F37" t="s">
        <v>48</v>
      </c>
      <c r="G37" t="s">
        <v>49</v>
      </c>
      <c r="H37" t="s">
        <v>40</v>
      </c>
      <c r="I37">
        <f>ROUND(18.36/100,9)</f>
        <v>0.18360000000000001</v>
      </c>
      <c r="J37">
        <v>0</v>
      </c>
      <c r="O37">
        <f t="shared" si="14"/>
        <v>499.74</v>
      </c>
      <c r="P37">
        <f t="shared" si="15"/>
        <v>105.63</v>
      </c>
      <c r="Q37">
        <f t="shared" si="16"/>
        <v>5.64</v>
      </c>
      <c r="R37">
        <f t="shared" si="17"/>
        <v>1.69</v>
      </c>
      <c r="S37">
        <f t="shared" si="18"/>
        <v>388.47</v>
      </c>
      <c r="T37">
        <f t="shared" si="19"/>
        <v>0</v>
      </c>
      <c r="U37">
        <f t="shared" si="20"/>
        <v>7.6028760000000002</v>
      </c>
      <c r="V37">
        <f t="shared" si="21"/>
        <v>2.2032E-2</v>
      </c>
      <c r="W37">
        <f t="shared" si="22"/>
        <v>0</v>
      </c>
      <c r="X37">
        <f t="shared" si="23"/>
        <v>323.83</v>
      </c>
      <c r="Y37">
        <f t="shared" si="24"/>
        <v>253.6</v>
      </c>
      <c r="AA37">
        <v>16481134</v>
      </c>
      <c r="AB37">
        <f t="shared" si="25"/>
        <v>454.41</v>
      </c>
      <c r="AC37">
        <f t="shared" si="26"/>
        <v>96.05</v>
      </c>
      <c r="AD37">
        <f t="shared" si="27"/>
        <v>5.13</v>
      </c>
      <c r="AE37">
        <f t="shared" si="28"/>
        <v>1.54</v>
      </c>
      <c r="AF37">
        <f t="shared" si="29"/>
        <v>353.23</v>
      </c>
      <c r="AG37">
        <f t="shared" si="30"/>
        <v>0</v>
      </c>
      <c r="AH37">
        <f t="shared" si="31"/>
        <v>41.41</v>
      </c>
      <c r="AI37">
        <f t="shared" si="32"/>
        <v>0.12</v>
      </c>
      <c r="AJ37">
        <f t="shared" si="33"/>
        <v>0</v>
      </c>
      <c r="AK37">
        <v>454.41</v>
      </c>
      <c r="AL37">
        <v>96.05</v>
      </c>
      <c r="AM37">
        <v>5.13</v>
      </c>
      <c r="AN37">
        <v>1.54</v>
      </c>
      <c r="AO37">
        <v>353.23</v>
      </c>
      <c r="AP37">
        <v>0</v>
      </c>
      <c r="AQ37">
        <v>41.41</v>
      </c>
      <c r="AR37">
        <v>0.12</v>
      </c>
      <c r="AS37">
        <v>0</v>
      </c>
      <c r="AT37">
        <v>83</v>
      </c>
      <c r="AU37">
        <v>65</v>
      </c>
      <c r="AV37">
        <v>1</v>
      </c>
      <c r="AW37">
        <v>1</v>
      </c>
      <c r="AZ37">
        <v>5.99</v>
      </c>
      <c r="BA37">
        <v>5.99</v>
      </c>
      <c r="BB37">
        <v>5.99</v>
      </c>
      <c r="BC37">
        <v>5.99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50</v>
      </c>
      <c r="BM37">
        <v>58001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5.99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83</v>
      </c>
      <c r="CA37">
        <v>65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4"/>
        <v>499.74</v>
      </c>
      <c r="CQ37">
        <f t="shared" si="35"/>
        <v>575.33950000000004</v>
      </c>
      <c r="CR37">
        <f t="shared" si="36"/>
        <v>30.7287</v>
      </c>
      <c r="CS37">
        <f t="shared" si="37"/>
        <v>9.2246000000000006</v>
      </c>
      <c r="CT37">
        <f t="shared" si="38"/>
        <v>2115.8477000000003</v>
      </c>
      <c r="CU37">
        <f t="shared" si="39"/>
        <v>0</v>
      </c>
      <c r="CV37">
        <f t="shared" si="40"/>
        <v>41.41</v>
      </c>
      <c r="CW37">
        <f t="shared" si="41"/>
        <v>0.12</v>
      </c>
      <c r="CX37">
        <f t="shared" si="42"/>
        <v>0</v>
      </c>
      <c r="CY37">
        <f t="shared" si="43"/>
        <v>323.83280000000002</v>
      </c>
      <c r="CZ37">
        <f t="shared" si="44"/>
        <v>253.60400000000001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1003</v>
      </c>
      <c r="DV37" t="s">
        <v>40</v>
      </c>
      <c r="DW37" t="s">
        <v>40</v>
      </c>
      <c r="DX37">
        <v>100</v>
      </c>
      <c r="EE37">
        <v>15139180</v>
      </c>
      <c r="EF37">
        <v>6</v>
      </c>
      <c r="EG37" t="s">
        <v>51</v>
      </c>
      <c r="EH37">
        <v>0</v>
      </c>
      <c r="EI37" t="s">
        <v>6</v>
      </c>
      <c r="EJ37">
        <v>1</v>
      </c>
      <c r="EK37">
        <v>58001</v>
      </c>
      <c r="EL37" t="s">
        <v>52</v>
      </c>
      <c r="EM37" t="s">
        <v>53</v>
      </c>
      <c r="EO37" t="s">
        <v>6</v>
      </c>
      <c r="EQ37">
        <v>0</v>
      </c>
      <c r="ER37">
        <v>454.41</v>
      </c>
      <c r="ES37">
        <v>96.05</v>
      </c>
      <c r="ET37">
        <v>5.13</v>
      </c>
      <c r="EU37">
        <v>1.54</v>
      </c>
      <c r="EV37">
        <v>353.23</v>
      </c>
      <c r="EW37">
        <v>41.41</v>
      </c>
      <c r="EX37">
        <v>0.12</v>
      </c>
      <c r="EY37">
        <v>0</v>
      </c>
      <c r="FQ37">
        <v>0</v>
      </c>
      <c r="FR37">
        <f t="shared" si="45"/>
        <v>0</v>
      </c>
      <c r="FS37">
        <v>0</v>
      </c>
      <c r="FX37">
        <v>83</v>
      </c>
      <c r="FY37">
        <v>65</v>
      </c>
      <c r="GA37" t="s">
        <v>6</v>
      </c>
      <c r="GD37">
        <v>0</v>
      </c>
      <c r="GF37">
        <v>-58071427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6"/>
        <v>0</v>
      </c>
      <c r="GM37">
        <f t="shared" si="47"/>
        <v>1077.17</v>
      </c>
      <c r="GN37">
        <f t="shared" si="48"/>
        <v>1077.17</v>
      </c>
      <c r="GO37">
        <f t="shared" si="49"/>
        <v>0</v>
      </c>
      <c r="GP37">
        <f t="shared" si="50"/>
        <v>0</v>
      </c>
      <c r="GR37">
        <v>0</v>
      </c>
      <c r="GS37">
        <v>3</v>
      </c>
      <c r="GT37">
        <v>0</v>
      </c>
      <c r="GU37" t="s">
        <v>6</v>
      </c>
      <c r="GV37">
        <f t="shared" si="51"/>
        <v>0</v>
      </c>
      <c r="GW37">
        <v>1</v>
      </c>
      <c r="GX37">
        <f t="shared" si="52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49</v>
      </c>
      <c r="D38" s="2"/>
      <c r="E38" s="2" t="s">
        <v>54</v>
      </c>
      <c r="F38" s="2" t="s">
        <v>55</v>
      </c>
      <c r="G38" s="2" t="s">
        <v>56</v>
      </c>
      <c r="H38" s="2" t="s">
        <v>57</v>
      </c>
      <c r="I38" s="2">
        <f>I36*J38</f>
        <v>4.1126000000000003E-2</v>
      </c>
      <c r="J38" s="2">
        <v>0.22399782135076252</v>
      </c>
      <c r="K38" s="2"/>
      <c r="L38" s="2"/>
      <c r="M38" s="2"/>
      <c r="N38" s="2"/>
      <c r="O38" s="2">
        <f t="shared" si="14"/>
        <v>0</v>
      </c>
      <c r="P38" s="2">
        <f t="shared" si="15"/>
        <v>0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16481133</v>
      </c>
      <c r="AB38" s="2">
        <f t="shared" si="25"/>
        <v>0</v>
      </c>
      <c r="AC38" s="2">
        <f t="shared" si="26"/>
        <v>0</v>
      </c>
      <c r="AD38" s="2">
        <f t="shared" si="27"/>
        <v>0</v>
      </c>
      <c r="AE38" s="2">
        <f t="shared" si="28"/>
        <v>0</v>
      </c>
      <c r="AF38" s="2">
        <f t="shared" si="29"/>
        <v>0</v>
      </c>
      <c r="AG38" s="2">
        <f t="shared" si="30"/>
        <v>0</v>
      </c>
      <c r="AH38" s="2">
        <f t="shared" si="31"/>
        <v>0</v>
      </c>
      <c r="AI38" s="2">
        <f t="shared" si="32"/>
        <v>0</v>
      </c>
      <c r="AJ38" s="2">
        <f t="shared" si="33"/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83</v>
      </c>
      <c r="AU38" s="2">
        <v>65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</v>
      </c>
      <c r="BK38" s="2"/>
      <c r="BL38" s="2"/>
      <c r="BM38" s="2">
        <v>58001</v>
      </c>
      <c r="BN38" s="2">
        <v>0</v>
      </c>
      <c r="BO38" s="2" t="s">
        <v>6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83</v>
      </c>
      <c r="CA38" s="2">
        <v>65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4"/>
        <v>0</v>
      </c>
      <c r="CQ38" s="2">
        <f t="shared" si="35"/>
        <v>0</v>
      </c>
      <c r="CR38" s="2">
        <f t="shared" si="36"/>
        <v>0</v>
      </c>
      <c r="CS38" s="2">
        <f t="shared" si="37"/>
        <v>0</v>
      </c>
      <c r="CT38" s="2">
        <f t="shared" si="38"/>
        <v>0</v>
      </c>
      <c r="CU38" s="2">
        <f t="shared" si="39"/>
        <v>0</v>
      </c>
      <c r="CV38" s="2">
        <f t="shared" si="40"/>
        <v>0</v>
      </c>
      <c r="CW38" s="2">
        <f t="shared" si="41"/>
        <v>0</v>
      </c>
      <c r="CX38" s="2">
        <f t="shared" si="42"/>
        <v>0</v>
      </c>
      <c r="CY38" s="2">
        <f t="shared" si="43"/>
        <v>0</v>
      </c>
      <c r="CZ38" s="2">
        <f t="shared" si="44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57</v>
      </c>
      <c r="DW38" s="2" t="s">
        <v>57</v>
      </c>
      <c r="DX38" s="2">
        <v>1000</v>
      </c>
      <c r="DY38" s="2"/>
      <c r="DZ38" s="2"/>
      <c r="EA38" s="2"/>
      <c r="EB38" s="2"/>
      <c r="EC38" s="2"/>
      <c r="ED38" s="2"/>
      <c r="EE38" s="2">
        <v>15139180</v>
      </c>
      <c r="EF38" s="2">
        <v>6</v>
      </c>
      <c r="EG38" s="2" t="s">
        <v>51</v>
      </c>
      <c r="EH38" s="2">
        <v>0</v>
      </c>
      <c r="EI38" s="2" t="s">
        <v>6</v>
      </c>
      <c r="EJ38" s="2">
        <v>1</v>
      </c>
      <c r="EK38" s="2">
        <v>58001</v>
      </c>
      <c r="EL38" s="2" t="s">
        <v>52</v>
      </c>
      <c r="EM38" s="2" t="s">
        <v>53</v>
      </c>
      <c r="EN38" s="2"/>
      <c r="EO38" s="2" t="s">
        <v>6</v>
      </c>
      <c r="EP38" s="2"/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5"/>
        <v>0</v>
      </c>
      <c r="FS38" s="2">
        <v>0</v>
      </c>
      <c r="FT38" s="2"/>
      <c r="FU38" s="2"/>
      <c r="FV38" s="2"/>
      <c r="FW38" s="2"/>
      <c r="FX38" s="2">
        <v>83</v>
      </c>
      <c r="FY38" s="2">
        <v>65</v>
      </c>
      <c r="FZ38" s="2"/>
      <c r="GA38" s="2" t="s">
        <v>6</v>
      </c>
      <c r="GB38" s="2"/>
      <c r="GC38" s="2"/>
      <c r="GD38" s="2">
        <v>0</v>
      </c>
      <c r="GE38" s="2"/>
      <c r="GF38" s="2">
        <v>-179832266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6"/>
        <v>0</v>
      </c>
      <c r="GM38" s="2">
        <f t="shared" si="47"/>
        <v>0</v>
      </c>
      <c r="GN38" s="2">
        <f t="shared" si="48"/>
        <v>0</v>
      </c>
      <c r="GO38" s="2">
        <f t="shared" si="49"/>
        <v>0</v>
      </c>
      <c r="GP38" s="2">
        <f t="shared" si="50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1"/>
        <v>0</v>
      </c>
      <c r="GW38" s="2">
        <v>1</v>
      </c>
      <c r="GX38" s="2">
        <f t="shared" si="52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59</v>
      </c>
      <c r="E39" t="s">
        <v>54</v>
      </c>
      <c r="F39" t="s">
        <v>55</v>
      </c>
      <c r="G39" t="s">
        <v>56</v>
      </c>
      <c r="H39" t="s">
        <v>57</v>
      </c>
      <c r="I39">
        <f>I37*J39</f>
        <v>4.1126000000000003E-2</v>
      </c>
      <c r="J39">
        <v>0.22399782135076252</v>
      </c>
      <c r="O39">
        <f t="shared" si="14"/>
        <v>0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16481134</v>
      </c>
      <c r="AB39">
        <f t="shared" si="25"/>
        <v>0</v>
      </c>
      <c r="AC39">
        <f t="shared" si="26"/>
        <v>0</v>
      </c>
      <c r="AD39">
        <f t="shared" si="27"/>
        <v>0</v>
      </c>
      <c r="AE39">
        <f t="shared" si="28"/>
        <v>0</v>
      </c>
      <c r="AF39">
        <f t="shared" si="29"/>
        <v>0</v>
      </c>
      <c r="AG39">
        <f t="shared" si="30"/>
        <v>0</v>
      </c>
      <c r="AH39">
        <f t="shared" si="31"/>
        <v>0</v>
      </c>
      <c r="AI39">
        <f t="shared" si="32"/>
        <v>0</v>
      </c>
      <c r="AJ39">
        <f t="shared" si="33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83</v>
      </c>
      <c r="AU39">
        <v>65</v>
      </c>
      <c r="AV39">
        <v>1</v>
      </c>
      <c r="AW39">
        <v>1</v>
      </c>
      <c r="AZ39">
        <v>5.99</v>
      </c>
      <c r="BA39">
        <v>1</v>
      </c>
      <c r="BB39">
        <v>1</v>
      </c>
      <c r="BC39">
        <v>5.99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58001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83</v>
      </c>
      <c r="CA39">
        <v>65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4"/>
        <v>0</v>
      </c>
      <c r="CQ39">
        <f t="shared" si="35"/>
        <v>0</v>
      </c>
      <c r="CR39">
        <f t="shared" si="36"/>
        <v>0</v>
      </c>
      <c r="CS39">
        <f t="shared" si="37"/>
        <v>0</v>
      </c>
      <c r="CT39">
        <f t="shared" si="38"/>
        <v>0</v>
      </c>
      <c r="CU39">
        <f t="shared" si="39"/>
        <v>0</v>
      </c>
      <c r="CV39">
        <f t="shared" si="40"/>
        <v>0</v>
      </c>
      <c r="CW39">
        <f t="shared" si="41"/>
        <v>0</v>
      </c>
      <c r="CX39">
        <f t="shared" si="42"/>
        <v>0</v>
      </c>
      <c r="CY39">
        <f t="shared" si="43"/>
        <v>0</v>
      </c>
      <c r="CZ39">
        <f t="shared" si="44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57</v>
      </c>
      <c r="DW39" t="s">
        <v>57</v>
      </c>
      <c r="DX39">
        <v>1000</v>
      </c>
      <c r="EE39">
        <v>15139180</v>
      </c>
      <c r="EF39">
        <v>6</v>
      </c>
      <c r="EG39" t="s">
        <v>51</v>
      </c>
      <c r="EH39">
        <v>0</v>
      </c>
      <c r="EI39" t="s">
        <v>6</v>
      </c>
      <c r="EJ39">
        <v>1</v>
      </c>
      <c r="EK39">
        <v>58001</v>
      </c>
      <c r="EL39" t="s">
        <v>52</v>
      </c>
      <c r="EM39" t="s">
        <v>53</v>
      </c>
      <c r="EO39" t="s">
        <v>6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5"/>
        <v>0</v>
      </c>
      <c r="FS39">
        <v>0</v>
      </c>
      <c r="FX39">
        <v>83</v>
      </c>
      <c r="FY39">
        <v>65</v>
      </c>
      <c r="GA39" t="s">
        <v>6</v>
      </c>
      <c r="GD39">
        <v>0</v>
      </c>
      <c r="GF39">
        <v>-179832266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6"/>
        <v>0</v>
      </c>
      <c r="GM39">
        <f t="shared" si="47"/>
        <v>0</v>
      </c>
      <c r="GN39">
        <f t="shared" si="48"/>
        <v>0</v>
      </c>
      <c r="GO39">
        <f t="shared" si="49"/>
        <v>0</v>
      </c>
      <c r="GP39">
        <f t="shared" si="50"/>
        <v>0</v>
      </c>
      <c r="GR39">
        <v>0</v>
      </c>
      <c r="GS39">
        <v>3</v>
      </c>
      <c r="GT39">
        <v>0</v>
      </c>
      <c r="GU39" t="s">
        <v>6</v>
      </c>
      <c r="GV39">
        <f t="shared" si="51"/>
        <v>0</v>
      </c>
      <c r="GW39">
        <v>1</v>
      </c>
      <c r="GX39">
        <f t="shared" si="52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53</v>
      </c>
      <c r="D40" s="2"/>
      <c r="E40" s="2" t="s">
        <v>58</v>
      </c>
      <c r="F40" s="2" t="s">
        <v>59</v>
      </c>
      <c r="G40" s="2" t="s">
        <v>60</v>
      </c>
      <c r="H40" s="2" t="s">
        <v>57</v>
      </c>
      <c r="I40" s="2">
        <f>I36*J40</f>
        <v>3.3782E-2</v>
      </c>
      <c r="J40" s="2">
        <v>0.18399782135076251</v>
      </c>
      <c r="K40" s="2"/>
      <c r="L40" s="2"/>
      <c r="M40" s="2"/>
      <c r="N40" s="2"/>
      <c r="O40" s="2">
        <f t="shared" si="14"/>
        <v>0</v>
      </c>
      <c r="P40" s="2">
        <f t="shared" si="15"/>
        <v>0</v>
      </c>
      <c r="Q40" s="2">
        <f t="shared" si="16"/>
        <v>0</v>
      </c>
      <c r="R40" s="2">
        <f t="shared" si="17"/>
        <v>0</v>
      </c>
      <c r="S40" s="2">
        <f t="shared" si="18"/>
        <v>0</v>
      </c>
      <c r="T40" s="2">
        <f t="shared" si="19"/>
        <v>0</v>
      </c>
      <c r="U40" s="2">
        <f t="shared" si="20"/>
        <v>0</v>
      </c>
      <c r="V40" s="2">
        <f t="shared" si="21"/>
        <v>0</v>
      </c>
      <c r="W40" s="2">
        <f t="shared" si="22"/>
        <v>0</v>
      </c>
      <c r="X40" s="2">
        <f t="shared" si="23"/>
        <v>0</v>
      </c>
      <c r="Y40" s="2">
        <f t="shared" si="24"/>
        <v>0</v>
      </c>
      <c r="Z40" s="2"/>
      <c r="AA40" s="2">
        <v>16481133</v>
      </c>
      <c r="AB40" s="2">
        <f t="shared" si="25"/>
        <v>0</v>
      </c>
      <c r="AC40" s="2">
        <f t="shared" si="26"/>
        <v>0</v>
      </c>
      <c r="AD40" s="2">
        <f t="shared" si="27"/>
        <v>0</v>
      </c>
      <c r="AE40" s="2">
        <f t="shared" si="28"/>
        <v>0</v>
      </c>
      <c r="AF40" s="2">
        <f t="shared" si="29"/>
        <v>0</v>
      </c>
      <c r="AG40" s="2">
        <f t="shared" si="30"/>
        <v>0</v>
      </c>
      <c r="AH40" s="2">
        <f t="shared" si="31"/>
        <v>0</v>
      </c>
      <c r="AI40" s="2">
        <f t="shared" si="32"/>
        <v>0</v>
      </c>
      <c r="AJ40" s="2">
        <f t="shared" si="33"/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83</v>
      </c>
      <c r="AU40" s="2">
        <v>65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6</v>
      </c>
      <c r="BK40" s="2"/>
      <c r="BL40" s="2"/>
      <c r="BM40" s="2">
        <v>58001</v>
      </c>
      <c r="BN40" s="2">
        <v>0</v>
      </c>
      <c r="BO40" s="2" t="s">
        <v>6</v>
      </c>
      <c r="BP40" s="2">
        <v>0</v>
      </c>
      <c r="BQ40" s="2">
        <v>6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83</v>
      </c>
      <c r="CA40" s="2">
        <v>65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4"/>
        <v>0</v>
      </c>
      <c r="CQ40" s="2">
        <f t="shared" si="35"/>
        <v>0</v>
      </c>
      <c r="CR40" s="2">
        <f t="shared" si="36"/>
        <v>0</v>
      </c>
      <c r="CS40" s="2">
        <f t="shared" si="37"/>
        <v>0</v>
      </c>
      <c r="CT40" s="2">
        <f t="shared" si="38"/>
        <v>0</v>
      </c>
      <c r="CU40" s="2">
        <f t="shared" si="39"/>
        <v>0</v>
      </c>
      <c r="CV40" s="2">
        <f t="shared" si="40"/>
        <v>0</v>
      </c>
      <c r="CW40" s="2">
        <f t="shared" si="41"/>
        <v>0</v>
      </c>
      <c r="CX40" s="2">
        <f t="shared" si="42"/>
        <v>0</v>
      </c>
      <c r="CY40" s="2">
        <f t="shared" si="43"/>
        <v>0</v>
      </c>
      <c r="CZ40" s="2">
        <f t="shared" si="44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1009</v>
      </c>
      <c r="DV40" s="2" t="s">
        <v>57</v>
      </c>
      <c r="DW40" s="2" t="s">
        <v>57</v>
      </c>
      <c r="DX40" s="2">
        <v>1000</v>
      </c>
      <c r="DY40" s="2"/>
      <c r="DZ40" s="2"/>
      <c r="EA40" s="2"/>
      <c r="EB40" s="2"/>
      <c r="EC40" s="2"/>
      <c r="ED40" s="2"/>
      <c r="EE40" s="2">
        <v>15139180</v>
      </c>
      <c r="EF40" s="2">
        <v>6</v>
      </c>
      <c r="EG40" s="2" t="s">
        <v>51</v>
      </c>
      <c r="EH40" s="2">
        <v>0</v>
      </c>
      <c r="EI40" s="2" t="s">
        <v>6</v>
      </c>
      <c r="EJ40" s="2">
        <v>1</v>
      </c>
      <c r="EK40" s="2">
        <v>58001</v>
      </c>
      <c r="EL40" s="2" t="s">
        <v>52</v>
      </c>
      <c r="EM40" s="2" t="s">
        <v>53</v>
      </c>
      <c r="EN40" s="2"/>
      <c r="EO40" s="2" t="s">
        <v>6</v>
      </c>
      <c r="EP40" s="2"/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5"/>
        <v>0</v>
      </c>
      <c r="FS40" s="2">
        <v>0</v>
      </c>
      <c r="FT40" s="2"/>
      <c r="FU40" s="2"/>
      <c r="FV40" s="2"/>
      <c r="FW40" s="2"/>
      <c r="FX40" s="2">
        <v>83</v>
      </c>
      <c r="FY40" s="2">
        <v>65</v>
      </c>
      <c r="FZ40" s="2"/>
      <c r="GA40" s="2" t="s">
        <v>6</v>
      </c>
      <c r="GB40" s="2"/>
      <c r="GC40" s="2"/>
      <c r="GD40" s="2">
        <v>0</v>
      </c>
      <c r="GE40" s="2"/>
      <c r="GF40" s="2">
        <v>789990620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6"/>
        <v>0</v>
      </c>
      <c r="GM40" s="2">
        <f t="shared" si="47"/>
        <v>0</v>
      </c>
      <c r="GN40" s="2">
        <f t="shared" si="48"/>
        <v>0</v>
      </c>
      <c r="GO40" s="2">
        <f t="shared" si="49"/>
        <v>0</v>
      </c>
      <c r="GP40" s="2">
        <f t="shared" si="50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51"/>
        <v>0</v>
      </c>
      <c r="GW40" s="2">
        <v>1</v>
      </c>
      <c r="GX40" s="2">
        <f t="shared" si="52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63</v>
      </c>
      <c r="E41" t="s">
        <v>58</v>
      </c>
      <c r="F41" t="s">
        <v>59</v>
      </c>
      <c r="G41" t="s">
        <v>60</v>
      </c>
      <c r="H41" t="s">
        <v>57</v>
      </c>
      <c r="I41">
        <f>I37*J41</f>
        <v>3.3782E-2</v>
      </c>
      <c r="J41">
        <v>0.18399782135076251</v>
      </c>
      <c r="O41">
        <f t="shared" si="14"/>
        <v>0</v>
      </c>
      <c r="P41">
        <f t="shared" si="15"/>
        <v>0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16481134</v>
      </c>
      <c r="AB41">
        <f t="shared" si="25"/>
        <v>0</v>
      </c>
      <c r="AC41">
        <f t="shared" si="26"/>
        <v>0</v>
      </c>
      <c r="AD41">
        <f t="shared" si="27"/>
        <v>0</v>
      </c>
      <c r="AE41">
        <f t="shared" si="28"/>
        <v>0</v>
      </c>
      <c r="AF41">
        <f t="shared" si="29"/>
        <v>0</v>
      </c>
      <c r="AG41">
        <f t="shared" si="30"/>
        <v>0</v>
      </c>
      <c r="AH41">
        <f t="shared" si="31"/>
        <v>0</v>
      </c>
      <c r="AI41">
        <f t="shared" si="32"/>
        <v>0</v>
      </c>
      <c r="AJ41">
        <f t="shared" si="33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83</v>
      </c>
      <c r="AU41">
        <v>65</v>
      </c>
      <c r="AV41">
        <v>1</v>
      </c>
      <c r="AW41">
        <v>1</v>
      </c>
      <c r="AZ41">
        <v>5.99</v>
      </c>
      <c r="BA41">
        <v>1</v>
      </c>
      <c r="BB41">
        <v>1</v>
      </c>
      <c r="BC41">
        <v>5.99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</v>
      </c>
      <c r="BM41">
        <v>58001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83</v>
      </c>
      <c r="CA41">
        <v>65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4"/>
        <v>0</v>
      </c>
      <c r="CQ41">
        <f t="shared" si="35"/>
        <v>0</v>
      </c>
      <c r="CR41">
        <f t="shared" si="36"/>
        <v>0</v>
      </c>
      <c r="CS41">
        <f t="shared" si="37"/>
        <v>0</v>
      </c>
      <c r="CT41">
        <f t="shared" si="38"/>
        <v>0</v>
      </c>
      <c r="CU41">
        <f t="shared" si="39"/>
        <v>0</v>
      </c>
      <c r="CV41">
        <f t="shared" si="40"/>
        <v>0</v>
      </c>
      <c r="CW41">
        <f t="shared" si="41"/>
        <v>0</v>
      </c>
      <c r="CX41">
        <f t="shared" si="42"/>
        <v>0</v>
      </c>
      <c r="CY41">
        <f t="shared" si="43"/>
        <v>0</v>
      </c>
      <c r="CZ41">
        <f t="shared" si="44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57</v>
      </c>
      <c r="DW41" t="s">
        <v>57</v>
      </c>
      <c r="DX41">
        <v>1000</v>
      </c>
      <c r="EE41">
        <v>15139180</v>
      </c>
      <c r="EF41">
        <v>6</v>
      </c>
      <c r="EG41" t="s">
        <v>51</v>
      </c>
      <c r="EH41">
        <v>0</v>
      </c>
      <c r="EI41" t="s">
        <v>6</v>
      </c>
      <c r="EJ41">
        <v>1</v>
      </c>
      <c r="EK41">
        <v>58001</v>
      </c>
      <c r="EL41" t="s">
        <v>52</v>
      </c>
      <c r="EM41" t="s">
        <v>53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5"/>
        <v>0</v>
      </c>
      <c r="FS41">
        <v>0</v>
      </c>
      <c r="FX41">
        <v>83</v>
      </c>
      <c r="FY41">
        <v>65</v>
      </c>
      <c r="GA41" t="s">
        <v>6</v>
      </c>
      <c r="GD41">
        <v>0</v>
      </c>
      <c r="GF41">
        <v>789990620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6"/>
        <v>0</v>
      </c>
      <c r="GM41">
        <f t="shared" si="47"/>
        <v>0</v>
      </c>
      <c r="GN41">
        <f t="shared" si="48"/>
        <v>0</v>
      </c>
      <c r="GO41">
        <f t="shared" si="49"/>
        <v>0</v>
      </c>
      <c r="GP41">
        <f t="shared" si="50"/>
        <v>0</v>
      </c>
      <c r="GR41">
        <v>0</v>
      </c>
      <c r="GS41">
        <v>3</v>
      </c>
      <c r="GT41">
        <v>0</v>
      </c>
      <c r="GU41" t="s">
        <v>6</v>
      </c>
      <c r="GV41">
        <f t="shared" si="51"/>
        <v>0</v>
      </c>
      <c r="GW41">
        <v>1</v>
      </c>
      <c r="GX41">
        <f t="shared" si="52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54</v>
      </c>
      <c r="D42" s="2"/>
      <c r="E42" s="2" t="s">
        <v>61</v>
      </c>
      <c r="F42" s="2" t="s">
        <v>62</v>
      </c>
      <c r="G42" s="2" t="s">
        <v>63</v>
      </c>
      <c r="H42" s="2" t="s">
        <v>57</v>
      </c>
      <c r="I42" s="2">
        <f>I36*J42</f>
        <v>3.3782E-2</v>
      </c>
      <c r="J42" s="2">
        <v>0.18399782135076251</v>
      </c>
      <c r="K42" s="2"/>
      <c r="L42" s="2"/>
      <c r="M42" s="2"/>
      <c r="N42" s="2"/>
      <c r="O42" s="2">
        <f t="shared" si="14"/>
        <v>294.41000000000003</v>
      </c>
      <c r="P42" s="2">
        <f t="shared" si="15"/>
        <v>294.41000000000003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16481133</v>
      </c>
      <c r="AB42" s="2">
        <f t="shared" si="25"/>
        <v>8715.1</v>
      </c>
      <c r="AC42" s="2">
        <f t="shared" si="26"/>
        <v>8715.1</v>
      </c>
      <c r="AD42" s="2">
        <f t="shared" si="27"/>
        <v>0</v>
      </c>
      <c r="AE42" s="2">
        <f t="shared" si="28"/>
        <v>0</v>
      </c>
      <c r="AF42" s="2">
        <f t="shared" si="29"/>
        <v>0</v>
      </c>
      <c r="AG42" s="2">
        <f t="shared" si="30"/>
        <v>0</v>
      </c>
      <c r="AH42" s="2">
        <f t="shared" si="31"/>
        <v>0</v>
      </c>
      <c r="AI42" s="2">
        <f t="shared" si="32"/>
        <v>0</v>
      </c>
      <c r="AJ42" s="2">
        <f t="shared" si="33"/>
        <v>0</v>
      </c>
      <c r="AK42" s="2">
        <v>8715.1</v>
      </c>
      <c r="AL42" s="2">
        <v>8715.1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83</v>
      </c>
      <c r="AU42" s="2">
        <v>65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64</v>
      </c>
      <c r="BK42" s="2"/>
      <c r="BL42" s="2"/>
      <c r="BM42" s="2">
        <v>58001</v>
      </c>
      <c r="BN42" s="2">
        <v>0</v>
      </c>
      <c r="BO42" s="2" t="s">
        <v>6</v>
      </c>
      <c r="BP42" s="2">
        <v>0</v>
      </c>
      <c r="BQ42" s="2">
        <v>6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83</v>
      </c>
      <c r="CA42" s="2">
        <v>65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34"/>
        <v>294.41000000000003</v>
      </c>
      <c r="CQ42" s="2">
        <f t="shared" si="35"/>
        <v>8715.1</v>
      </c>
      <c r="CR42" s="2">
        <f t="shared" si="36"/>
        <v>0</v>
      </c>
      <c r="CS42" s="2">
        <f t="shared" si="37"/>
        <v>0</v>
      </c>
      <c r="CT42" s="2">
        <f t="shared" si="38"/>
        <v>0</v>
      </c>
      <c r="CU42" s="2">
        <f t="shared" si="39"/>
        <v>0</v>
      </c>
      <c r="CV42" s="2">
        <f t="shared" si="40"/>
        <v>0</v>
      </c>
      <c r="CW42" s="2">
        <f t="shared" si="41"/>
        <v>0</v>
      </c>
      <c r="CX42" s="2">
        <f t="shared" si="42"/>
        <v>0</v>
      </c>
      <c r="CY42" s="2">
        <f t="shared" si="43"/>
        <v>0</v>
      </c>
      <c r="CZ42" s="2">
        <f t="shared" si="44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1009</v>
      </c>
      <c r="DV42" s="2" t="s">
        <v>57</v>
      </c>
      <c r="DW42" s="2" t="s">
        <v>57</v>
      </c>
      <c r="DX42" s="2">
        <v>1000</v>
      </c>
      <c r="DY42" s="2"/>
      <c r="DZ42" s="2"/>
      <c r="EA42" s="2"/>
      <c r="EB42" s="2"/>
      <c r="EC42" s="2"/>
      <c r="ED42" s="2"/>
      <c r="EE42" s="2">
        <v>15139180</v>
      </c>
      <c r="EF42" s="2">
        <v>6</v>
      </c>
      <c r="EG42" s="2" t="s">
        <v>51</v>
      </c>
      <c r="EH42" s="2">
        <v>0</v>
      </c>
      <c r="EI42" s="2" t="s">
        <v>6</v>
      </c>
      <c r="EJ42" s="2">
        <v>1</v>
      </c>
      <c r="EK42" s="2">
        <v>58001</v>
      </c>
      <c r="EL42" s="2" t="s">
        <v>52</v>
      </c>
      <c r="EM42" s="2" t="s">
        <v>53</v>
      </c>
      <c r="EN42" s="2"/>
      <c r="EO42" s="2" t="s">
        <v>6</v>
      </c>
      <c r="EP42" s="2"/>
      <c r="EQ42" s="2">
        <v>0</v>
      </c>
      <c r="ER42" s="2">
        <v>8715.1</v>
      </c>
      <c r="ES42" s="2">
        <v>8715.1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5"/>
        <v>0</v>
      </c>
      <c r="FS42" s="2">
        <v>0</v>
      </c>
      <c r="FT42" s="2"/>
      <c r="FU42" s="2"/>
      <c r="FV42" s="2"/>
      <c r="FW42" s="2"/>
      <c r="FX42" s="2">
        <v>83</v>
      </c>
      <c r="FY42" s="2">
        <v>65</v>
      </c>
      <c r="FZ42" s="2"/>
      <c r="GA42" s="2" t="s">
        <v>6</v>
      </c>
      <c r="GB42" s="2"/>
      <c r="GC42" s="2"/>
      <c r="GD42" s="2">
        <v>0</v>
      </c>
      <c r="GE42" s="2"/>
      <c r="GF42" s="2">
        <v>-1666380182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6"/>
        <v>0</v>
      </c>
      <c r="GM42" s="2">
        <f t="shared" si="47"/>
        <v>294.41000000000003</v>
      </c>
      <c r="GN42" s="2">
        <f t="shared" si="48"/>
        <v>294.41000000000003</v>
      </c>
      <c r="GO42" s="2">
        <f t="shared" si="49"/>
        <v>0</v>
      </c>
      <c r="GP42" s="2">
        <f t="shared" si="50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1"/>
        <v>0</v>
      </c>
      <c r="GW42" s="2">
        <v>1</v>
      </c>
      <c r="GX42" s="2">
        <f t="shared" si="52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64</v>
      </c>
      <c r="E43" t="s">
        <v>61</v>
      </c>
      <c r="F43" t="s">
        <v>62</v>
      </c>
      <c r="G43" t="s">
        <v>63</v>
      </c>
      <c r="H43" t="s">
        <v>57</v>
      </c>
      <c r="I43">
        <f>I37*J43</f>
        <v>3.3782E-2</v>
      </c>
      <c r="J43">
        <v>0.18399782135076251</v>
      </c>
      <c r="O43">
        <f t="shared" si="14"/>
        <v>1763.54</v>
      </c>
      <c r="P43">
        <f t="shared" si="15"/>
        <v>1763.54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16481134</v>
      </c>
      <c r="AB43">
        <f t="shared" si="25"/>
        <v>8715.1</v>
      </c>
      <c r="AC43">
        <f t="shared" si="26"/>
        <v>8715.1</v>
      </c>
      <c r="AD43">
        <f t="shared" si="27"/>
        <v>0</v>
      </c>
      <c r="AE43">
        <f t="shared" si="28"/>
        <v>0</v>
      </c>
      <c r="AF43">
        <f t="shared" si="29"/>
        <v>0</v>
      </c>
      <c r="AG43">
        <f t="shared" si="30"/>
        <v>0</v>
      </c>
      <c r="AH43">
        <f t="shared" si="31"/>
        <v>0</v>
      </c>
      <c r="AI43">
        <f t="shared" si="32"/>
        <v>0</v>
      </c>
      <c r="AJ43">
        <f t="shared" si="33"/>
        <v>0</v>
      </c>
      <c r="AK43">
        <v>8715.1</v>
      </c>
      <c r="AL43">
        <v>8715.1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83</v>
      </c>
      <c r="AU43">
        <v>65</v>
      </c>
      <c r="AV43">
        <v>1</v>
      </c>
      <c r="AW43">
        <v>1</v>
      </c>
      <c r="AZ43">
        <v>5.99</v>
      </c>
      <c r="BA43">
        <v>1</v>
      </c>
      <c r="BB43">
        <v>1</v>
      </c>
      <c r="BC43">
        <v>5.99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64</v>
      </c>
      <c r="BM43">
        <v>58001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83</v>
      </c>
      <c r="CA43">
        <v>65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4"/>
        <v>1763.54</v>
      </c>
      <c r="CQ43">
        <f t="shared" si="35"/>
        <v>52203.449000000001</v>
      </c>
      <c r="CR43">
        <f t="shared" si="36"/>
        <v>0</v>
      </c>
      <c r="CS43">
        <f t="shared" si="37"/>
        <v>0</v>
      </c>
      <c r="CT43">
        <f t="shared" si="38"/>
        <v>0</v>
      </c>
      <c r="CU43">
        <f t="shared" si="39"/>
        <v>0</v>
      </c>
      <c r="CV43">
        <f t="shared" si="40"/>
        <v>0</v>
      </c>
      <c r="CW43">
        <f t="shared" si="41"/>
        <v>0</v>
      </c>
      <c r="CX43">
        <f t="shared" si="42"/>
        <v>0</v>
      </c>
      <c r="CY43">
        <f t="shared" si="43"/>
        <v>0</v>
      </c>
      <c r="CZ43">
        <f t="shared" si="44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57</v>
      </c>
      <c r="DW43" t="s">
        <v>57</v>
      </c>
      <c r="DX43">
        <v>1000</v>
      </c>
      <c r="EE43">
        <v>15139180</v>
      </c>
      <c r="EF43">
        <v>6</v>
      </c>
      <c r="EG43" t="s">
        <v>51</v>
      </c>
      <c r="EH43">
        <v>0</v>
      </c>
      <c r="EI43" t="s">
        <v>6</v>
      </c>
      <c r="EJ43">
        <v>1</v>
      </c>
      <c r="EK43">
        <v>58001</v>
      </c>
      <c r="EL43" t="s">
        <v>52</v>
      </c>
      <c r="EM43" t="s">
        <v>53</v>
      </c>
      <c r="EO43" t="s">
        <v>6</v>
      </c>
      <c r="EQ43">
        <v>0</v>
      </c>
      <c r="ER43">
        <v>8715.1</v>
      </c>
      <c r="ES43">
        <v>8715.1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5"/>
        <v>0</v>
      </c>
      <c r="FS43">
        <v>0</v>
      </c>
      <c r="FX43">
        <v>83</v>
      </c>
      <c r="FY43">
        <v>65</v>
      </c>
      <c r="GA43" t="s">
        <v>6</v>
      </c>
      <c r="GD43">
        <v>0</v>
      </c>
      <c r="GF43">
        <v>-1666380182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6"/>
        <v>0</v>
      </c>
      <c r="GM43">
        <f t="shared" si="47"/>
        <v>1763.54</v>
      </c>
      <c r="GN43">
        <f t="shared" si="48"/>
        <v>1763.54</v>
      </c>
      <c r="GO43">
        <f t="shared" si="49"/>
        <v>0</v>
      </c>
      <c r="GP43">
        <f t="shared" si="50"/>
        <v>0</v>
      </c>
      <c r="GR43">
        <v>0</v>
      </c>
      <c r="GS43">
        <v>3</v>
      </c>
      <c r="GT43">
        <v>0</v>
      </c>
      <c r="GU43" t="s">
        <v>6</v>
      </c>
      <c r="GV43">
        <f t="shared" si="51"/>
        <v>0</v>
      </c>
      <c r="GW43">
        <v>1</v>
      </c>
      <c r="GX43">
        <f t="shared" si="52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51</v>
      </c>
      <c r="D44" s="2"/>
      <c r="E44" s="2" t="s">
        <v>65</v>
      </c>
      <c r="F44" s="2" t="s">
        <v>66</v>
      </c>
      <c r="G44" s="2" t="s">
        <v>67</v>
      </c>
      <c r="H44" s="2" t="s">
        <v>68</v>
      </c>
      <c r="I44" s="2">
        <f>I36*J44</f>
        <v>18.36</v>
      </c>
      <c r="J44" s="2">
        <v>99.999999999999986</v>
      </c>
      <c r="K44" s="2"/>
      <c r="L44" s="2"/>
      <c r="M44" s="2"/>
      <c r="N44" s="2"/>
      <c r="O44" s="2">
        <f t="shared" si="14"/>
        <v>484.89</v>
      </c>
      <c r="P44" s="2">
        <f t="shared" si="15"/>
        <v>484.89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16481133</v>
      </c>
      <c r="AB44" s="2">
        <f t="shared" si="25"/>
        <v>26.41</v>
      </c>
      <c r="AC44" s="2">
        <f t="shared" si="26"/>
        <v>26.41</v>
      </c>
      <c r="AD44" s="2">
        <f t="shared" si="27"/>
        <v>0</v>
      </c>
      <c r="AE44" s="2">
        <f t="shared" si="28"/>
        <v>0</v>
      </c>
      <c r="AF44" s="2">
        <f t="shared" si="29"/>
        <v>0</v>
      </c>
      <c r="AG44" s="2">
        <f t="shared" si="30"/>
        <v>0</v>
      </c>
      <c r="AH44" s="2">
        <f t="shared" si="31"/>
        <v>0</v>
      </c>
      <c r="AI44" s="2">
        <f t="shared" si="32"/>
        <v>0</v>
      </c>
      <c r="AJ44" s="2">
        <f t="shared" si="33"/>
        <v>0</v>
      </c>
      <c r="AK44" s="2">
        <v>26.41</v>
      </c>
      <c r="AL44" s="2">
        <v>26.41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83</v>
      </c>
      <c r="AU44" s="2">
        <v>65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69</v>
      </c>
      <c r="BK44" s="2"/>
      <c r="BL44" s="2"/>
      <c r="BM44" s="2">
        <v>58001</v>
      </c>
      <c r="BN44" s="2">
        <v>0</v>
      </c>
      <c r="BO44" s="2" t="s">
        <v>6</v>
      </c>
      <c r="BP44" s="2">
        <v>0</v>
      </c>
      <c r="BQ44" s="2">
        <v>6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83</v>
      </c>
      <c r="CA44" s="2">
        <v>65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4"/>
        <v>484.89</v>
      </c>
      <c r="CQ44" s="2">
        <f t="shared" si="35"/>
        <v>26.41</v>
      </c>
      <c r="CR44" s="2">
        <f t="shared" si="36"/>
        <v>0</v>
      </c>
      <c r="CS44" s="2">
        <f t="shared" si="37"/>
        <v>0</v>
      </c>
      <c r="CT44" s="2">
        <f t="shared" si="38"/>
        <v>0</v>
      </c>
      <c r="CU44" s="2">
        <f t="shared" si="39"/>
        <v>0</v>
      </c>
      <c r="CV44" s="2">
        <f t="shared" si="40"/>
        <v>0</v>
      </c>
      <c r="CW44" s="2">
        <f t="shared" si="41"/>
        <v>0</v>
      </c>
      <c r="CX44" s="2">
        <f t="shared" si="42"/>
        <v>0</v>
      </c>
      <c r="CY44" s="2">
        <f t="shared" si="43"/>
        <v>0</v>
      </c>
      <c r="CZ44" s="2">
        <f t="shared" si="44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1013</v>
      </c>
      <c r="DV44" s="2" t="s">
        <v>68</v>
      </c>
      <c r="DW44" s="2" t="s">
        <v>68</v>
      </c>
      <c r="DX44" s="2">
        <v>1</v>
      </c>
      <c r="DY44" s="2"/>
      <c r="DZ44" s="2"/>
      <c r="EA44" s="2"/>
      <c r="EB44" s="2"/>
      <c r="EC44" s="2"/>
      <c r="ED44" s="2"/>
      <c r="EE44" s="2">
        <v>15139180</v>
      </c>
      <c r="EF44" s="2">
        <v>6</v>
      </c>
      <c r="EG44" s="2" t="s">
        <v>51</v>
      </c>
      <c r="EH44" s="2">
        <v>0</v>
      </c>
      <c r="EI44" s="2" t="s">
        <v>6</v>
      </c>
      <c r="EJ44" s="2">
        <v>1</v>
      </c>
      <c r="EK44" s="2">
        <v>58001</v>
      </c>
      <c r="EL44" s="2" t="s">
        <v>52</v>
      </c>
      <c r="EM44" s="2" t="s">
        <v>53</v>
      </c>
      <c r="EN44" s="2"/>
      <c r="EO44" s="2" t="s">
        <v>6</v>
      </c>
      <c r="EP44" s="2"/>
      <c r="EQ44" s="2">
        <v>0</v>
      </c>
      <c r="ER44" s="2">
        <v>26.41</v>
      </c>
      <c r="ES44" s="2">
        <v>26.41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5"/>
        <v>0</v>
      </c>
      <c r="FS44" s="2">
        <v>0</v>
      </c>
      <c r="FT44" s="2"/>
      <c r="FU44" s="2"/>
      <c r="FV44" s="2"/>
      <c r="FW44" s="2"/>
      <c r="FX44" s="2">
        <v>83</v>
      </c>
      <c r="FY44" s="2">
        <v>65</v>
      </c>
      <c r="FZ44" s="2"/>
      <c r="GA44" s="2" t="s">
        <v>6</v>
      </c>
      <c r="GB44" s="2"/>
      <c r="GC44" s="2"/>
      <c r="GD44" s="2">
        <v>0</v>
      </c>
      <c r="GE44" s="2"/>
      <c r="GF44" s="2">
        <v>977476121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6"/>
        <v>0</v>
      </c>
      <c r="GM44" s="2">
        <f t="shared" si="47"/>
        <v>484.89</v>
      </c>
      <c r="GN44" s="2">
        <f t="shared" si="48"/>
        <v>484.89</v>
      </c>
      <c r="GO44" s="2">
        <f t="shared" si="49"/>
        <v>0</v>
      </c>
      <c r="GP44" s="2">
        <f t="shared" si="50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1"/>
        <v>0</v>
      </c>
      <c r="GW44" s="2">
        <v>1</v>
      </c>
      <c r="GX44" s="2">
        <f t="shared" si="52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61</v>
      </c>
      <c r="E45" t="s">
        <v>65</v>
      </c>
      <c r="F45" t="s">
        <v>66</v>
      </c>
      <c r="G45" t="s">
        <v>67</v>
      </c>
      <c r="H45" t="s">
        <v>68</v>
      </c>
      <c r="I45">
        <f>I37*J45</f>
        <v>18.36</v>
      </c>
      <c r="J45">
        <v>99.999999999999986</v>
      </c>
      <c r="O45">
        <f t="shared" si="14"/>
        <v>2904.48</v>
      </c>
      <c r="P45">
        <f t="shared" si="15"/>
        <v>2904.48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16481134</v>
      </c>
      <c r="AB45">
        <f t="shared" si="25"/>
        <v>26.41</v>
      </c>
      <c r="AC45">
        <f t="shared" si="26"/>
        <v>26.41</v>
      </c>
      <c r="AD45">
        <f t="shared" si="27"/>
        <v>0</v>
      </c>
      <c r="AE45">
        <f t="shared" si="28"/>
        <v>0</v>
      </c>
      <c r="AF45">
        <f t="shared" si="29"/>
        <v>0</v>
      </c>
      <c r="AG45">
        <f t="shared" si="30"/>
        <v>0</v>
      </c>
      <c r="AH45">
        <f t="shared" si="31"/>
        <v>0</v>
      </c>
      <c r="AI45">
        <f t="shared" si="32"/>
        <v>0</v>
      </c>
      <c r="AJ45">
        <f t="shared" si="33"/>
        <v>0</v>
      </c>
      <c r="AK45">
        <v>26.41</v>
      </c>
      <c r="AL45">
        <v>26.41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83</v>
      </c>
      <c r="AU45">
        <v>65</v>
      </c>
      <c r="AV45">
        <v>1</v>
      </c>
      <c r="AW45">
        <v>1</v>
      </c>
      <c r="AZ45">
        <v>5.99</v>
      </c>
      <c r="BA45">
        <v>1</v>
      </c>
      <c r="BB45">
        <v>1</v>
      </c>
      <c r="BC45">
        <v>5.99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69</v>
      </c>
      <c r="BM45">
        <v>58001</v>
      </c>
      <c r="BN45">
        <v>0</v>
      </c>
      <c r="BO45" t="s">
        <v>6</v>
      </c>
      <c r="BP45">
        <v>0</v>
      </c>
      <c r="BQ45">
        <v>6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83</v>
      </c>
      <c r="CA45">
        <v>65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4"/>
        <v>2904.48</v>
      </c>
      <c r="CQ45">
        <f t="shared" si="35"/>
        <v>158.19589999999999</v>
      </c>
      <c r="CR45">
        <f t="shared" si="36"/>
        <v>0</v>
      </c>
      <c r="CS45">
        <f t="shared" si="37"/>
        <v>0</v>
      </c>
      <c r="CT45">
        <f t="shared" si="38"/>
        <v>0</v>
      </c>
      <c r="CU45">
        <f t="shared" si="39"/>
        <v>0</v>
      </c>
      <c r="CV45">
        <f t="shared" si="40"/>
        <v>0</v>
      </c>
      <c r="CW45">
        <f t="shared" si="41"/>
        <v>0</v>
      </c>
      <c r="CX45">
        <f t="shared" si="42"/>
        <v>0</v>
      </c>
      <c r="CY45">
        <f t="shared" si="43"/>
        <v>0</v>
      </c>
      <c r="CZ45">
        <f t="shared" si="44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1013</v>
      </c>
      <c r="DV45" t="s">
        <v>68</v>
      </c>
      <c r="DW45" t="s">
        <v>68</v>
      </c>
      <c r="DX45">
        <v>1</v>
      </c>
      <c r="EE45">
        <v>15139180</v>
      </c>
      <c r="EF45">
        <v>6</v>
      </c>
      <c r="EG45" t="s">
        <v>51</v>
      </c>
      <c r="EH45">
        <v>0</v>
      </c>
      <c r="EI45" t="s">
        <v>6</v>
      </c>
      <c r="EJ45">
        <v>1</v>
      </c>
      <c r="EK45">
        <v>58001</v>
      </c>
      <c r="EL45" t="s">
        <v>52</v>
      </c>
      <c r="EM45" t="s">
        <v>53</v>
      </c>
      <c r="EO45" t="s">
        <v>6</v>
      </c>
      <c r="EQ45">
        <v>0</v>
      </c>
      <c r="ER45">
        <v>26.41</v>
      </c>
      <c r="ES45">
        <v>26.41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5"/>
        <v>0</v>
      </c>
      <c r="FS45">
        <v>0</v>
      </c>
      <c r="FX45">
        <v>83</v>
      </c>
      <c r="FY45">
        <v>65</v>
      </c>
      <c r="GA45" t="s">
        <v>6</v>
      </c>
      <c r="GD45">
        <v>0</v>
      </c>
      <c r="GF45">
        <v>977476121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6"/>
        <v>0</v>
      </c>
      <c r="GM45">
        <f t="shared" si="47"/>
        <v>2904.48</v>
      </c>
      <c r="GN45">
        <f t="shared" si="48"/>
        <v>2904.48</v>
      </c>
      <c r="GO45">
        <f t="shared" si="49"/>
        <v>0</v>
      </c>
      <c r="GP45">
        <f t="shared" si="50"/>
        <v>0</v>
      </c>
      <c r="GR45">
        <v>0</v>
      </c>
      <c r="GS45">
        <v>3</v>
      </c>
      <c r="GT45">
        <v>0</v>
      </c>
      <c r="GU45" t="s">
        <v>6</v>
      </c>
      <c r="GV45">
        <f t="shared" si="51"/>
        <v>0</v>
      </c>
      <c r="GW45">
        <v>1</v>
      </c>
      <c r="GX45">
        <f t="shared" si="52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ROW(SmtRes!A75)</f>
        <v>75</v>
      </c>
      <c r="D46" s="2">
        <f>ROW(EtalonRes!A66)</f>
        <v>66</v>
      </c>
      <c r="E46" s="2" t="s">
        <v>70</v>
      </c>
      <c r="F46" s="2" t="s">
        <v>71</v>
      </c>
      <c r="G46" s="2" t="s">
        <v>72</v>
      </c>
      <c r="H46" s="2" t="s">
        <v>16</v>
      </c>
      <c r="I46" s="2">
        <f>ROUND(13.46/100,9)</f>
        <v>0.1346</v>
      </c>
      <c r="J46" s="2">
        <v>0</v>
      </c>
      <c r="K46" s="2"/>
      <c r="L46" s="2"/>
      <c r="M46" s="2"/>
      <c r="N46" s="2"/>
      <c r="O46" s="2">
        <f t="shared" si="14"/>
        <v>210.5</v>
      </c>
      <c r="P46" s="2">
        <f t="shared" si="15"/>
        <v>0.05</v>
      </c>
      <c r="Q46" s="2">
        <f t="shared" si="16"/>
        <v>4.76</v>
      </c>
      <c r="R46" s="2">
        <f t="shared" si="17"/>
        <v>0.93</v>
      </c>
      <c r="S46" s="2">
        <f t="shared" si="18"/>
        <v>205.69</v>
      </c>
      <c r="T46" s="2">
        <f t="shared" si="19"/>
        <v>0</v>
      </c>
      <c r="U46" s="2">
        <f t="shared" si="20"/>
        <v>22.406862</v>
      </c>
      <c r="V46" s="2">
        <f t="shared" si="21"/>
        <v>7.8067999999999999E-2</v>
      </c>
      <c r="W46" s="2">
        <f t="shared" si="22"/>
        <v>0</v>
      </c>
      <c r="X46" s="2">
        <f t="shared" si="23"/>
        <v>196.29</v>
      </c>
      <c r="Y46" s="2">
        <f t="shared" si="24"/>
        <v>97.11</v>
      </c>
      <c r="Z46" s="2"/>
      <c r="AA46" s="2">
        <v>16481133</v>
      </c>
      <c r="AB46" s="2">
        <f t="shared" si="25"/>
        <v>1563.91</v>
      </c>
      <c r="AC46" s="2">
        <f t="shared" si="26"/>
        <v>0.36</v>
      </c>
      <c r="AD46" s="2">
        <f t="shared" si="27"/>
        <v>35.36</v>
      </c>
      <c r="AE46" s="2">
        <f t="shared" si="28"/>
        <v>6.88</v>
      </c>
      <c r="AF46" s="2">
        <f t="shared" si="29"/>
        <v>1528.19</v>
      </c>
      <c r="AG46" s="2">
        <f t="shared" si="30"/>
        <v>0</v>
      </c>
      <c r="AH46" s="2">
        <f t="shared" si="31"/>
        <v>166.47</v>
      </c>
      <c r="AI46" s="2">
        <f t="shared" si="32"/>
        <v>0.57999999999999996</v>
      </c>
      <c r="AJ46" s="2">
        <f t="shared" si="33"/>
        <v>0</v>
      </c>
      <c r="AK46" s="2">
        <v>1563.91</v>
      </c>
      <c r="AL46" s="2">
        <v>0.36</v>
      </c>
      <c r="AM46" s="2">
        <v>35.36</v>
      </c>
      <c r="AN46" s="2">
        <v>6.88</v>
      </c>
      <c r="AO46" s="2">
        <v>1528.19</v>
      </c>
      <c r="AP46" s="2">
        <v>0</v>
      </c>
      <c r="AQ46" s="2">
        <v>166.47</v>
      </c>
      <c r="AR46" s="2">
        <v>0.57999999999999996</v>
      </c>
      <c r="AS46" s="2">
        <v>0</v>
      </c>
      <c r="AT46" s="2">
        <v>95</v>
      </c>
      <c r="AU46" s="2">
        <v>47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73</v>
      </c>
      <c r="BK46" s="2"/>
      <c r="BL46" s="2"/>
      <c r="BM46" s="2">
        <v>15001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105</v>
      </c>
      <c r="CA46" s="2">
        <v>55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34"/>
        <v>210.5</v>
      </c>
      <c r="CQ46" s="2">
        <f t="shared" si="35"/>
        <v>0.36</v>
      </c>
      <c r="CR46" s="2">
        <f t="shared" si="36"/>
        <v>35.36</v>
      </c>
      <c r="CS46" s="2">
        <f t="shared" si="37"/>
        <v>6.88</v>
      </c>
      <c r="CT46" s="2">
        <f t="shared" si="38"/>
        <v>1528.19</v>
      </c>
      <c r="CU46" s="2">
        <f t="shared" si="39"/>
        <v>0</v>
      </c>
      <c r="CV46" s="2">
        <f t="shared" si="40"/>
        <v>166.47</v>
      </c>
      <c r="CW46" s="2">
        <f t="shared" si="41"/>
        <v>0.57999999999999996</v>
      </c>
      <c r="CX46" s="2">
        <f t="shared" si="42"/>
        <v>0</v>
      </c>
      <c r="CY46" s="2">
        <f t="shared" si="43"/>
        <v>196.28900000000002</v>
      </c>
      <c r="CZ46" s="2">
        <f t="shared" si="44"/>
        <v>97.111399999999989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16</v>
      </c>
      <c r="DW46" s="2" t="s">
        <v>16</v>
      </c>
      <c r="DX46" s="2">
        <v>100</v>
      </c>
      <c r="DY46" s="2"/>
      <c r="DZ46" s="2"/>
      <c r="EA46" s="2"/>
      <c r="EB46" s="2"/>
      <c r="EC46" s="2"/>
      <c r="ED46" s="2"/>
      <c r="EE46" s="2">
        <v>15139126</v>
      </c>
      <c r="EF46" s="2">
        <v>2</v>
      </c>
      <c r="EG46" s="2" t="s">
        <v>18</v>
      </c>
      <c r="EH46" s="2">
        <v>0</v>
      </c>
      <c r="EI46" s="2" t="s">
        <v>6</v>
      </c>
      <c r="EJ46" s="2">
        <v>1</v>
      </c>
      <c r="EK46" s="2">
        <v>15001</v>
      </c>
      <c r="EL46" s="2" t="s">
        <v>74</v>
      </c>
      <c r="EM46" s="2" t="s">
        <v>75</v>
      </c>
      <c r="EN46" s="2"/>
      <c r="EO46" s="2" t="s">
        <v>6</v>
      </c>
      <c r="EP46" s="2"/>
      <c r="EQ46" s="2">
        <v>0</v>
      </c>
      <c r="ER46" s="2">
        <v>1563.91</v>
      </c>
      <c r="ES46" s="2">
        <v>0.36</v>
      </c>
      <c r="ET46" s="2">
        <v>35.36</v>
      </c>
      <c r="EU46" s="2">
        <v>6.88</v>
      </c>
      <c r="EV46" s="2">
        <v>1528.19</v>
      </c>
      <c r="EW46" s="2">
        <v>166.47</v>
      </c>
      <c r="EX46" s="2">
        <v>0.57999999999999996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5"/>
        <v>0</v>
      </c>
      <c r="FS46" s="2">
        <v>0</v>
      </c>
      <c r="FT46" s="2" t="s">
        <v>21</v>
      </c>
      <c r="FU46" s="2" t="s">
        <v>22</v>
      </c>
      <c r="FV46" s="2"/>
      <c r="FW46" s="2"/>
      <c r="FX46" s="2">
        <v>94.5</v>
      </c>
      <c r="FY46" s="2">
        <v>46.75</v>
      </c>
      <c r="FZ46" s="2"/>
      <c r="GA46" s="2" t="s">
        <v>6</v>
      </c>
      <c r="GB46" s="2"/>
      <c r="GC46" s="2"/>
      <c r="GD46" s="2">
        <v>0</v>
      </c>
      <c r="GE46" s="2"/>
      <c r="GF46" s="2">
        <v>251333065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6"/>
        <v>0</v>
      </c>
      <c r="GM46" s="2">
        <f t="shared" si="47"/>
        <v>503.9</v>
      </c>
      <c r="GN46" s="2">
        <f t="shared" si="48"/>
        <v>503.9</v>
      </c>
      <c r="GO46" s="2">
        <f t="shared" si="49"/>
        <v>0</v>
      </c>
      <c r="GP46" s="2">
        <f t="shared" si="50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1"/>
        <v>0</v>
      </c>
      <c r="GW46" s="2">
        <v>1</v>
      </c>
      <c r="GX46" s="2">
        <f t="shared" si="52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ROW(SmtRes!A86)</f>
        <v>86</v>
      </c>
      <c r="D47">
        <f>ROW(EtalonRes!A74)</f>
        <v>74</v>
      </c>
      <c r="E47" t="s">
        <v>70</v>
      </c>
      <c r="F47" t="s">
        <v>71</v>
      </c>
      <c r="G47" t="s">
        <v>72</v>
      </c>
      <c r="H47" t="s">
        <v>16</v>
      </c>
      <c r="I47">
        <f>ROUND(13.46/100,9)</f>
        <v>0.1346</v>
      </c>
      <c r="J47">
        <v>0</v>
      </c>
      <c r="O47">
        <f t="shared" si="14"/>
        <v>1260.9100000000001</v>
      </c>
      <c r="P47">
        <f t="shared" si="15"/>
        <v>0.28999999999999998</v>
      </c>
      <c r="Q47">
        <f t="shared" si="16"/>
        <v>28.51</v>
      </c>
      <c r="R47">
        <f t="shared" si="17"/>
        <v>5.55</v>
      </c>
      <c r="S47">
        <f t="shared" si="18"/>
        <v>1232.1099999999999</v>
      </c>
      <c r="T47">
        <f t="shared" si="19"/>
        <v>0</v>
      </c>
      <c r="U47">
        <f t="shared" si="20"/>
        <v>22.406862</v>
      </c>
      <c r="V47">
        <f t="shared" si="21"/>
        <v>7.8067999999999999E-2</v>
      </c>
      <c r="W47">
        <f t="shared" si="22"/>
        <v>0</v>
      </c>
      <c r="X47">
        <f t="shared" si="23"/>
        <v>1175.78</v>
      </c>
      <c r="Y47">
        <f t="shared" si="24"/>
        <v>581.70000000000005</v>
      </c>
      <c r="AA47">
        <v>16481134</v>
      </c>
      <c r="AB47">
        <f t="shared" si="25"/>
        <v>1563.91</v>
      </c>
      <c r="AC47">
        <f t="shared" si="26"/>
        <v>0.36</v>
      </c>
      <c r="AD47">
        <f t="shared" si="27"/>
        <v>35.36</v>
      </c>
      <c r="AE47">
        <f t="shared" si="28"/>
        <v>6.88</v>
      </c>
      <c r="AF47">
        <f t="shared" si="29"/>
        <v>1528.19</v>
      </c>
      <c r="AG47">
        <f t="shared" si="30"/>
        <v>0</v>
      </c>
      <c r="AH47">
        <f t="shared" si="31"/>
        <v>166.47</v>
      </c>
      <c r="AI47">
        <f t="shared" si="32"/>
        <v>0.57999999999999996</v>
      </c>
      <c r="AJ47">
        <f t="shared" si="33"/>
        <v>0</v>
      </c>
      <c r="AK47">
        <v>1563.91</v>
      </c>
      <c r="AL47">
        <v>0.36</v>
      </c>
      <c r="AM47">
        <v>35.36</v>
      </c>
      <c r="AN47">
        <v>6.88</v>
      </c>
      <c r="AO47">
        <v>1528.19</v>
      </c>
      <c r="AP47">
        <v>0</v>
      </c>
      <c r="AQ47">
        <v>166.47</v>
      </c>
      <c r="AR47">
        <v>0.57999999999999996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5.99</v>
      </c>
      <c r="BA47">
        <v>5.99</v>
      </c>
      <c r="BB47">
        <v>5.99</v>
      </c>
      <c r="BC47">
        <v>5.99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73</v>
      </c>
      <c r="BM47">
        <v>15001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5.99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4"/>
        <v>1260.9099999999999</v>
      </c>
      <c r="CQ47">
        <f t="shared" si="35"/>
        <v>2.1564000000000001</v>
      </c>
      <c r="CR47">
        <f t="shared" si="36"/>
        <v>211.8064</v>
      </c>
      <c r="CS47">
        <f t="shared" si="37"/>
        <v>41.211199999999998</v>
      </c>
      <c r="CT47">
        <f t="shared" si="38"/>
        <v>9153.8581000000013</v>
      </c>
      <c r="CU47">
        <f t="shared" si="39"/>
        <v>0</v>
      </c>
      <c r="CV47">
        <f t="shared" si="40"/>
        <v>166.47</v>
      </c>
      <c r="CW47">
        <f t="shared" si="41"/>
        <v>0.57999999999999996</v>
      </c>
      <c r="CX47">
        <f t="shared" si="42"/>
        <v>0</v>
      </c>
      <c r="CY47">
        <f t="shared" si="43"/>
        <v>1175.7769999999998</v>
      </c>
      <c r="CZ47">
        <f t="shared" si="44"/>
        <v>581.70019999999988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16</v>
      </c>
      <c r="DW47" t="s">
        <v>16</v>
      </c>
      <c r="DX47">
        <v>100</v>
      </c>
      <c r="EE47">
        <v>15139126</v>
      </c>
      <c r="EF47">
        <v>2</v>
      </c>
      <c r="EG47" t="s">
        <v>18</v>
      </c>
      <c r="EH47">
        <v>0</v>
      </c>
      <c r="EI47" t="s">
        <v>6</v>
      </c>
      <c r="EJ47">
        <v>1</v>
      </c>
      <c r="EK47">
        <v>15001</v>
      </c>
      <c r="EL47" t="s">
        <v>74</v>
      </c>
      <c r="EM47" t="s">
        <v>75</v>
      </c>
      <c r="EO47" t="s">
        <v>6</v>
      </c>
      <c r="EQ47">
        <v>0</v>
      </c>
      <c r="ER47">
        <v>1563.91</v>
      </c>
      <c r="ES47">
        <v>0.36</v>
      </c>
      <c r="ET47">
        <v>35.36</v>
      </c>
      <c r="EU47">
        <v>6.88</v>
      </c>
      <c r="EV47">
        <v>1528.19</v>
      </c>
      <c r="EW47">
        <v>166.47</v>
      </c>
      <c r="EX47">
        <v>0.57999999999999996</v>
      </c>
      <c r="EY47">
        <v>0</v>
      </c>
      <c r="FQ47">
        <v>0</v>
      </c>
      <c r="FR47">
        <f t="shared" si="45"/>
        <v>0</v>
      </c>
      <c r="FS47">
        <v>0</v>
      </c>
      <c r="FT47" t="s">
        <v>21</v>
      </c>
      <c r="FU47" t="s">
        <v>22</v>
      </c>
      <c r="FX47">
        <v>94.5</v>
      </c>
      <c r="FY47">
        <v>46.75</v>
      </c>
      <c r="GA47" t="s">
        <v>6</v>
      </c>
      <c r="GD47">
        <v>0</v>
      </c>
      <c r="GF47">
        <v>251333065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6"/>
        <v>0</v>
      </c>
      <c r="GM47">
        <f t="shared" si="47"/>
        <v>3018.39</v>
      </c>
      <c r="GN47">
        <f t="shared" si="48"/>
        <v>3018.39</v>
      </c>
      <c r="GO47">
        <f t="shared" si="49"/>
        <v>0</v>
      </c>
      <c r="GP47">
        <f t="shared" si="50"/>
        <v>0</v>
      </c>
      <c r="GR47">
        <v>0</v>
      </c>
      <c r="GS47">
        <v>3</v>
      </c>
      <c r="GT47">
        <v>0</v>
      </c>
      <c r="GU47" t="s">
        <v>6</v>
      </c>
      <c r="GV47">
        <f t="shared" si="51"/>
        <v>0</v>
      </c>
      <c r="GW47">
        <v>1</v>
      </c>
      <c r="GX47">
        <f t="shared" si="52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69</v>
      </c>
      <c r="D48" s="2"/>
      <c r="E48" s="2" t="s">
        <v>76</v>
      </c>
      <c r="F48" s="2" t="s">
        <v>77</v>
      </c>
      <c r="G48" s="2" t="s">
        <v>78</v>
      </c>
      <c r="H48" s="2" t="s">
        <v>32</v>
      </c>
      <c r="I48" s="2">
        <f>I46*J48</f>
        <v>14.132999999999999</v>
      </c>
      <c r="J48" s="2">
        <v>105</v>
      </c>
      <c r="K48" s="2"/>
      <c r="L48" s="2"/>
      <c r="M48" s="2"/>
      <c r="N48" s="2"/>
      <c r="O48" s="2">
        <f t="shared" si="14"/>
        <v>0</v>
      </c>
      <c r="P48" s="2">
        <f t="shared" si="15"/>
        <v>0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16481133</v>
      </c>
      <c r="AB48" s="2">
        <f t="shared" si="25"/>
        <v>0</v>
      </c>
      <c r="AC48" s="2">
        <f t="shared" si="26"/>
        <v>0</v>
      </c>
      <c r="AD48" s="2">
        <f t="shared" si="27"/>
        <v>0</v>
      </c>
      <c r="AE48" s="2">
        <f t="shared" si="28"/>
        <v>0</v>
      </c>
      <c r="AF48" s="2">
        <f t="shared" si="29"/>
        <v>0</v>
      </c>
      <c r="AG48" s="2">
        <f t="shared" si="30"/>
        <v>0</v>
      </c>
      <c r="AH48" s="2">
        <f t="shared" si="31"/>
        <v>0</v>
      </c>
      <c r="AI48" s="2">
        <f t="shared" si="32"/>
        <v>0</v>
      </c>
      <c r="AJ48" s="2">
        <f t="shared" si="33"/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95</v>
      </c>
      <c r="AU48" s="2">
        <v>47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6</v>
      </c>
      <c r="BK48" s="2"/>
      <c r="BL48" s="2"/>
      <c r="BM48" s="2">
        <v>15001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105</v>
      </c>
      <c r="CA48" s="2">
        <v>55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4"/>
        <v>0</v>
      </c>
      <c r="CQ48" s="2">
        <f t="shared" si="35"/>
        <v>0</v>
      </c>
      <c r="CR48" s="2">
        <f t="shared" si="36"/>
        <v>0</v>
      </c>
      <c r="CS48" s="2">
        <f t="shared" si="37"/>
        <v>0</v>
      </c>
      <c r="CT48" s="2">
        <f t="shared" si="38"/>
        <v>0</v>
      </c>
      <c r="CU48" s="2">
        <f t="shared" si="39"/>
        <v>0</v>
      </c>
      <c r="CV48" s="2">
        <f t="shared" si="40"/>
        <v>0</v>
      </c>
      <c r="CW48" s="2">
        <f t="shared" si="41"/>
        <v>0</v>
      </c>
      <c r="CX48" s="2">
        <f t="shared" si="42"/>
        <v>0</v>
      </c>
      <c r="CY48" s="2">
        <f t="shared" si="43"/>
        <v>0</v>
      </c>
      <c r="CZ48" s="2">
        <f t="shared" si="44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1005</v>
      </c>
      <c r="DV48" s="2" t="s">
        <v>32</v>
      </c>
      <c r="DW48" s="2" t="s">
        <v>32</v>
      </c>
      <c r="DX48" s="2">
        <v>1</v>
      </c>
      <c r="DY48" s="2"/>
      <c r="DZ48" s="2"/>
      <c r="EA48" s="2"/>
      <c r="EB48" s="2"/>
      <c r="EC48" s="2"/>
      <c r="ED48" s="2"/>
      <c r="EE48" s="2">
        <v>15139126</v>
      </c>
      <c r="EF48" s="2">
        <v>2</v>
      </c>
      <c r="EG48" s="2" t="s">
        <v>18</v>
      </c>
      <c r="EH48" s="2">
        <v>0</v>
      </c>
      <c r="EI48" s="2" t="s">
        <v>6</v>
      </c>
      <c r="EJ48" s="2">
        <v>1</v>
      </c>
      <c r="EK48" s="2">
        <v>15001</v>
      </c>
      <c r="EL48" s="2" t="s">
        <v>74</v>
      </c>
      <c r="EM48" s="2" t="s">
        <v>75</v>
      </c>
      <c r="EN48" s="2"/>
      <c r="EO48" s="2" t="s">
        <v>6</v>
      </c>
      <c r="EP48" s="2"/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5"/>
        <v>0</v>
      </c>
      <c r="FS48" s="2">
        <v>0</v>
      </c>
      <c r="FT48" s="2" t="s">
        <v>21</v>
      </c>
      <c r="FU48" s="2" t="s">
        <v>22</v>
      </c>
      <c r="FV48" s="2"/>
      <c r="FW48" s="2"/>
      <c r="FX48" s="2">
        <v>94.5</v>
      </c>
      <c r="FY48" s="2">
        <v>46.75</v>
      </c>
      <c r="FZ48" s="2"/>
      <c r="GA48" s="2" t="s">
        <v>6</v>
      </c>
      <c r="GB48" s="2"/>
      <c r="GC48" s="2"/>
      <c r="GD48" s="2">
        <v>0</v>
      </c>
      <c r="GE48" s="2"/>
      <c r="GF48" s="2">
        <v>-112006704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6"/>
        <v>0</v>
      </c>
      <c r="GM48" s="2">
        <f t="shared" si="47"/>
        <v>0</v>
      </c>
      <c r="GN48" s="2">
        <f t="shared" si="48"/>
        <v>0</v>
      </c>
      <c r="GO48" s="2">
        <f t="shared" si="49"/>
        <v>0</v>
      </c>
      <c r="GP48" s="2">
        <f t="shared" si="50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1"/>
        <v>0</v>
      </c>
      <c r="GW48" s="2">
        <v>1</v>
      </c>
      <c r="GX48" s="2">
        <f t="shared" si="52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80</v>
      </c>
      <c r="E49" t="s">
        <v>76</v>
      </c>
      <c r="F49" t="s">
        <v>77</v>
      </c>
      <c r="G49" t="s">
        <v>78</v>
      </c>
      <c r="H49" t="s">
        <v>32</v>
      </c>
      <c r="I49">
        <f>I47*J49</f>
        <v>14.132999999999999</v>
      </c>
      <c r="J49">
        <v>105</v>
      </c>
      <c r="O49">
        <f t="shared" si="14"/>
        <v>0</v>
      </c>
      <c r="P49">
        <f t="shared" si="15"/>
        <v>0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16481134</v>
      </c>
      <c r="AB49">
        <f t="shared" si="25"/>
        <v>0</v>
      </c>
      <c r="AC49">
        <f t="shared" si="26"/>
        <v>0</v>
      </c>
      <c r="AD49">
        <f t="shared" si="27"/>
        <v>0</v>
      </c>
      <c r="AE49">
        <f t="shared" si="28"/>
        <v>0</v>
      </c>
      <c r="AF49">
        <f t="shared" si="29"/>
        <v>0</v>
      </c>
      <c r="AG49">
        <f t="shared" si="30"/>
        <v>0</v>
      </c>
      <c r="AH49">
        <f t="shared" si="31"/>
        <v>0</v>
      </c>
      <c r="AI49">
        <f t="shared" si="32"/>
        <v>0</v>
      </c>
      <c r="AJ49">
        <f t="shared" si="33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47</v>
      </c>
      <c r="AV49">
        <v>1</v>
      </c>
      <c r="AW49">
        <v>1</v>
      </c>
      <c r="AZ49">
        <v>5.99</v>
      </c>
      <c r="BA49">
        <v>1</v>
      </c>
      <c r="BB49">
        <v>1</v>
      </c>
      <c r="BC49">
        <v>5.99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6</v>
      </c>
      <c r="BM49">
        <v>15001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105</v>
      </c>
      <c r="CA49">
        <v>55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4"/>
        <v>0</v>
      </c>
      <c r="CQ49">
        <f t="shared" si="35"/>
        <v>0</v>
      </c>
      <c r="CR49">
        <f t="shared" si="36"/>
        <v>0</v>
      </c>
      <c r="CS49">
        <f t="shared" si="37"/>
        <v>0</v>
      </c>
      <c r="CT49">
        <f t="shared" si="38"/>
        <v>0</v>
      </c>
      <c r="CU49">
        <f t="shared" si="39"/>
        <v>0</v>
      </c>
      <c r="CV49">
        <f t="shared" si="40"/>
        <v>0</v>
      </c>
      <c r="CW49">
        <f t="shared" si="41"/>
        <v>0</v>
      </c>
      <c r="CX49">
        <f t="shared" si="42"/>
        <v>0</v>
      </c>
      <c r="CY49">
        <f t="shared" si="43"/>
        <v>0</v>
      </c>
      <c r="CZ49">
        <f t="shared" si="44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32</v>
      </c>
      <c r="DW49" t="s">
        <v>32</v>
      </c>
      <c r="DX49">
        <v>1</v>
      </c>
      <c r="EE49">
        <v>15139126</v>
      </c>
      <c r="EF49">
        <v>2</v>
      </c>
      <c r="EG49" t="s">
        <v>18</v>
      </c>
      <c r="EH49">
        <v>0</v>
      </c>
      <c r="EI49" t="s">
        <v>6</v>
      </c>
      <c r="EJ49">
        <v>1</v>
      </c>
      <c r="EK49">
        <v>15001</v>
      </c>
      <c r="EL49" t="s">
        <v>74</v>
      </c>
      <c r="EM49" t="s">
        <v>75</v>
      </c>
      <c r="EO49" t="s">
        <v>6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5"/>
        <v>0</v>
      </c>
      <c r="FS49">
        <v>0</v>
      </c>
      <c r="FT49" t="s">
        <v>21</v>
      </c>
      <c r="FU49" t="s">
        <v>22</v>
      </c>
      <c r="FX49">
        <v>94.5</v>
      </c>
      <c r="FY49">
        <v>46.75</v>
      </c>
      <c r="GA49" t="s">
        <v>6</v>
      </c>
      <c r="GD49">
        <v>0</v>
      </c>
      <c r="GF49">
        <v>-112006704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6"/>
        <v>0</v>
      </c>
      <c r="GM49">
        <f t="shared" si="47"/>
        <v>0</v>
      </c>
      <c r="GN49">
        <f t="shared" si="48"/>
        <v>0</v>
      </c>
      <c r="GO49">
        <f t="shared" si="49"/>
        <v>0</v>
      </c>
      <c r="GP49">
        <f t="shared" si="50"/>
        <v>0</v>
      </c>
      <c r="GR49">
        <v>0</v>
      </c>
      <c r="GS49">
        <v>3</v>
      </c>
      <c r="GT49">
        <v>0</v>
      </c>
      <c r="GU49" t="s">
        <v>6</v>
      </c>
      <c r="GV49">
        <f t="shared" si="51"/>
        <v>0</v>
      </c>
      <c r="GW49">
        <v>1</v>
      </c>
      <c r="GX49">
        <f t="shared" si="52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71</v>
      </c>
      <c r="D50" s="2"/>
      <c r="E50" s="2" t="s">
        <v>79</v>
      </c>
      <c r="F50" s="2" t="s">
        <v>80</v>
      </c>
      <c r="G50" s="2" t="s">
        <v>81</v>
      </c>
      <c r="H50" s="2" t="s">
        <v>32</v>
      </c>
      <c r="I50" s="2">
        <f>I46*J50</f>
        <v>14.132999999999999</v>
      </c>
      <c r="J50" s="2">
        <v>105</v>
      </c>
      <c r="K50" s="2"/>
      <c r="L50" s="2"/>
      <c r="M50" s="2"/>
      <c r="N50" s="2"/>
      <c r="O50" s="2">
        <f t="shared" si="14"/>
        <v>485.89</v>
      </c>
      <c r="P50" s="2">
        <f t="shared" si="15"/>
        <v>485.89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16481133</v>
      </c>
      <c r="AB50" s="2">
        <f t="shared" si="25"/>
        <v>34.380000000000003</v>
      </c>
      <c r="AC50" s="2">
        <f t="shared" si="26"/>
        <v>34.380000000000003</v>
      </c>
      <c r="AD50" s="2">
        <f t="shared" si="27"/>
        <v>0</v>
      </c>
      <c r="AE50" s="2">
        <f t="shared" si="28"/>
        <v>0</v>
      </c>
      <c r="AF50" s="2">
        <f t="shared" si="29"/>
        <v>0</v>
      </c>
      <c r="AG50" s="2">
        <f t="shared" si="30"/>
        <v>0</v>
      </c>
      <c r="AH50" s="2">
        <f t="shared" si="31"/>
        <v>0</v>
      </c>
      <c r="AI50" s="2">
        <f t="shared" si="32"/>
        <v>0</v>
      </c>
      <c r="AJ50" s="2">
        <f t="shared" si="33"/>
        <v>0</v>
      </c>
      <c r="AK50" s="2">
        <v>34.380000000000003</v>
      </c>
      <c r="AL50" s="2">
        <v>34.380000000000003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95</v>
      </c>
      <c r="AU50" s="2">
        <v>47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82</v>
      </c>
      <c r="BK50" s="2"/>
      <c r="BL50" s="2"/>
      <c r="BM50" s="2">
        <v>15001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105</v>
      </c>
      <c r="CA50" s="2">
        <v>55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4"/>
        <v>485.89</v>
      </c>
      <c r="CQ50" s="2">
        <f t="shared" si="35"/>
        <v>34.380000000000003</v>
      </c>
      <c r="CR50" s="2">
        <f t="shared" si="36"/>
        <v>0</v>
      </c>
      <c r="CS50" s="2">
        <f t="shared" si="37"/>
        <v>0</v>
      </c>
      <c r="CT50" s="2">
        <f t="shared" si="38"/>
        <v>0</v>
      </c>
      <c r="CU50" s="2">
        <f t="shared" si="39"/>
        <v>0</v>
      </c>
      <c r="CV50" s="2">
        <f t="shared" si="40"/>
        <v>0</v>
      </c>
      <c r="CW50" s="2">
        <f t="shared" si="41"/>
        <v>0</v>
      </c>
      <c r="CX50" s="2">
        <f t="shared" si="42"/>
        <v>0</v>
      </c>
      <c r="CY50" s="2">
        <f t="shared" si="43"/>
        <v>0</v>
      </c>
      <c r="CZ50" s="2">
        <f t="shared" si="44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32</v>
      </c>
      <c r="DW50" s="2" t="s">
        <v>32</v>
      </c>
      <c r="DX50" s="2">
        <v>1</v>
      </c>
      <c r="DY50" s="2"/>
      <c r="DZ50" s="2"/>
      <c r="EA50" s="2"/>
      <c r="EB50" s="2"/>
      <c r="EC50" s="2"/>
      <c r="ED50" s="2"/>
      <c r="EE50" s="2">
        <v>15139126</v>
      </c>
      <c r="EF50" s="2">
        <v>2</v>
      </c>
      <c r="EG50" s="2" t="s">
        <v>18</v>
      </c>
      <c r="EH50" s="2">
        <v>0</v>
      </c>
      <c r="EI50" s="2" t="s">
        <v>6</v>
      </c>
      <c r="EJ50" s="2">
        <v>1</v>
      </c>
      <c r="EK50" s="2">
        <v>15001</v>
      </c>
      <c r="EL50" s="2" t="s">
        <v>74</v>
      </c>
      <c r="EM50" s="2" t="s">
        <v>75</v>
      </c>
      <c r="EN50" s="2"/>
      <c r="EO50" s="2" t="s">
        <v>6</v>
      </c>
      <c r="EP50" s="2"/>
      <c r="EQ50" s="2">
        <v>0</v>
      </c>
      <c r="ER50" s="2">
        <v>34.380000000000003</v>
      </c>
      <c r="ES50" s="2">
        <v>34.380000000000003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5"/>
        <v>0</v>
      </c>
      <c r="FS50" s="2">
        <v>0</v>
      </c>
      <c r="FT50" s="2" t="s">
        <v>21</v>
      </c>
      <c r="FU50" s="2" t="s">
        <v>22</v>
      </c>
      <c r="FV50" s="2"/>
      <c r="FW50" s="2"/>
      <c r="FX50" s="2">
        <v>94.5</v>
      </c>
      <c r="FY50" s="2">
        <v>46.75</v>
      </c>
      <c r="FZ50" s="2"/>
      <c r="GA50" s="2" t="s">
        <v>6</v>
      </c>
      <c r="GB50" s="2"/>
      <c r="GC50" s="2"/>
      <c r="GD50" s="2">
        <v>0</v>
      </c>
      <c r="GE50" s="2"/>
      <c r="GF50" s="2">
        <v>-956992290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6"/>
        <v>0</v>
      </c>
      <c r="GM50" s="2">
        <f t="shared" si="47"/>
        <v>485.89</v>
      </c>
      <c r="GN50" s="2">
        <f t="shared" si="48"/>
        <v>485.89</v>
      </c>
      <c r="GO50" s="2">
        <f t="shared" si="49"/>
        <v>0</v>
      </c>
      <c r="GP50" s="2">
        <f t="shared" si="50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1"/>
        <v>0</v>
      </c>
      <c r="GW50" s="2">
        <v>1</v>
      </c>
      <c r="GX50" s="2">
        <f t="shared" si="52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82</v>
      </c>
      <c r="E51" t="s">
        <v>79</v>
      </c>
      <c r="F51" t="s">
        <v>80</v>
      </c>
      <c r="G51" t="s">
        <v>81</v>
      </c>
      <c r="H51" t="s">
        <v>32</v>
      </c>
      <c r="I51">
        <f>I47*J51</f>
        <v>14.132999999999999</v>
      </c>
      <c r="J51">
        <v>105</v>
      </c>
      <c r="O51">
        <f t="shared" si="14"/>
        <v>2910.5</v>
      </c>
      <c r="P51">
        <f t="shared" si="15"/>
        <v>2910.5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16481134</v>
      </c>
      <c r="AB51">
        <f t="shared" si="25"/>
        <v>34.380000000000003</v>
      </c>
      <c r="AC51">
        <f t="shared" si="26"/>
        <v>34.380000000000003</v>
      </c>
      <c r="AD51">
        <f t="shared" si="27"/>
        <v>0</v>
      </c>
      <c r="AE51">
        <f t="shared" si="28"/>
        <v>0</v>
      </c>
      <c r="AF51">
        <f t="shared" si="29"/>
        <v>0</v>
      </c>
      <c r="AG51">
        <f t="shared" si="30"/>
        <v>0</v>
      </c>
      <c r="AH51">
        <f t="shared" si="31"/>
        <v>0</v>
      </c>
      <c r="AI51">
        <f t="shared" si="32"/>
        <v>0</v>
      </c>
      <c r="AJ51">
        <f t="shared" si="33"/>
        <v>0</v>
      </c>
      <c r="AK51">
        <v>34.380000000000003</v>
      </c>
      <c r="AL51">
        <v>34.380000000000003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95</v>
      </c>
      <c r="AU51">
        <v>47</v>
      </c>
      <c r="AV51">
        <v>1</v>
      </c>
      <c r="AW51">
        <v>1</v>
      </c>
      <c r="AZ51">
        <v>5.99</v>
      </c>
      <c r="BA51">
        <v>1</v>
      </c>
      <c r="BB51">
        <v>1</v>
      </c>
      <c r="BC51">
        <v>5.99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82</v>
      </c>
      <c r="BM51">
        <v>15001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105</v>
      </c>
      <c r="CA51">
        <v>55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4"/>
        <v>2910.5</v>
      </c>
      <c r="CQ51">
        <f t="shared" si="35"/>
        <v>205.93620000000001</v>
      </c>
      <c r="CR51">
        <f t="shared" si="36"/>
        <v>0</v>
      </c>
      <c r="CS51">
        <f t="shared" si="37"/>
        <v>0</v>
      </c>
      <c r="CT51">
        <f t="shared" si="38"/>
        <v>0</v>
      </c>
      <c r="CU51">
        <f t="shared" si="39"/>
        <v>0</v>
      </c>
      <c r="CV51">
        <f t="shared" si="40"/>
        <v>0</v>
      </c>
      <c r="CW51">
        <f t="shared" si="41"/>
        <v>0</v>
      </c>
      <c r="CX51">
        <f t="shared" si="42"/>
        <v>0</v>
      </c>
      <c r="CY51">
        <f t="shared" si="43"/>
        <v>0</v>
      </c>
      <c r="CZ51">
        <f t="shared" si="44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32</v>
      </c>
      <c r="DW51" t="s">
        <v>32</v>
      </c>
      <c r="DX51">
        <v>1</v>
      </c>
      <c r="EE51">
        <v>15139126</v>
      </c>
      <c r="EF51">
        <v>2</v>
      </c>
      <c r="EG51" t="s">
        <v>18</v>
      </c>
      <c r="EH51">
        <v>0</v>
      </c>
      <c r="EI51" t="s">
        <v>6</v>
      </c>
      <c r="EJ51">
        <v>1</v>
      </c>
      <c r="EK51">
        <v>15001</v>
      </c>
      <c r="EL51" t="s">
        <v>74</v>
      </c>
      <c r="EM51" t="s">
        <v>75</v>
      </c>
      <c r="EO51" t="s">
        <v>6</v>
      </c>
      <c r="EQ51">
        <v>0</v>
      </c>
      <c r="ER51">
        <v>34.380000000000003</v>
      </c>
      <c r="ES51">
        <v>34.380000000000003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5"/>
        <v>0</v>
      </c>
      <c r="FS51">
        <v>0</v>
      </c>
      <c r="FT51" t="s">
        <v>21</v>
      </c>
      <c r="FU51" t="s">
        <v>22</v>
      </c>
      <c r="FX51">
        <v>94.5</v>
      </c>
      <c r="FY51">
        <v>46.75</v>
      </c>
      <c r="GA51" t="s">
        <v>6</v>
      </c>
      <c r="GD51">
        <v>0</v>
      </c>
      <c r="GF51">
        <v>-956992290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6"/>
        <v>0</v>
      </c>
      <c r="GM51">
        <f t="shared" si="47"/>
        <v>2910.5</v>
      </c>
      <c r="GN51">
        <f t="shared" si="48"/>
        <v>2910.5</v>
      </c>
      <c r="GO51">
        <f t="shared" si="49"/>
        <v>0</v>
      </c>
      <c r="GP51">
        <f t="shared" si="50"/>
        <v>0</v>
      </c>
      <c r="GR51">
        <v>0</v>
      </c>
      <c r="GS51">
        <v>3</v>
      </c>
      <c r="GT51">
        <v>0</v>
      </c>
      <c r="GU51" t="s">
        <v>6</v>
      </c>
      <c r="GV51">
        <f t="shared" si="51"/>
        <v>0</v>
      </c>
      <c r="GW51">
        <v>1</v>
      </c>
      <c r="GX51">
        <f t="shared" si="52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73</v>
      </c>
      <c r="D52" s="2"/>
      <c r="E52" s="2" t="s">
        <v>83</v>
      </c>
      <c r="F52" s="2" t="s">
        <v>84</v>
      </c>
      <c r="G52" s="2" t="s">
        <v>85</v>
      </c>
      <c r="H52" s="2" t="s">
        <v>86</v>
      </c>
      <c r="I52" s="2">
        <f>I46*J52</f>
        <v>4.0380000000000003</v>
      </c>
      <c r="J52" s="2">
        <v>30.000000000000004</v>
      </c>
      <c r="K52" s="2"/>
      <c r="L52" s="2"/>
      <c r="M52" s="2"/>
      <c r="N52" s="2"/>
      <c r="O52" s="2">
        <f t="shared" si="14"/>
        <v>0</v>
      </c>
      <c r="P52" s="2">
        <f t="shared" si="15"/>
        <v>0</v>
      </c>
      <c r="Q52" s="2">
        <f t="shared" si="16"/>
        <v>0</v>
      </c>
      <c r="R52" s="2">
        <f t="shared" si="17"/>
        <v>0</v>
      </c>
      <c r="S52" s="2">
        <f t="shared" si="18"/>
        <v>0</v>
      </c>
      <c r="T52" s="2">
        <f t="shared" si="19"/>
        <v>0</v>
      </c>
      <c r="U52" s="2">
        <f t="shared" si="20"/>
        <v>0</v>
      </c>
      <c r="V52" s="2">
        <f t="shared" si="21"/>
        <v>0</v>
      </c>
      <c r="W52" s="2">
        <f t="shared" si="22"/>
        <v>0</v>
      </c>
      <c r="X52" s="2">
        <f t="shared" si="23"/>
        <v>0</v>
      </c>
      <c r="Y52" s="2">
        <f t="shared" si="24"/>
        <v>0</v>
      </c>
      <c r="Z52" s="2"/>
      <c r="AA52" s="2">
        <v>16481133</v>
      </c>
      <c r="AB52" s="2">
        <f t="shared" si="25"/>
        <v>0</v>
      </c>
      <c r="AC52" s="2">
        <f t="shared" si="26"/>
        <v>0</v>
      </c>
      <c r="AD52" s="2">
        <f t="shared" si="27"/>
        <v>0</v>
      </c>
      <c r="AE52" s="2">
        <f t="shared" si="28"/>
        <v>0</v>
      </c>
      <c r="AF52" s="2">
        <f t="shared" si="29"/>
        <v>0</v>
      </c>
      <c r="AG52" s="2">
        <f t="shared" si="30"/>
        <v>0</v>
      </c>
      <c r="AH52" s="2">
        <f t="shared" si="31"/>
        <v>0</v>
      </c>
      <c r="AI52" s="2">
        <f t="shared" si="32"/>
        <v>0</v>
      </c>
      <c r="AJ52" s="2">
        <f t="shared" si="33"/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95</v>
      </c>
      <c r="AU52" s="2">
        <v>47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6</v>
      </c>
      <c r="BK52" s="2"/>
      <c r="BL52" s="2"/>
      <c r="BM52" s="2">
        <v>15001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105</v>
      </c>
      <c r="CA52" s="2">
        <v>55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34"/>
        <v>0</v>
      </c>
      <c r="CQ52" s="2">
        <f t="shared" si="35"/>
        <v>0</v>
      </c>
      <c r="CR52" s="2">
        <f t="shared" si="36"/>
        <v>0</v>
      </c>
      <c r="CS52" s="2">
        <f t="shared" si="37"/>
        <v>0</v>
      </c>
      <c r="CT52" s="2">
        <f t="shared" si="38"/>
        <v>0</v>
      </c>
      <c r="CU52" s="2">
        <f t="shared" si="39"/>
        <v>0</v>
      </c>
      <c r="CV52" s="2">
        <f t="shared" si="40"/>
        <v>0</v>
      </c>
      <c r="CW52" s="2">
        <f t="shared" si="41"/>
        <v>0</v>
      </c>
      <c r="CX52" s="2">
        <f t="shared" si="42"/>
        <v>0</v>
      </c>
      <c r="CY52" s="2">
        <f t="shared" si="43"/>
        <v>0</v>
      </c>
      <c r="CZ52" s="2">
        <f t="shared" si="44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86</v>
      </c>
      <c r="DW52" s="2" t="s">
        <v>86</v>
      </c>
      <c r="DX52" s="2">
        <v>1</v>
      </c>
      <c r="DY52" s="2"/>
      <c r="DZ52" s="2"/>
      <c r="EA52" s="2"/>
      <c r="EB52" s="2"/>
      <c r="EC52" s="2"/>
      <c r="ED52" s="2"/>
      <c r="EE52" s="2">
        <v>15139126</v>
      </c>
      <c r="EF52" s="2">
        <v>2</v>
      </c>
      <c r="EG52" s="2" t="s">
        <v>18</v>
      </c>
      <c r="EH52" s="2">
        <v>0</v>
      </c>
      <c r="EI52" s="2" t="s">
        <v>6</v>
      </c>
      <c r="EJ52" s="2">
        <v>1</v>
      </c>
      <c r="EK52" s="2">
        <v>15001</v>
      </c>
      <c r="EL52" s="2" t="s">
        <v>74</v>
      </c>
      <c r="EM52" s="2" t="s">
        <v>75</v>
      </c>
      <c r="EN52" s="2"/>
      <c r="EO52" s="2" t="s">
        <v>6</v>
      </c>
      <c r="EP52" s="2"/>
      <c r="EQ52" s="2">
        <v>0</v>
      </c>
      <c r="ER52" s="2">
        <v>0</v>
      </c>
      <c r="ES52" s="2">
        <v>0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5"/>
        <v>0</v>
      </c>
      <c r="FS52" s="2">
        <v>0</v>
      </c>
      <c r="FT52" s="2" t="s">
        <v>21</v>
      </c>
      <c r="FU52" s="2" t="s">
        <v>22</v>
      </c>
      <c r="FV52" s="2"/>
      <c r="FW52" s="2"/>
      <c r="FX52" s="2">
        <v>94.5</v>
      </c>
      <c r="FY52" s="2">
        <v>46.75</v>
      </c>
      <c r="FZ52" s="2"/>
      <c r="GA52" s="2" t="s">
        <v>6</v>
      </c>
      <c r="GB52" s="2"/>
      <c r="GC52" s="2"/>
      <c r="GD52" s="2">
        <v>0</v>
      </c>
      <c r="GE52" s="2"/>
      <c r="GF52" s="2">
        <v>-1516100259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6"/>
        <v>0</v>
      </c>
      <c r="GM52" s="2">
        <f t="shared" si="47"/>
        <v>0</v>
      </c>
      <c r="GN52" s="2">
        <f t="shared" si="48"/>
        <v>0</v>
      </c>
      <c r="GO52" s="2">
        <f t="shared" si="49"/>
        <v>0</v>
      </c>
      <c r="GP52" s="2">
        <f t="shared" si="50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51"/>
        <v>0</v>
      </c>
      <c r="GW52" s="2">
        <v>1</v>
      </c>
      <c r="GX52" s="2">
        <f t="shared" si="52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84</v>
      </c>
      <c r="E53" t="s">
        <v>83</v>
      </c>
      <c r="F53" t="s">
        <v>84</v>
      </c>
      <c r="G53" t="s">
        <v>85</v>
      </c>
      <c r="H53" t="s">
        <v>86</v>
      </c>
      <c r="I53">
        <f>I47*J53</f>
        <v>4.0380000000000003</v>
      </c>
      <c r="J53">
        <v>30.000000000000004</v>
      </c>
      <c r="O53">
        <f t="shared" si="14"/>
        <v>0</v>
      </c>
      <c r="P53">
        <f t="shared" si="15"/>
        <v>0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16481134</v>
      </c>
      <c r="AB53">
        <f t="shared" si="25"/>
        <v>0</v>
      </c>
      <c r="AC53">
        <f t="shared" si="26"/>
        <v>0</v>
      </c>
      <c r="AD53">
        <f t="shared" si="27"/>
        <v>0</v>
      </c>
      <c r="AE53">
        <f t="shared" si="28"/>
        <v>0</v>
      </c>
      <c r="AF53">
        <f t="shared" si="29"/>
        <v>0</v>
      </c>
      <c r="AG53">
        <f t="shared" si="30"/>
        <v>0</v>
      </c>
      <c r="AH53">
        <f t="shared" si="31"/>
        <v>0</v>
      </c>
      <c r="AI53">
        <f t="shared" si="32"/>
        <v>0</v>
      </c>
      <c r="AJ53">
        <f t="shared" si="33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47</v>
      </c>
      <c r="AV53">
        <v>1</v>
      </c>
      <c r="AW53">
        <v>1</v>
      </c>
      <c r="AZ53">
        <v>5.99</v>
      </c>
      <c r="BA53">
        <v>1</v>
      </c>
      <c r="BB53">
        <v>1</v>
      </c>
      <c r="BC53">
        <v>5.99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6</v>
      </c>
      <c r="BM53">
        <v>15001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105</v>
      </c>
      <c r="CA53">
        <v>55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4"/>
        <v>0</v>
      </c>
      <c r="CQ53">
        <f t="shared" si="35"/>
        <v>0</v>
      </c>
      <c r="CR53">
        <f t="shared" si="36"/>
        <v>0</v>
      </c>
      <c r="CS53">
        <f t="shared" si="37"/>
        <v>0</v>
      </c>
      <c r="CT53">
        <f t="shared" si="38"/>
        <v>0</v>
      </c>
      <c r="CU53">
        <f t="shared" si="39"/>
        <v>0</v>
      </c>
      <c r="CV53">
        <f t="shared" si="40"/>
        <v>0</v>
      </c>
      <c r="CW53">
        <f t="shared" si="41"/>
        <v>0</v>
      </c>
      <c r="CX53">
        <f t="shared" si="42"/>
        <v>0</v>
      </c>
      <c r="CY53">
        <f t="shared" si="43"/>
        <v>0</v>
      </c>
      <c r="CZ53">
        <f t="shared" si="44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86</v>
      </c>
      <c r="DW53" t="s">
        <v>86</v>
      </c>
      <c r="DX53">
        <v>1</v>
      </c>
      <c r="EE53">
        <v>15139126</v>
      </c>
      <c r="EF53">
        <v>2</v>
      </c>
      <c r="EG53" t="s">
        <v>18</v>
      </c>
      <c r="EH53">
        <v>0</v>
      </c>
      <c r="EI53" t="s">
        <v>6</v>
      </c>
      <c r="EJ53">
        <v>1</v>
      </c>
      <c r="EK53">
        <v>15001</v>
      </c>
      <c r="EL53" t="s">
        <v>74</v>
      </c>
      <c r="EM53" t="s">
        <v>75</v>
      </c>
      <c r="EO53" t="s">
        <v>6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5"/>
        <v>0</v>
      </c>
      <c r="FS53">
        <v>0</v>
      </c>
      <c r="FT53" t="s">
        <v>21</v>
      </c>
      <c r="FU53" t="s">
        <v>22</v>
      </c>
      <c r="FX53">
        <v>94.5</v>
      </c>
      <c r="FY53">
        <v>46.75</v>
      </c>
      <c r="GA53" t="s">
        <v>6</v>
      </c>
      <c r="GD53">
        <v>0</v>
      </c>
      <c r="GF53">
        <v>-1516100259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6"/>
        <v>0</v>
      </c>
      <c r="GM53">
        <f t="shared" si="47"/>
        <v>0</v>
      </c>
      <c r="GN53">
        <f t="shared" si="48"/>
        <v>0</v>
      </c>
      <c r="GO53">
        <f t="shared" si="49"/>
        <v>0</v>
      </c>
      <c r="GP53">
        <f t="shared" si="50"/>
        <v>0</v>
      </c>
      <c r="GR53">
        <v>0</v>
      </c>
      <c r="GS53">
        <v>3</v>
      </c>
      <c r="GT53">
        <v>0</v>
      </c>
      <c r="GU53" t="s">
        <v>6</v>
      </c>
      <c r="GV53">
        <f t="shared" si="51"/>
        <v>0</v>
      </c>
      <c r="GW53">
        <v>1</v>
      </c>
      <c r="GX53">
        <f t="shared" si="52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72</v>
      </c>
      <c r="D54" s="2"/>
      <c r="E54" s="2" t="s">
        <v>87</v>
      </c>
      <c r="F54" s="2" t="s">
        <v>88</v>
      </c>
      <c r="G54" s="2" t="s">
        <v>89</v>
      </c>
      <c r="H54" s="2" t="s">
        <v>86</v>
      </c>
      <c r="I54" s="2">
        <f>I46*J54</f>
        <v>4.0380000000000003</v>
      </c>
      <c r="J54" s="2">
        <v>30.000000000000004</v>
      </c>
      <c r="K54" s="2"/>
      <c r="L54" s="2"/>
      <c r="M54" s="2"/>
      <c r="N54" s="2"/>
      <c r="O54" s="2">
        <f t="shared" si="14"/>
        <v>64.2</v>
      </c>
      <c r="P54" s="2">
        <f t="shared" si="15"/>
        <v>64.2</v>
      </c>
      <c r="Q54" s="2">
        <f t="shared" si="16"/>
        <v>0</v>
      </c>
      <c r="R54" s="2">
        <f t="shared" si="17"/>
        <v>0</v>
      </c>
      <c r="S54" s="2">
        <f t="shared" si="18"/>
        <v>0</v>
      </c>
      <c r="T54" s="2">
        <f t="shared" si="19"/>
        <v>0</v>
      </c>
      <c r="U54" s="2">
        <f t="shared" si="20"/>
        <v>0</v>
      </c>
      <c r="V54" s="2">
        <f t="shared" si="21"/>
        <v>0</v>
      </c>
      <c r="W54" s="2">
        <f t="shared" si="22"/>
        <v>0</v>
      </c>
      <c r="X54" s="2">
        <f t="shared" si="23"/>
        <v>0</v>
      </c>
      <c r="Y54" s="2">
        <f t="shared" si="24"/>
        <v>0</v>
      </c>
      <c r="Z54" s="2"/>
      <c r="AA54" s="2">
        <v>16481133</v>
      </c>
      <c r="AB54" s="2">
        <f t="shared" si="25"/>
        <v>15.9</v>
      </c>
      <c r="AC54" s="2">
        <f t="shared" si="26"/>
        <v>15.9</v>
      </c>
      <c r="AD54" s="2">
        <f t="shared" si="27"/>
        <v>0</v>
      </c>
      <c r="AE54" s="2">
        <f t="shared" si="28"/>
        <v>0</v>
      </c>
      <c r="AF54" s="2">
        <f t="shared" si="29"/>
        <v>0</v>
      </c>
      <c r="AG54" s="2">
        <f t="shared" si="30"/>
        <v>0</v>
      </c>
      <c r="AH54" s="2">
        <f t="shared" si="31"/>
        <v>0</v>
      </c>
      <c r="AI54" s="2">
        <f t="shared" si="32"/>
        <v>0</v>
      </c>
      <c r="AJ54" s="2">
        <f t="shared" si="33"/>
        <v>0</v>
      </c>
      <c r="AK54" s="2">
        <v>15.9</v>
      </c>
      <c r="AL54" s="2">
        <v>15.9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95</v>
      </c>
      <c r="AU54" s="2">
        <v>47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90</v>
      </c>
      <c r="BK54" s="2"/>
      <c r="BL54" s="2"/>
      <c r="BM54" s="2">
        <v>15001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105</v>
      </c>
      <c r="CA54" s="2">
        <v>55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34"/>
        <v>64.2</v>
      </c>
      <c r="CQ54" s="2">
        <f t="shared" si="35"/>
        <v>15.9</v>
      </c>
      <c r="CR54" s="2">
        <f t="shared" si="36"/>
        <v>0</v>
      </c>
      <c r="CS54" s="2">
        <f t="shared" si="37"/>
        <v>0</v>
      </c>
      <c r="CT54" s="2">
        <f t="shared" si="38"/>
        <v>0</v>
      </c>
      <c r="CU54" s="2">
        <f t="shared" si="39"/>
        <v>0</v>
      </c>
      <c r="CV54" s="2">
        <f t="shared" si="40"/>
        <v>0</v>
      </c>
      <c r="CW54" s="2">
        <f t="shared" si="41"/>
        <v>0</v>
      </c>
      <c r="CX54" s="2">
        <f t="shared" si="42"/>
        <v>0</v>
      </c>
      <c r="CY54" s="2">
        <f t="shared" si="43"/>
        <v>0</v>
      </c>
      <c r="CZ54" s="2">
        <f t="shared" si="44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1009</v>
      </c>
      <c r="DV54" s="2" t="s">
        <v>86</v>
      </c>
      <c r="DW54" s="2" t="s">
        <v>86</v>
      </c>
      <c r="DX54" s="2">
        <v>1</v>
      </c>
      <c r="DY54" s="2"/>
      <c r="DZ54" s="2"/>
      <c r="EA54" s="2"/>
      <c r="EB54" s="2"/>
      <c r="EC54" s="2"/>
      <c r="ED54" s="2"/>
      <c r="EE54" s="2">
        <v>15139126</v>
      </c>
      <c r="EF54" s="2">
        <v>2</v>
      </c>
      <c r="EG54" s="2" t="s">
        <v>18</v>
      </c>
      <c r="EH54" s="2">
        <v>0</v>
      </c>
      <c r="EI54" s="2" t="s">
        <v>6</v>
      </c>
      <c r="EJ54" s="2">
        <v>1</v>
      </c>
      <c r="EK54" s="2">
        <v>15001</v>
      </c>
      <c r="EL54" s="2" t="s">
        <v>74</v>
      </c>
      <c r="EM54" s="2" t="s">
        <v>75</v>
      </c>
      <c r="EN54" s="2"/>
      <c r="EO54" s="2" t="s">
        <v>6</v>
      </c>
      <c r="EP54" s="2"/>
      <c r="EQ54" s="2">
        <v>0</v>
      </c>
      <c r="ER54" s="2">
        <v>15.9</v>
      </c>
      <c r="ES54" s="2">
        <v>15.9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5"/>
        <v>0</v>
      </c>
      <c r="FS54" s="2">
        <v>0</v>
      </c>
      <c r="FT54" s="2" t="s">
        <v>21</v>
      </c>
      <c r="FU54" s="2" t="s">
        <v>22</v>
      </c>
      <c r="FV54" s="2"/>
      <c r="FW54" s="2"/>
      <c r="FX54" s="2">
        <v>94.5</v>
      </c>
      <c r="FY54" s="2">
        <v>46.75</v>
      </c>
      <c r="FZ54" s="2"/>
      <c r="GA54" s="2" t="s">
        <v>6</v>
      </c>
      <c r="GB54" s="2"/>
      <c r="GC54" s="2"/>
      <c r="GD54" s="2">
        <v>0</v>
      </c>
      <c r="GE54" s="2"/>
      <c r="GF54" s="2">
        <v>1104462431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6"/>
        <v>0</v>
      </c>
      <c r="GM54" s="2">
        <f t="shared" si="47"/>
        <v>64.2</v>
      </c>
      <c r="GN54" s="2">
        <f t="shared" si="48"/>
        <v>64.2</v>
      </c>
      <c r="GO54" s="2">
        <f t="shared" si="49"/>
        <v>0</v>
      </c>
      <c r="GP54" s="2">
        <f t="shared" si="50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51"/>
        <v>0</v>
      </c>
      <c r="GW54" s="2">
        <v>1</v>
      </c>
      <c r="GX54" s="2">
        <f t="shared" si="52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83</v>
      </c>
      <c r="E55" t="s">
        <v>87</v>
      </c>
      <c r="F55" t="s">
        <v>88</v>
      </c>
      <c r="G55" t="s">
        <v>89</v>
      </c>
      <c r="H55" t="s">
        <v>86</v>
      </c>
      <c r="I55">
        <f>I47*J55</f>
        <v>4.0380000000000003</v>
      </c>
      <c r="J55">
        <v>30.000000000000004</v>
      </c>
      <c r="O55">
        <f t="shared" si="14"/>
        <v>384.58</v>
      </c>
      <c r="P55">
        <f t="shared" si="15"/>
        <v>384.58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16481134</v>
      </c>
      <c r="AB55">
        <f t="shared" si="25"/>
        <v>15.9</v>
      </c>
      <c r="AC55">
        <f t="shared" si="26"/>
        <v>15.9</v>
      </c>
      <c r="AD55">
        <f t="shared" si="27"/>
        <v>0</v>
      </c>
      <c r="AE55">
        <f t="shared" si="28"/>
        <v>0</v>
      </c>
      <c r="AF55">
        <f t="shared" si="29"/>
        <v>0</v>
      </c>
      <c r="AG55">
        <f t="shared" si="30"/>
        <v>0</v>
      </c>
      <c r="AH55">
        <f t="shared" si="31"/>
        <v>0</v>
      </c>
      <c r="AI55">
        <f t="shared" si="32"/>
        <v>0</v>
      </c>
      <c r="AJ55">
        <f t="shared" si="33"/>
        <v>0</v>
      </c>
      <c r="AK55">
        <v>15.9</v>
      </c>
      <c r="AL55">
        <v>15.9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5.99</v>
      </c>
      <c r="BA55">
        <v>1</v>
      </c>
      <c r="BB55">
        <v>1</v>
      </c>
      <c r="BC55">
        <v>5.99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90</v>
      </c>
      <c r="BM55">
        <v>15001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105</v>
      </c>
      <c r="CA55">
        <v>55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4"/>
        <v>384.58</v>
      </c>
      <c r="CQ55">
        <f t="shared" si="35"/>
        <v>95.241</v>
      </c>
      <c r="CR55">
        <f t="shared" si="36"/>
        <v>0</v>
      </c>
      <c r="CS55">
        <f t="shared" si="37"/>
        <v>0</v>
      </c>
      <c r="CT55">
        <f t="shared" si="38"/>
        <v>0</v>
      </c>
      <c r="CU55">
        <f t="shared" si="39"/>
        <v>0</v>
      </c>
      <c r="CV55">
        <f t="shared" si="40"/>
        <v>0</v>
      </c>
      <c r="CW55">
        <f t="shared" si="41"/>
        <v>0</v>
      </c>
      <c r="CX55">
        <f t="shared" si="42"/>
        <v>0</v>
      </c>
      <c r="CY55">
        <f t="shared" si="43"/>
        <v>0</v>
      </c>
      <c r="CZ55">
        <f t="shared" si="44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1009</v>
      </c>
      <c r="DV55" t="s">
        <v>86</v>
      </c>
      <c r="DW55" t="s">
        <v>86</v>
      </c>
      <c r="DX55">
        <v>1</v>
      </c>
      <c r="EE55">
        <v>15139126</v>
      </c>
      <c r="EF55">
        <v>2</v>
      </c>
      <c r="EG55" t="s">
        <v>18</v>
      </c>
      <c r="EH55">
        <v>0</v>
      </c>
      <c r="EI55" t="s">
        <v>6</v>
      </c>
      <c r="EJ55">
        <v>1</v>
      </c>
      <c r="EK55">
        <v>15001</v>
      </c>
      <c r="EL55" t="s">
        <v>74</v>
      </c>
      <c r="EM55" t="s">
        <v>75</v>
      </c>
      <c r="EO55" t="s">
        <v>6</v>
      </c>
      <c r="EQ55">
        <v>0</v>
      </c>
      <c r="ER55">
        <v>15.9</v>
      </c>
      <c r="ES55">
        <v>15.9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5"/>
        <v>0</v>
      </c>
      <c r="FS55">
        <v>0</v>
      </c>
      <c r="FT55" t="s">
        <v>21</v>
      </c>
      <c r="FU55" t="s">
        <v>22</v>
      </c>
      <c r="FX55">
        <v>94.5</v>
      </c>
      <c r="FY55">
        <v>46.75</v>
      </c>
      <c r="GA55" t="s">
        <v>6</v>
      </c>
      <c r="GD55">
        <v>0</v>
      </c>
      <c r="GF55">
        <v>1104462431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6"/>
        <v>0</v>
      </c>
      <c r="GM55">
        <f t="shared" si="47"/>
        <v>384.58</v>
      </c>
      <c r="GN55">
        <f t="shared" si="48"/>
        <v>384.58</v>
      </c>
      <c r="GO55">
        <f t="shared" si="49"/>
        <v>0</v>
      </c>
      <c r="GP55">
        <f t="shared" si="50"/>
        <v>0</v>
      </c>
      <c r="GR55">
        <v>0</v>
      </c>
      <c r="GS55">
        <v>3</v>
      </c>
      <c r="GT55">
        <v>0</v>
      </c>
      <c r="GU55" t="s">
        <v>6</v>
      </c>
      <c r="GV55">
        <f t="shared" si="51"/>
        <v>0</v>
      </c>
      <c r="GW55">
        <v>1</v>
      </c>
      <c r="GX55">
        <f t="shared" si="52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74</v>
      </c>
      <c r="D56" s="2"/>
      <c r="E56" s="2" t="s">
        <v>91</v>
      </c>
      <c r="F56" s="2" t="s">
        <v>92</v>
      </c>
      <c r="G56" s="2" t="s">
        <v>93</v>
      </c>
      <c r="H56" s="2" t="s">
        <v>86</v>
      </c>
      <c r="I56" s="2">
        <f>I46*J56</f>
        <v>1.1979649999999999</v>
      </c>
      <c r="J56" s="2">
        <v>8.900185735512629</v>
      </c>
      <c r="K56" s="2"/>
      <c r="L56" s="2"/>
      <c r="M56" s="2"/>
      <c r="N56" s="2"/>
      <c r="O56" s="2">
        <f t="shared" ref="O56:O79" si="53">ROUND(CP56,2)</f>
        <v>18.079999999999998</v>
      </c>
      <c r="P56" s="2">
        <f t="shared" ref="P56:P79" si="54">ROUND(CQ56*I56,2)</f>
        <v>18.079999999999998</v>
      </c>
      <c r="Q56" s="2">
        <f t="shared" ref="Q56:Q79" si="55">ROUND(CR56*I56,2)</f>
        <v>0</v>
      </c>
      <c r="R56" s="2">
        <f t="shared" ref="R56:R79" si="56">ROUND(CS56*I56,2)</f>
        <v>0</v>
      </c>
      <c r="S56" s="2">
        <f t="shared" ref="S56:S79" si="57">ROUND(CT56*I56,2)</f>
        <v>0</v>
      </c>
      <c r="T56" s="2">
        <f t="shared" ref="T56:T79" si="58">ROUND(CU56*I56,2)</f>
        <v>0</v>
      </c>
      <c r="U56" s="2">
        <f t="shared" ref="U56:U79" si="59">CV56*I56</f>
        <v>0</v>
      </c>
      <c r="V56" s="2">
        <f t="shared" ref="V56:V79" si="60">CW56*I56</f>
        <v>0</v>
      </c>
      <c r="W56" s="2">
        <f t="shared" ref="W56:W79" si="61">ROUND(CX56*I56,2)</f>
        <v>0</v>
      </c>
      <c r="X56" s="2">
        <f t="shared" ref="X56:X79" si="62">ROUND(CY56,2)</f>
        <v>0</v>
      </c>
      <c r="Y56" s="2">
        <f t="shared" ref="Y56:Y79" si="63">ROUND(CZ56,2)</f>
        <v>0</v>
      </c>
      <c r="Z56" s="2"/>
      <c r="AA56" s="2">
        <v>16481133</v>
      </c>
      <c r="AB56" s="2">
        <f t="shared" ref="AB56:AB79" si="64">ROUND((AC56+AD56+AF56),6)</f>
        <v>15.09</v>
      </c>
      <c r="AC56" s="2">
        <f t="shared" ref="AC56:AC79" si="65">ROUND((ES56),6)</f>
        <v>15.09</v>
      </c>
      <c r="AD56" s="2">
        <f t="shared" ref="AD56:AD79" si="66">ROUND((((ET56)-(EU56))+AE56),6)</f>
        <v>0</v>
      </c>
      <c r="AE56" s="2">
        <f t="shared" ref="AE56:AE79" si="67">ROUND((EU56),6)</f>
        <v>0</v>
      </c>
      <c r="AF56" s="2">
        <f t="shared" ref="AF56:AF79" si="68">ROUND((EV56),6)</f>
        <v>0</v>
      </c>
      <c r="AG56" s="2">
        <f t="shared" ref="AG56:AG79" si="69">ROUND((AP56),6)</f>
        <v>0</v>
      </c>
      <c r="AH56" s="2">
        <f t="shared" ref="AH56:AH79" si="70">(EW56)</f>
        <v>0</v>
      </c>
      <c r="AI56" s="2">
        <f t="shared" ref="AI56:AI79" si="71">(EX56)</f>
        <v>0</v>
      </c>
      <c r="AJ56" s="2">
        <f t="shared" ref="AJ56:AJ79" si="72">ROUND((AS56),6)</f>
        <v>0</v>
      </c>
      <c r="AK56" s="2">
        <v>15.09</v>
      </c>
      <c r="AL56" s="2">
        <v>15.09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95</v>
      </c>
      <c r="AU56" s="2">
        <v>47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3</v>
      </c>
      <c r="BI56" s="2">
        <v>1</v>
      </c>
      <c r="BJ56" s="2" t="s">
        <v>94</v>
      </c>
      <c r="BK56" s="2"/>
      <c r="BL56" s="2"/>
      <c r="BM56" s="2">
        <v>15001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105</v>
      </c>
      <c r="CA56" s="2">
        <v>55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ref="CP56:CP79" si="73">(P56+Q56+S56)</f>
        <v>18.079999999999998</v>
      </c>
      <c r="CQ56" s="2">
        <f t="shared" ref="CQ56:CQ79" si="74">AC56*BC56</f>
        <v>15.09</v>
      </c>
      <c r="CR56" s="2">
        <f t="shared" ref="CR56:CR79" si="75">AD56*BB56</f>
        <v>0</v>
      </c>
      <c r="CS56" s="2">
        <f t="shared" ref="CS56:CS79" si="76">AE56*BS56</f>
        <v>0</v>
      </c>
      <c r="CT56" s="2">
        <f t="shared" ref="CT56:CT79" si="77">AF56*BA56</f>
        <v>0</v>
      </c>
      <c r="CU56" s="2">
        <f t="shared" ref="CU56:CU79" si="78">AG56</f>
        <v>0</v>
      </c>
      <c r="CV56" s="2">
        <f t="shared" ref="CV56:CV79" si="79">AH56</f>
        <v>0</v>
      </c>
      <c r="CW56" s="2">
        <f t="shared" ref="CW56:CW79" si="80">AI56</f>
        <v>0</v>
      </c>
      <c r="CX56" s="2">
        <f t="shared" ref="CX56:CX79" si="81">AJ56</f>
        <v>0</v>
      </c>
      <c r="CY56" s="2">
        <f t="shared" ref="CY56:CY79" si="82">(((S56+R56)*AT56)/100)</f>
        <v>0</v>
      </c>
      <c r="CZ56" s="2">
        <f t="shared" ref="CZ56:CZ79" si="83">(((S56+R56)*AU56)/100)</f>
        <v>0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1009</v>
      </c>
      <c r="DV56" s="2" t="s">
        <v>86</v>
      </c>
      <c r="DW56" s="2" t="s">
        <v>86</v>
      </c>
      <c r="DX56" s="2">
        <v>1</v>
      </c>
      <c r="DY56" s="2"/>
      <c r="DZ56" s="2"/>
      <c r="EA56" s="2"/>
      <c r="EB56" s="2"/>
      <c r="EC56" s="2"/>
      <c r="ED56" s="2"/>
      <c r="EE56" s="2">
        <v>15139126</v>
      </c>
      <c r="EF56" s="2">
        <v>2</v>
      </c>
      <c r="EG56" s="2" t="s">
        <v>18</v>
      </c>
      <c r="EH56" s="2">
        <v>0</v>
      </c>
      <c r="EI56" s="2" t="s">
        <v>6</v>
      </c>
      <c r="EJ56" s="2">
        <v>1</v>
      </c>
      <c r="EK56" s="2">
        <v>15001</v>
      </c>
      <c r="EL56" s="2" t="s">
        <v>74</v>
      </c>
      <c r="EM56" s="2" t="s">
        <v>75</v>
      </c>
      <c r="EN56" s="2"/>
      <c r="EO56" s="2" t="s">
        <v>6</v>
      </c>
      <c r="EP56" s="2"/>
      <c r="EQ56" s="2">
        <v>0</v>
      </c>
      <c r="ER56" s="2">
        <v>15.09</v>
      </c>
      <c r="ES56" s="2">
        <v>15.09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83" si="84">ROUND(IF(AND(BH56=3,BI56=3),P56,0),2)</f>
        <v>0</v>
      </c>
      <c r="FS56" s="2">
        <v>0</v>
      </c>
      <c r="FT56" s="2" t="s">
        <v>21</v>
      </c>
      <c r="FU56" s="2" t="s">
        <v>22</v>
      </c>
      <c r="FV56" s="2"/>
      <c r="FW56" s="2"/>
      <c r="FX56" s="2">
        <v>94.5</v>
      </c>
      <c r="FY56" s="2">
        <v>46.75</v>
      </c>
      <c r="FZ56" s="2"/>
      <c r="GA56" s="2" t="s">
        <v>6</v>
      </c>
      <c r="GB56" s="2"/>
      <c r="GC56" s="2"/>
      <c r="GD56" s="2">
        <v>0</v>
      </c>
      <c r="GE56" s="2"/>
      <c r="GF56" s="2">
        <v>1453462043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83" si="85">ROUND(IF(AND(BH56=3,BI56=3,FS56&lt;&gt;0),P56,0),2)</f>
        <v>0</v>
      </c>
      <c r="GM56" s="2">
        <f t="shared" ref="GM56:GM79" si="86">ROUND(O56+X56+Y56+GK56,2)+GX56</f>
        <v>18.079999999999998</v>
      </c>
      <c r="GN56" s="2">
        <f t="shared" ref="GN56:GN79" si="87">IF(OR(BI56=0,BI56=1),ROUND(O56+X56+Y56+GK56,2),0)</f>
        <v>18.079999999999998</v>
      </c>
      <c r="GO56" s="2">
        <f t="shared" ref="GO56:GO79" si="88">IF(BI56=2,ROUND(O56+X56+Y56+GK56,2),0)</f>
        <v>0</v>
      </c>
      <c r="GP56" s="2">
        <f t="shared" ref="GP56:GP79" si="89">IF(BI56=4,ROUND(O56+X56+Y56+GK56,2)+GX56,0)</f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ref="GV56:GV79" si="90">ROUND(GT56,6)</f>
        <v>0</v>
      </c>
      <c r="GW56" s="2">
        <v>1</v>
      </c>
      <c r="GX56" s="2">
        <f t="shared" ref="GX56:GX83" si="91">ROUND(GV56*GW56*I56,2)</f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85</v>
      </c>
      <c r="E57" t="s">
        <v>91</v>
      </c>
      <c r="F57" t="s">
        <v>92</v>
      </c>
      <c r="G57" t="s">
        <v>93</v>
      </c>
      <c r="H57" t="s">
        <v>86</v>
      </c>
      <c r="I57">
        <f>I47*J57</f>
        <v>1.1979649999999999</v>
      </c>
      <c r="J57">
        <v>8.900185735512629</v>
      </c>
      <c r="O57">
        <f t="shared" si="53"/>
        <v>108.28</v>
      </c>
      <c r="P57">
        <f t="shared" si="54"/>
        <v>108.28</v>
      </c>
      <c r="Q57">
        <f t="shared" si="55"/>
        <v>0</v>
      </c>
      <c r="R57">
        <f t="shared" si="56"/>
        <v>0</v>
      </c>
      <c r="S57">
        <f t="shared" si="57"/>
        <v>0</v>
      </c>
      <c r="T57">
        <f t="shared" si="58"/>
        <v>0</v>
      </c>
      <c r="U57">
        <f t="shared" si="59"/>
        <v>0</v>
      </c>
      <c r="V57">
        <f t="shared" si="60"/>
        <v>0</v>
      </c>
      <c r="W57">
        <f t="shared" si="61"/>
        <v>0</v>
      </c>
      <c r="X57">
        <f t="shared" si="62"/>
        <v>0</v>
      </c>
      <c r="Y57">
        <f t="shared" si="63"/>
        <v>0</v>
      </c>
      <c r="AA57">
        <v>16481134</v>
      </c>
      <c r="AB57">
        <f t="shared" si="64"/>
        <v>15.09</v>
      </c>
      <c r="AC57">
        <f t="shared" si="65"/>
        <v>15.09</v>
      </c>
      <c r="AD57">
        <f t="shared" si="66"/>
        <v>0</v>
      </c>
      <c r="AE57">
        <f t="shared" si="67"/>
        <v>0</v>
      </c>
      <c r="AF57">
        <f t="shared" si="68"/>
        <v>0</v>
      </c>
      <c r="AG57">
        <f t="shared" si="69"/>
        <v>0</v>
      </c>
      <c r="AH57">
        <f t="shared" si="70"/>
        <v>0</v>
      </c>
      <c r="AI57">
        <f t="shared" si="71"/>
        <v>0</v>
      </c>
      <c r="AJ57">
        <f t="shared" si="72"/>
        <v>0</v>
      </c>
      <c r="AK57">
        <v>15.09</v>
      </c>
      <c r="AL57">
        <v>15.09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5.99</v>
      </c>
      <c r="BA57">
        <v>1</v>
      </c>
      <c r="BB57">
        <v>1</v>
      </c>
      <c r="BC57">
        <v>5.99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94</v>
      </c>
      <c r="BM57">
        <v>15001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105</v>
      </c>
      <c r="CA57">
        <v>55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73"/>
        <v>108.28</v>
      </c>
      <c r="CQ57">
        <f t="shared" si="74"/>
        <v>90.389099999999999</v>
      </c>
      <c r="CR57">
        <f t="shared" si="75"/>
        <v>0</v>
      </c>
      <c r="CS57">
        <f t="shared" si="76"/>
        <v>0</v>
      </c>
      <c r="CT57">
        <f t="shared" si="77"/>
        <v>0</v>
      </c>
      <c r="CU57">
        <f t="shared" si="78"/>
        <v>0</v>
      </c>
      <c r="CV57">
        <f t="shared" si="79"/>
        <v>0</v>
      </c>
      <c r="CW57">
        <f t="shared" si="80"/>
        <v>0</v>
      </c>
      <c r="CX57">
        <f t="shared" si="81"/>
        <v>0</v>
      </c>
      <c r="CY57">
        <f t="shared" si="82"/>
        <v>0</v>
      </c>
      <c r="CZ57">
        <f t="shared" si="83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1009</v>
      </c>
      <c r="DV57" t="s">
        <v>86</v>
      </c>
      <c r="DW57" t="s">
        <v>86</v>
      </c>
      <c r="DX57">
        <v>1</v>
      </c>
      <c r="EE57">
        <v>15139126</v>
      </c>
      <c r="EF57">
        <v>2</v>
      </c>
      <c r="EG57" t="s">
        <v>18</v>
      </c>
      <c r="EH57">
        <v>0</v>
      </c>
      <c r="EI57" t="s">
        <v>6</v>
      </c>
      <c r="EJ57">
        <v>1</v>
      </c>
      <c r="EK57">
        <v>15001</v>
      </c>
      <c r="EL57" t="s">
        <v>74</v>
      </c>
      <c r="EM57" t="s">
        <v>75</v>
      </c>
      <c r="EO57" t="s">
        <v>6</v>
      </c>
      <c r="EQ57">
        <v>0</v>
      </c>
      <c r="ER57">
        <v>15.09</v>
      </c>
      <c r="ES57">
        <v>15.09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84"/>
        <v>0</v>
      </c>
      <c r="FS57">
        <v>0</v>
      </c>
      <c r="FT57" t="s">
        <v>21</v>
      </c>
      <c r="FU57" t="s">
        <v>22</v>
      </c>
      <c r="FX57">
        <v>94.5</v>
      </c>
      <c r="FY57">
        <v>46.75</v>
      </c>
      <c r="GA57" t="s">
        <v>6</v>
      </c>
      <c r="GD57">
        <v>0</v>
      </c>
      <c r="GF57">
        <v>1453462043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85"/>
        <v>0</v>
      </c>
      <c r="GM57">
        <f t="shared" si="86"/>
        <v>108.28</v>
      </c>
      <c r="GN57">
        <f t="shared" si="87"/>
        <v>108.28</v>
      </c>
      <c r="GO57">
        <f t="shared" si="88"/>
        <v>0</v>
      </c>
      <c r="GP57">
        <f t="shared" si="89"/>
        <v>0</v>
      </c>
      <c r="GR57">
        <v>0</v>
      </c>
      <c r="GS57">
        <v>3</v>
      </c>
      <c r="GT57">
        <v>0</v>
      </c>
      <c r="GU57" t="s">
        <v>6</v>
      </c>
      <c r="GV57">
        <f t="shared" si="90"/>
        <v>0</v>
      </c>
      <c r="GW57">
        <v>1</v>
      </c>
      <c r="GX57">
        <f t="shared" si="91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75</v>
      </c>
      <c r="D58" s="2"/>
      <c r="E58" s="2" t="s">
        <v>95</v>
      </c>
      <c r="F58" s="2" t="s">
        <v>96</v>
      </c>
      <c r="G58" s="2" t="s">
        <v>97</v>
      </c>
      <c r="H58" s="2" t="s">
        <v>57</v>
      </c>
      <c r="I58" s="2">
        <f>I46*J58</f>
        <v>1.1980000000000001E-3</v>
      </c>
      <c r="J58" s="2">
        <v>8.900445765230313E-3</v>
      </c>
      <c r="K58" s="2"/>
      <c r="L58" s="2"/>
      <c r="M58" s="2"/>
      <c r="N58" s="2"/>
      <c r="O58" s="2">
        <f t="shared" si="53"/>
        <v>0</v>
      </c>
      <c r="P58" s="2">
        <f t="shared" si="54"/>
        <v>0</v>
      </c>
      <c r="Q58" s="2">
        <f t="shared" si="55"/>
        <v>0</v>
      </c>
      <c r="R58" s="2">
        <f t="shared" si="56"/>
        <v>0</v>
      </c>
      <c r="S58" s="2">
        <f t="shared" si="57"/>
        <v>0</v>
      </c>
      <c r="T58" s="2">
        <f t="shared" si="58"/>
        <v>0</v>
      </c>
      <c r="U58" s="2">
        <f t="shared" si="59"/>
        <v>0</v>
      </c>
      <c r="V58" s="2">
        <f t="shared" si="60"/>
        <v>0</v>
      </c>
      <c r="W58" s="2">
        <f t="shared" si="61"/>
        <v>0</v>
      </c>
      <c r="X58" s="2">
        <f t="shared" si="62"/>
        <v>0</v>
      </c>
      <c r="Y58" s="2">
        <f t="shared" si="63"/>
        <v>0</v>
      </c>
      <c r="Z58" s="2"/>
      <c r="AA58" s="2">
        <v>16481133</v>
      </c>
      <c r="AB58" s="2">
        <f t="shared" si="64"/>
        <v>0</v>
      </c>
      <c r="AC58" s="2">
        <f t="shared" si="65"/>
        <v>0</v>
      </c>
      <c r="AD58" s="2">
        <f t="shared" si="66"/>
        <v>0</v>
      </c>
      <c r="AE58" s="2">
        <f t="shared" si="67"/>
        <v>0</v>
      </c>
      <c r="AF58" s="2">
        <f t="shared" si="68"/>
        <v>0</v>
      </c>
      <c r="AG58" s="2">
        <f t="shared" si="69"/>
        <v>0</v>
      </c>
      <c r="AH58" s="2">
        <f t="shared" si="70"/>
        <v>0</v>
      </c>
      <c r="AI58" s="2">
        <f t="shared" si="71"/>
        <v>0</v>
      </c>
      <c r="AJ58" s="2">
        <f t="shared" si="72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95</v>
      </c>
      <c r="AU58" s="2">
        <v>47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6</v>
      </c>
      <c r="BK58" s="2"/>
      <c r="BL58" s="2"/>
      <c r="BM58" s="2">
        <v>15001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105</v>
      </c>
      <c r="CA58" s="2">
        <v>55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73"/>
        <v>0</v>
      </c>
      <c r="CQ58" s="2">
        <f t="shared" si="74"/>
        <v>0</v>
      </c>
      <c r="CR58" s="2">
        <f t="shared" si="75"/>
        <v>0</v>
      </c>
      <c r="CS58" s="2">
        <f t="shared" si="76"/>
        <v>0</v>
      </c>
      <c r="CT58" s="2">
        <f t="shared" si="77"/>
        <v>0</v>
      </c>
      <c r="CU58" s="2">
        <f t="shared" si="78"/>
        <v>0</v>
      </c>
      <c r="CV58" s="2">
        <f t="shared" si="79"/>
        <v>0</v>
      </c>
      <c r="CW58" s="2">
        <f t="shared" si="80"/>
        <v>0</v>
      </c>
      <c r="CX58" s="2">
        <f t="shared" si="81"/>
        <v>0</v>
      </c>
      <c r="CY58" s="2">
        <f t="shared" si="82"/>
        <v>0</v>
      </c>
      <c r="CZ58" s="2">
        <f t="shared" si="83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1009</v>
      </c>
      <c r="DV58" s="2" t="s">
        <v>57</v>
      </c>
      <c r="DW58" s="2" t="s">
        <v>57</v>
      </c>
      <c r="DX58" s="2">
        <v>1000</v>
      </c>
      <c r="DY58" s="2"/>
      <c r="DZ58" s="2"/>
      <c r="EA58" s="2"/>
      <c r="EB58" s="2"/>
      <c r="EC58" s="2"/>
      <c r="ED58" s="2"/>
      <c r="EE58" s="2">
        <v>15139126</v>
      </c>
      <c r="EF58" s="2">
        <v>2</v>
      </c>
      <c r="EG58" s="2" t="s">
        <v>18</v>
      </c>
      <c r="EH58" s="2">
        <v>0</v>
      </c>
      <c r="EI58" s="2" t="s">
        <v>6</v>
      </c>
      <c r="EJ58" s="2">
        <v>1</v>
      </c>
      <c r="EK58" s="2">
        <v>15001</v>
      </c>
      <c r="EL58" s="2" t="s">
        <v>74</v>
      </c>
      <c r="EM58" s="2" t="s">
        <v>75</v>
      </c>
      <c r="EN58" s="2"/>
      <c r="EO58" s="2" t="s">
        <v>6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4"/>
        <v>0</v>
      </c>
      <c r="FS58" s="2">
        <v>0</v>
      </c>
      <c r="FT58" s="2" t="s">
        <v>21</v>
      </c>
      <c r="FU58" s="2" t="s">
        <v>22</v>
      </c>
      <c r="FV58" s="2"/>
      <c r="FW58" s="2"/>
      <c r="FX58" s="2">
        <v>94.5</v>
      </c>
      <c r="FY58" s="2">
        <v>46.75</v>
      </c>
      <c r="FZ58" s="2"/>
      <c r="GA58" s="2" t="s">
        <v>6</v>
      </c>
      <c r="GB58" s="2"/>
      <c r="GC58" s="2"/>
      <c r="GD58" s="2">
        <v>0</v>
      </c>
      <c r="GE58" s="2"/>
      <c r="GF58" s="2">
        <v>-1212923053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85"/>
        <v>0</v>
      </c>
      <c r="GM58" s="2">
        <f t="shared" si="86"/>
        <v>0</v>
      </c>
      <c r="GN58" s="2">
        <f t="shared" si="87"/>
        <v>0</v>
      </c>
      <c r="GO58" s="2">
        <f t="shared" si="88"/>
        <v>0</v>
      </c>
      <c r="GP58" s="2">
        <f t="shared" si="89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90"/>
        <v>0</v>
      </c>
      <c r="GW58" s="2">
        <v>1</v>
      </c>
      <c r="GX58" s="2">
        <f t="shared" si="91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86</v>
      </c>
      <c r="E59" t="s">
        <v>95</v>
      </c>
      <c r="F59" t="s">
        <v>96</v>
      </c>
      <c r="G59" t="s">
        <v>97</v>
      </c>
      <c r="H59" t="s">
        <v>57</v>
      </c>
      <c r="I59">
        <f>I47*J59</f>
        <v>1.1980000000000001E-3</v>
      </c>
      <c r="J59">
        <v>8.900445765230313E-3</v>
      </c>
      <c r="O59">
        <f t="shared" si="53"/>
        <v>0</v>
      </c>
      <c r="P59">
        <f t="shared" si="54"/>
        <v>0</v>
      </c>
      <c r="Q59">
        <f t="shared" si="55"/>
        <v>0</v>
      </c>
      <c r="R59">
        <f t="shared" si="56"/>
        <v>0</v>
      </c>
      <c r="S59">
        <f t="shared" si="57"/>
        <v>0</v>
      </c>
      <c r="T59">
        <f t="shared" si="58"/>
        <v>0</v>
      </c>
      <c r="U59">
        <f t="shared" si="59"/>
        <v>0</v>
      </c>
      <c r="V59">
        <f t="shared" si="60"/>
        <v>0</v>
      </c>
      <c r="W59">
        <f t="shared" si="61"/>
        <v>0</v>
      </c>
      <c r="X59">
        <f t="shared" si="62"/>
        <v>0</v>
      </c>
      <c r="Y59">
        <f t="shared" si="63"/>
        <v>0</v>
      </c>
      <c r="AA59">
        <v>16481134</v>
      </c>
      <c r="AB59">
        <f t="shared" si="64"/>
        <v>0</v>
      </c>
      <c r="AC59">
        <f t="shared" si="65"/>
        <v>0</v>
      </c>
      <c r="AD59">
        <f t="shared" si="66"/>
        <v>0</v>
      </c>
      <c r="AE59">
        <f t="shared" si="67"/>
        <v>0</v>
      </c>
      <c r="AF59">
        <f t="shared" si="68"/>
        <v>0</v>
      </c>
      <c r="AG59">
        <f t="shared" si="69"/>
        <v>0</v>
      </c>
      <c r="AH59">
        <f t="shared" si="70"/>
        <v>0</v>
      </c>
      <c r="AI59">
        <f t="shared" si="71"/>
        <v>0</v>
      </c>
      <c r="AJ59">
        <f t="shared" si="72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5.99</v>
      </c>
      <c r="BA59">
        <v>1</v>
      </c>
      <c r="BB59">
        <v>1</v>
      </c>
      <c r="BC59">
        <v>5.99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6</v>
      </c>
      <c r="BM59">
        <v>15001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105</v>
      </c>
      <c r="CA59">
        <v>55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73"/>
        <v>0</v>
      </c>
      <c r="CQ59">
        <f t="shared" si="74"/>
        <v>0</v>
      </c>
      <c r="CR59">
        <f t="shared" si="75"/>
        <v>0</v>
      </c>
      <c r="CS59">
        <f t="shared" si="76"/>
        <v>0</v>
      </c>
      <c r="CT59">
        <f t="shared" si="77"/>
        <v>0</v>
      </c>
      <c r="CU59">
        <f t="shared" si="78"/>
        <v>0</v>
      </c>
      <c r="CV59">
        <f t="shared" si="79"/>
        <v>0</v>
      </c>
      <c r="CW59">
        <f t="shared" si="80"/>
        <v>0</v>
      </c>
      <c r="CX59">
        <f t="shared" si="81"/>
        <v>0</v>
      </c>
      <c r="CY59">
        <f t="shared" si="82"/>
        <v>0</v>
      </c>
      <c r="CZ59">
        <f t="shared" si="83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57</v>
      </c>
      <c r="DW59" t="s">
        <v>57</v>
      </c>
      <c r="DX59">
        <v>1000</v>
      </c>
      <c r="EE59">
        <v>15139126</v>
      </c>
      <c r="EF59">
        <v>2</v>
      </c>
      <c r="EG59" t="s">
        <v>18</v>
      </c>
      <c r="EH59">
        <v>0</v>
      </c>
      <c r="EI59" t="s">
        <v>6</v>
      </c>
      <c r="EJ59">
        <v>1</v>
      </c>
      <c r="EK59">
        <v>15001</v>
      </c>
      <c r="EL59" t="s">
        <v>74</v>
      </c>
      <c r="EM59" t="s">
        <v>75</v>
      </c>
      <c r="EO59" t="s">
        <v>6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4"/>
        <v>0</v>
      </c>
      <c r="FS59">
        <v>0</v>
      </c>
      <c r="FT59" t="s">
        <v>21</v>
      </c>
      <c r="FU59" t="s">
        <v>22</v>
      </c>
      <c r="FX59">
        <v>94.5</v>
      </c>
      <c r="FY59">
        <v>46.75</v>
      </c>
      <c r="GA59" t="s">
        <v>6</v>
      </c>
      <c r="GD59">
        <v>0</v>
      </c>
      <c r="GF59">
        <v>-1212923053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85"/>
        <v>0</v>
      </c>
      <c r="GM59">
        <f t="shared" si="86"/>
        <v>0</v>
      </c>
      <c r="GN59">
        <f t="shared" si="87"/>
        <v>0</v>
      </c>
      <c r="GO59">
        <f t="shared" si="88"/>
        <v>0</v>
      </c>
      <c r="GP59">
        <f t="shared" si="89"/>
        <v>0</v>
      </c>
      <c r="GR59">
        <v>0</v>
      </c>
      <c r="GS59">
        <v>3</v>
      </c>
      <c r="GT59">
        <v>0</v>
      </c>
      <c r="GU59" t="s">
        <v>6</v>
      </c>
      <c r="GV59">
        <f t="shared" si="90"/>
        <v>0</v>
      </c>
      <c r="GW59">
        <v>1</v>
      </c>
      <c r="GX59">
        <f t="shared" si="91"/>
        <v>0</v>
      </c>
      <c r="HA59">
        <v>0</v>
      </c>
      <c r="HB59"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ROW(SmtRes!A92)</f>
        <v>92</v>
      </c>
      <c r="D60" s="2">
        <f>ROW(EtalonRes!A80)</f>
        <v>80</v>
      </c>
      <c r="E60" s="2" t="s">
        <v>98</v>
      </c>
      <c r="F60" s="2" t="s">
        <v>99</v>
      </c>
      <c r="G60" s="2" t="s">
        <v>100</v>
      </c>
      <c r="H60" s="2" t="s">
        <v>16</v>
      </c>
      <c r="I60" s="2">
        <f>ROUND(13.46/100,9)</f>
        <v>0.1346</v>
      </c>
      <c r="J60" s="2">
        <v>0</v>
      </c>
      <c r="K60" s="2"/>
      <c r="L60" s="2"/>
      <c r="M60" s="2"/>
      <c r="N60" s="2"/>
      <c r="O60" s="2">
        <f t="shared" si="53"/>
        <v>428.62</v>
      </c>
      <c r="P60" s="2">
        <f t="shared" si="54"/>
        <v>153.47999999999999</v>
      </c>
      <c r="Q60" s="2">
        <f t="shared" si="55"/>
        <v>2.82</v>
      </c>
      <c r="R60" s="2">
        <f t="shared" si="56"/>
        <v>1.22</v>
      </c>
      <c r="S60" s="2">
        <f t="shared" si="57"/>
        <v>272.32</v>
      </c>
      <c r="T60" s="2">
        <f t="shared" si="58"/>
        <v>0</v>
      </c>
      <c r="U60" s="2">
        <f t="shared" si="59"/>
        <v>30.735909999999997</v>
      </c>
      <c r="V60" s="2">
        <f t="shared" si="60"/>
        <v>9.0181999999999998E-2</v>
      </c>
      <c r="W60" s="2">
        <f t="shared" si="61"/>
        <v>0</v>
      </c>
      <c r="X60" s="2">
        <f t="shared" si="62"/>
        <v>216.1</v>
      </c>
      <c r="Y60" s="2">
        <f t="shared" si="63"/>
        <v>136.77000000000001</v>
      </c>
      <c r="Z60" s="2"/>
      <c r="AA60" s="2">
        <v>16481133</v>
      </c>
      <c r="AB60" s="2">
        <f t="shared" si="64"/>
        <v>3184.37</v>
      </c>
      <c r="AC60" s="2">
        <f t="shared" si="65"/>
        <v>1140.25</v>
      </c>
      <c r="AD60" s="2">
        <f t="shared" si="66"/>
        <v>20.94</v>
      </c>
      <c r="AE60" s="2">
        <f t="shared" si="67"/>
        <v>9.0500000000000007</v>
      </c>
      <c r="AF60" s="2">
        <f t="shared" si="68"/>
        <v>2023.18</v>
      </c>
      <c r="AG60" s="2">
        <f t="shared" si="69"/>
        <v>0</v>
      </c>
      <c r="AH60" s="2">
        <f t="shared" si="70"/>
        <v>228.35</v>
      </c>
      <c r="AI60" s="2">
        <f t="shared" si="71"/>
        <v>0.67</v>
      </c>
      <c r="AJ60" s="2">
        <f t="shared" si="72"/>
        <v>0</v>
      </c>
      <c r="AK60" s="2">
        <v>3184.37</v>
      </c>
      <c r="AL60" s="2">
        <v>1140.25</v>
      </c>
      <c r="AM60" s="2">
        <v>20.94</v>
      </c>
      <c r="AN60" s="2">
        <v>9.0500000000000007</v>
      </c>
      <c r="AO60" s="2">
        <v>2023.18</v>
      </c>
      <c r="AP60" s="2">
        <v>0</v>
      </c>
      <c r="AQ60" s="2">
        <v>228.35</v>
      </c>
      <c r="AR60" s="2">
        <v>0.67</v>
      </c>
      <c r="AS60" s="2">
        <v>0</v>
      </c>
      <c r="AT60" s="2">
        <v>79</v>
      </c>
      <c r="AU60" s="2">
        <v>50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0</v>
      </c>
      <c r="BI60" s="2">
        <v>1</v>
      </c>
      <c r="BJ60" s="2" t="s">
        <v>101</v>
      </c>
      <c r="BK60" s="2"/>
      <c r="BL60" s="2"/>
      <c r="BM60" s="2">
        <v>61001</v>
      </c>
      <c r="BN60" s="2">
        <v>0</v>
      </c>
      <c r="BO60" s="2" t="s">
        <v>6</v>
      </c>
      <c r="BP60" s="2">
        <v>0</v>
      </c>
      <c r="BQ60" s="2">
        <v>6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79</v>
      </c>
      <c r="CA60" s="2">
        <v>50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73"/>
        <v>428.62</v>
      </c>
      <c r="CQ60" s="2">
        <f t="shared" si="74"/>
        <v>1140.25</v>
      </c>
      <c r="CR60" s="2">
        <f t="shared" si="75"/>
        <v>20.94</v>
      </c>
      <c r="CS60" s="2">
        <f t="shared" si="76"/>
        <v>9.0500000000000007</v>
      </c>
      <c r="CT60" s="2">
        <f t="shared" si="77"/>
        <v>2023.18</v>
      </c>
      <c r="CU60" s="2">
        <f t="shared" si="78"/>
        <v>0</v>
      </c>
      <c r="CV60" s="2">
        <f t="shared" si="79"/>
        <v>228.35</v>
      </c>
      <c r="CW60" s="2">
        <f t="shared" si="80"/>
        <v>0.67</v>
      </c>
      <c r="CX60" s="2">
        <f t="shared" si="81"/>
        <v>0</v>
      </c>
      <c r="CY60" s="2">
        <f t="shared" si="82"/>
        <v>216.0966</v>
      </c>
      <c r="CZ60" s="2">
        <f t="shared" si="83"/>
        <v>136.77000000000001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1005</v>
      </c>
      <c r="DV60" s="2" t="s">
        <v>16</v>
      </c>
      <c r="DW60" s="2" t="s">
        <v>16</v>
      </c>
      <c r="DX60" s="2">
        <v>100</v>
      </c>
      <c r="DY60" s="2"/>
      <c r="DZ60" s="2"/>
      <c r="EA60" s="2"/>
      <c r="EB60" s="2"/>
      <c r="EC60" s="2"/>
      <c r="ED60" s="2"/>
      <c r="EE60" s="2">
        <v>15139183</v>
      </c>
      <c r="EF60" s="2">
        <v>6</v>
      </c>
      <c r="EG60" s="2" t="s">
        <v>51</v>
      </c>
      <c r="EH60" s="2">
        <v>0</v>
      </c>
      <c r="EI60" s="2" t="s">
        <v>6</v>
      </c>
      <c r="EJ60" s="2">
        <v>1</v>
      </c>
      <c r="EK60" s="2">
        <v>61001</v>
      </c>
      <c r="EL60" s="2" t="s">
        <v>102</v>
      </c>
      <c r="EM60" s="2" t="s">
        <v>103</v>
      </c>
      <c r="EN60" s="2"/>
      <c r="EO60" s="2" t="s">
        <v>6</v>
      </c>
      <c r="EP60" s="2"/>
      <c r="EQ60" s="2">
        <v>0</v>
      </c>
      <c r="ER60" s="2">
        <v>3184.37</v>
      </c>
      <c r="ES60" s="2">
        <v>1140.25</v>
      </c>
      <c r="ET60" s="2">
        <v>20.94</v>
      </c>
      <c r="EU60" s="2">
        <v>9.0500000000000007</v>
      </c>
      <c r="EV60" s="2">
        <v>2023.18</v>
      </c>
      <c r="EW60" s="2">
        <v>228.35</v>
      </c>
      <c r="EX60" s="2">
        <v>0.67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4"/>
        <v>0</v>
      </c>
      <c r="FS60" s="2">
        <v>0</v>
      </c>
      <c r="FT60" s="2"/>
      <c r="FU60" s="2"/>
      <c r="FV60" s="2"/>
      <c r="FW60" s="2"/>
      <c r="FX60" s="2">
        <v>79</v>
      </c>
      <c r="FY60" s="2">
        <v>50</v>
      </c>
      <c r="FZ60" s="2"/>
      <c r="GA60" s="2" t="s">
        <v>6</v>
      </c>
      <c r="GB60" s="2"/>
      <c r="GC60" s="2"/>
      <c r="GD60" s="2">
        <v>0</v>
      </c>
      <c r="GE60" s="2"/>
      <c r="GF60" s="2">
        <v>517205319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85"/>
        <v>0</v>
      </c>
      <c r="GM60" s="2">
        <f t="shared" si="86"/>
        <v>781.49</v>
      </c>
      <c r="GN60" s="2">
        <f t="shared" si="87"/>
        <v>781.49</v>
      </c>
      <c r="GO60" s="2">
        <f t="shared" si="88"/>
        <v>0</v>
      </c>
      <c r="GP60" s="2">
        <f t="shared" si="89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90"/>
        <v>0</v>
      </c>
      <c r="GW60" s="2">
        <v>1</v>
      </c>
      <c r="GX60" s="2">
        <f t="shared" si="91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ROW(SmtRes!A98)</f>
        <v>98</v>
      </c>
      <c r="D61">
        <f>ROW(EtalonRes!A86)</f>
        <v>86</v>
      </c>
      <c r="E61" t="s">
        <v>98</v>
      </c>
      <c r="F61" t="s">
        <v>99</v>
      </c>
      <c r="G61" t="s">
        <v>100</v>
      </c>
      <c r="H61" t="s">
        <v>16</v>
      </c>
      <c r="I61">
        <f>ROUND(13.46/100,9)</f>
        <v>0.1346</v>
      </c>
      <c r="J61">
        <v>0</v>
      </c>
      <c r="O61">
        <f t="shared" si="53"/>
        <v>2567.41</v>
      </c>
      <c r="P61">
        <f t="shared" si="54"/>
        <v>919.33</v>
      </c>
      <c r="Q61">
        <f t="shared" si="55"/>
        <v>16.88</v>
      </c>
      <c r="R61">
        <f t="shared" si="56"/>
        <v>7.3</v>
      </c>
      <c r="S61">
        <f t="shared" si="57"/>
        <v>1631.2</v>
      </c>
      <c r="T61">
        <f t="shared" si="58"/>
        <v>0</v>
      </c>
      <c r="U61">
        <f t="shared" si="59"/>
        <v>30.735909999999997</v>
      </c>
      <c r="V61">
        <f t="shared" si="60"/>
        <v>9.0181999999999998E-2</v>
      </c>
      <c r="W61">
        <f t="shared" si="61"/>
        <v>0</v>
      </c>
      <c r="X61">
        <f t="shared" si="62"/>
        <v>1294.42</v>
      </c>
      <c r="Y61">
        <f t="shared" si="63"/>
        <v>819.25</v>
      </c>
      <c r="AA61">
        <v>16481134</v>
      </c>
      <c r="AB61">
        <f t="shared" si="64"/>
        <v>3184.37</v>
      </c>
      <c r="AC61">
        <f t="shared" si="65"/>
        <v>1140.25</v>
      </c>
      <c r="AD61">
        <f t="shared" si="66"/>
        <v>20.94</v>
      </c>
      <c r="AE61">
        <f t="shared" si="67"/>
        <v>9.0500000000000007</v>
      </c>
      <c r="AF61">
        <f t="shared" si="68"/>
        <v>2023.18</v>
      </c>
      <c r="AG61">
        <f t="shared" si="69"/>
        <v>0</v>
      </c>
      <c r="AH61">
        <f t="shared" si="70"/>
        <v>228.35</v>
      </c>
      <c r="AI61">
        <f t="shared" si="71"/>
        <v>0.67</v>
      </c>
      <c r="AJ61">
        <f t="shared" si="72"/>
        <v>0</v>
      </c>
      <c r="AK61">
        <v>3184.37</v>
      </c>
      <c r="AL61">
        <v>1140.25</v>
      </c>
      <c r="AM61">
        <v>20.94</v>
      </c>
      <c r="AN61">
        <v>9.0500000000000007</v>
      </c>
      <c r="AO61">
        <v>2023.18</v>
      </c>
      <c r="AP61">
        <v>0</v>
      </c>
      <c r="AQ61">
        <v>228.35</v>
      </c>
      <c r="AR61">
        <v>0.67</v>
      </c>
      <c r="AS61">
        <v>0</v>
      </c>
      <c r="AT61">
        <v>79</v>
      </c>
      <c r="AU61">
        <v>50</v>
      </c>
      <c r="AV61">
        <v>1</v>
      </c>
      <c r="AW61">
        <v>1</v>
      </c>
      <c r="AZ61">
        <v>5.99</v>
      </c>
      <c r="BA61">
        <v>5.99</v>
      </c>
      <c r="BB61">
        <v>5.99</v>
      </c>
      <c r="BC61">
        <v>5.99</v>
      </c>
      <c r="BD61" t="s">
        <v>6</v>
      </c>
      <c r="BE61" t="s">
        <v>6</v>
      </c>
      <c r="BF61" t="s">
        <v>6</v>
      </c>
      <c r="BG61" t="s">
        <v>6</v>
      </c>
      <c r="BH61">
        <v>0</v>
      </c>
      <c r="BI61">
        <v>1</v>
      </c>
      <c r="BJ61" t="s">
        <v>101</v>
      </c>
      <c r="BM61">
        <v>61001</v>
      </c>
      <c r="BN61">
        <v>0</v>
      </c>
      <c r="BO61" t="s">
        <v>6</v>
      </c>
      <c r="BP61">
        <v>0</v>
      </c>
      <c r="BQ61">
        <v>6</v>
      </c>
      <c r="BR61">
        <v>0</v>
      </c>
      <c r="BS61">
        <v>5.99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79</v>
      </c>
      <c r="CA61">
        <v>50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73"/>
        <v>2567.41</v>
      </c>
      <c r="CQ61">
        <f t="shared" si="74"/>
        <v>6830.0974999999999</v>
      </c>
      <c r="CR61">
        <f t="shared" si="75"/>
        <v>125.43060000000001</v>
      </c>
      <c r="CS61">
        <f t="shared" si="76"/>
        <v>54.209500000000006</v>
      </c>
      <c r="CT61">
        <f t="shared" si="77"/>
        <v>12118.8482</v>
      </c>
      <c r="CU61">
        <f t="shared" si="78"/>
        <v>0</v>
      </c>
      <c r="CV61">
        <f t="shared" si="79"/>
        <v>228.35</v>
      </c>
      <c r="CW61">
        <f t="shared" si="80"/>
        <v>0.67</v>
      </c>
      <c r="CX61">
        <f t="shared" si="81"/>
        <v>0</v>
      </c>
      <c r="CY61">
        <f t="shared" si="82"/>
        <v>1294.415</v>
      </c>
      <c r="CZ61">
        <f t="shared" si="83"/>
        <v>819.25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16</v>
      </c>
      <c r="DW61" t="s">
        <v>16</v>
      </c>
      <c r="DX61">
        <v>100</v>
      </c>
      <c r="EE61">
        <v>15139183</v>
      </c>
      <c r="EF61">
        <v>6</v>
      </c>
      <c r="EG61" t="s">
        <v>51</v>
      </c>
      <c r="EH61">
        <v>0</v>
      </c>
      <c r="EI61" t="s">
        <v>6</v>
      </c>
      <c r="EJ61">
        <v>1</v>
      </c>
      <c r="EK61">
        <v>61001</v>
      </c>
      <c r="EL61" t="s">
        <v>102</v>
      </c>
      <c r="EM61" t="s">
        <v>103</v>
      </c>
      <c r="EO61" t="s">
        <v>6</v>
      </c>
      <c r="EQ61">
        <v>0</v>
      </c>
      <c r="ER61">
        <v>3184.37</v>
      </c>
      <c r="ES61">
        <v>1140.25</v>
      </c>
      <c r="ET61">
        <v>20.94</v>
      </c>
      <c r="EU61">
        <v>9.0500000000000007</v>
      </c>
      <c r="EV61">
        <v>2023.18</v>
      </c>
      <c r="EW61">
        <v>228.35</v>
      </c>
      <c r="EX61">
        <v>0.67</v>
      </c>
      <c r="EY61">
        <v>0</v>
      </c>
      <c r="FQ61">
        <v>0</v>
      </c>
      <c r="FR61">
        <f t="shared" si="84"/>
        <v>0</v>
      </c>
      <c r="FS61">
        <v>0</v>
      </c>
      <c r="FX61">
        <v>79</v>
      </c>
      <c r="FY61">
        <v>50</v>
      </c>
      <c r="GA61" t="s">
        <v>6</v>
      </c>
      <c r="GD61">
        <v>0</v>
      </c>
      <c r="GF61">
        <v>517205319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5"/>
        <v>0</v>
      </c>
      <c r="GM61">
        <f t="shared" si="86"/>
        <v>4681.08</v>
      </c>
      <c r="GN61">
        <f t="shared" si="87"/>
        <v>4681.08</v>
      </c>
      <c r="GO61">
        <f t="shared" si="88"/>
        <v>0</v>
      </c>
      <c r="GP61">
        <f t="shared" si="89"/>
        <v>0</v>
      </c>
      <c r="GR61">
        <v>0</v>
      </c>
      <c r="GS61">
        <v>3</v>
      </c>
      <c r="GT61">
        <v>0</v>
      </c>
      <c r="GU61" t="s">
        <v>6</v>
      </c>
      <c r="GV61">
        <f t="shared" si="90"/>
        <v>0</v>
      </c>
      <c r="GW61">
        <v>1</v>
      </c>
      <c r="GX61">
        <f t="shared" si="91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91</v>
      </c>
      <c r="D62" s="2"/>
      <c r="E62" s="2" t="s">
        <v>104</v>
      </c>
      <c r="F62" s="2" t="s">
        <v>55</v>
      </c>
      <c r="G62" s="2" t="s">
        <v>56</v>
      </c>
      <c r="H62" s="2" t="s">
        <v>57</v>
      </c>
      <c r="I62" s="2">
        <f>I60*J62</f>
        <v>0.45494800000000002</v>
      </c>
      <c r="J62" s="2">
        <v>3.3800000000000003</v>
      </c>
      <c r="K62" s="2"/>
      <c r="L62" s="2"/>
      <c r="M62" s="2"/>
      <c r="N62" s="2"/>
      <c r="O62" s="2">
        <f t="shared" si="53"/>
        <v>0</v>
      </c>
      <c r="P62" s="2">
        <f t="shared" si="54"/>
        <v>0</v>
      </c>
      <c r="Q62" s="2">
        <f t="shared" si="55"/>
        <v>0</v>
      </c>
      <c r="R62" s="2">
        <f t="shared" si="56"/>
        <v>0</v>
      </c>
      <c r="S62" s="2">
        <f t="shared" si="57"/>
        <v>0</v>
      </c>
      <c r="T62" s="2">
        <f t="shared" si="58"/>
        <v>0</v>
      </c>
      <c r="U62" s="2">
        <f t="shared" si="59"/>
        <v>0</v>
      </c>
      <c r="V62" s="2">
        <f t="shared" si="60"/>
        <v>0</v>
      </c>
      <c r="W62" s="2">
        <f t="shared" si="61"/>
        <v>0</v>
      </c>
      <c r="X62" s="2">
        <f t="shared" si="62"/>
        <v>0</v>
      </c>
      <c r="Y62" s="2">
        <f t="shared" si="63"/>
        <v>0</v>
      </c>
      <c r="Z62" s="2"/>
      <c r="AA62" s="2">
        <v>16481133</v>
      </c>
      <c r="AB62" s="2">
        <f t="shared" si="64"/>
        <v>0</v>
      </c>
      <c r="AC62" s="2">
        <f t="shared" si="65"/>
        <v>0</v>
      </c>
      <c r="AD62" s="2">
        <f t="shared" si="66"/>
        <v>0</v>
      </c>
      <c r="AE62" s="2">
        <f t="shared" si="67"/>
        <v>0</v>
      </c>
      <c r="AF62" s="2">
        <f t="shared" si="68"/>
        <v>0</v>
      </c>
      <c r="AG62" s="2">
        <f t="shared" si="69"/>
        <v>0</v>
      </c>
      <c r="AH62" s="2">
        <f t="shared" si="70"/>
        <v>0</v>
      </c>
      <c r="AI62" s="2">
        <f t="shared" si="71"/>
        <v>0</v>
      </c>
      <c r="AJ62" s="2">
        <f t="shared" si="72"/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79</v>
      </c>
      <c r="AU62" s="2">
        <v>50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3</v>
      </c>
      <c r="BI62" s="2">
        <v>1</v>
      </c>
      <c r="BJ62" s="2" t="s">
        <v>6</v>
      </c>
      <c r="BK62" s="2"/>
      <c r="BL62" s="2"/>
      <c r="BM62" s="2">
        <v>61001</v>
      </c>
      <c r="BN62" s="2">
        <v>0</v>
      </c>
      <c r="BO62" s="2" t="s">
        <v>6</v>
      </c>
      <c r="BP62" s="2">
        <v>0</v>
      </c>
      <c r="BQ62" s="2">
        <v>6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79</v>
      </c>
      <c r="CA62" s="2">
        <v>50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73"/>
        <v>0</v>
      </c>
      <c r="CQ62" s="2">
        <f t="shared" si="74"/>
        <v>0</v>
      </c>
      <c r="CR62" s="2">
        <f t="shared" si="75"/>
        <v>0</v>
      </c>
      <c r="CS62" s="2">
        <f t="shared" si="76"/>
        <v>0</v>
      </c>
      <c r="CT62" s="2">
        <f t="shared" si="77"/>
        <v>0</v>
      </c>
      <c r="CU62" s="2">
        <f t="shared" si="78"/>
        <v>0</v>
      </c>
      <c r="CV62" s="2">
        <f t="shared" si="79"/>
        <v>0</v>
      </c>
      <c r="CW62" s="2">
        <f t="shared" si="80"/>
        <v>0</v>
      </c>
      <c r="CX62" s="2">
        <f t="shared" si="81"/>
        <v>0</v>
      </c>
      <c r="CY62" s="2">
        <f t="shared" si="82"/>
        <v>0</v>
      </c>
      <c r="CZ62" s="2">
        <f t="shared" si="83"/>
        <v>0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1009</v>
      </c>
      <c r="DV62" s="2" t="s">
        <v>57</v>
      </c>
      <c r="DW62" s="2" t="s">
        <v>57</v>
      </c>
      <c r="DX62" s="2">
        <v>1000</v>
      </c>
      <c r="DY62" s="2"/>
      <c r="DZ62" s="2"/>
      <c r="EA62" s="2"/>
      <c r="EB62" s="2"/>
      <c r="EC62" s="2"/>
      <c r="ED62" s="2"/>
      <c r="EE62" s="2">
        <v>15139183</v>
      </c>
      <c r="EF62" s="2">
        <v>6</v>
      </c>
      <c r="EG62" s="2" t="s">
        <v>51</v>
      </c>
      <c r="EH62" s="2">
        <v>0</v>
      </c>
      <c r="EI62" s="2" t="s">
        <v>6</v>
      </c>
      <c r="EJ62" s="2">
        <v>1</v>
      </c>
      <c r="EK62" s="2">
        <v>61001</v>
      </c>
      <c r="EL62" s="2" t="s">
        <v>102</v>
      </c>
      <c r="EM62" s="2" t="s">
        <v>103</v>
      </c>
      <c r="EN62" s="2"/>
      <c r="EO62" s="2" t="s">
        <v>6</v>
      </c>
      <c r="EP62" s="2"/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4"/>
        <v>0</v>
      </c>
      <c r="FS62" s="2">
        <v>0</v>
      </c>
      <c r="FT62" s="2"/>
      <c r="FU62" s="2"/>
      <c r="FV62" s="2"/>
      <c r="FW62" s="2"/>
      <c r="FX62" s="2">
        <v>79</v>
      </c>
      <c r="FY62" s="2">
        <v>50</v>
      </c>
      <c r="FZ62" s="2"/>
      <c r="GA62" s="2" t="s">
        <v>6</v>
      </c>
      <c r="GB62" s="2"/>
      <c r="GC62" s="2"/>
      <c r="GD62" s="2">
        <v>0</v>
      </c>
      <c r="GE62" s="2"/>
      <c r="GF62" s="2">
        <v>-179832266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5"/>
        <v>0</v>
      </c>
      <c r="GM62" s="2">
        <f t="shared" si="86"/>
        <v>0</v>
      </c>
      <c r="GN62" s="2">
        <f t="shared" si="87"/>
        <v>0</v>
      </c>
      <c r="GO62" s="2">
        <f t="shared" si="88"/>
        <v>0</v>
      </c>
      <c r="GP62" s="2">
        <f t="shared" si="89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90"/>
        <v>0</v>
      </c>
      <c r="GW62" s="2">
        <v>1</v>
      </c>
      <c r="GX62" s="2">
        <f t="shared" si="91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97</v>
      </c>
      <c r="E63" t="s">
        <v>104</v>
      </c>
      <c r="F63" t="s">
        <v>55</v>
      </c>
      <c r="G63" t="s">
        <v>56</v>
      </c>
      <c r="H63" t="s">
        <v>57</v>
      </c>
      <c r="I63">
        <f>I61*J63</f>
        <v>0.45494800000000002</v>
      </c>
      <c r="J63">
        <v>3.3800000000000003</v>
      </c>
      <c r="O63">
        <f t="shared" si="53"/>
        <v>0</v>
      </c>
      <c r="P63">
        <f t="shared" si="54"/>
        <v>0</v>
      </c>
      <c r="Q63">
        <f t="shared" si="55"/>
        <v>0</v>
      </c>
      <c r="R63">
        <f t="shared" si="56"/>
        <v>0</v>
      </c>
      <c r="S63">
        <f t="shared" si="57"/>
        <v>0</v>
      </c>
      <c r="T63">
        <f t="shared" si="58"/>
        <v>0</v>
      </c>
      <c r="U63">
        <f t="shared" si="59"/>
        <v>0</v>
      </c>
      <c r="V63">
        <f t="shared" si="60"/>
        <v>0</v>
      </c>
      <c r="W63">
        <f t="shared" si="61"/>
        <v>0</v>
      </c>
      <c r="X63">
        <f t="shared" si="62"/>
        <v>0</v>
      </c>
      <c r="Y63">
        <f t="shared" si="63"/>
        <v>0</v>
      </c>
      <c r="AA63">
        <v>16481134</v>
      </c>
      <c r="AB63">
        <f t="shared" si="64"/>
        <v>0</v>
      </c>
      <c r="AC63">
        <f t="shared" si="65"/>
        <v>0</v>
      </c>
      <c r="AD63">
        <f t="shared" si="66"/>
        <v>0</v>
      </c>
      <c r="AE63">
        <f t="shared" si="67"/>
        <v>0</v>
      </c>
      <c r="AF63">
        <f t="shared" si="68"/>
        <v>0</v>
      </c>
      <c r="AG63">
        <f t="shared" si="69"/>
        <v>0</v>
      </c>
      <c r="AH63">
        <f t="shared" si="70"/>
        <v>0</v>
      </c>
      <c r="AI63">
        <f t="shared" si="71"/>
        <v>0</v>
      </c>
      <c r="AJ63">
        <f t="shared" si="72"/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79</v>
      </c>
      <c r="AU63">
        <v>50</v>
      </c>
      <c r="AV63">
        <v>1</v>
      </c>
      <c r="AW63">
        <v>1</v>
      </c>
      <c r="AZ63">
        <v>5.99</v>
      </c>
      <c r="BA63">
        <v>1</v>
      </c>
      <c r="BB63">
        <v>1</v>
      </c>
      <c r="BC63">
        <v>5.99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6</v>
      </c>
      <c r="BM63">
        <v>61001</v>
      </c>
      <c r="BN63">
        <v>0</v>
      </c>
      <c r="BO63" t="s">
        <v>6</v>
      </c>
      <c r="BP63">
        <v>0</v>
      </c>
      <c r="BQ63">
        <v>6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79</v>
      </c>
      <c r="CA63">
        <v>50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73"/>
        <v>0</v>
      </c>
      <c r="CQ63">
        <f t="shared" si="74"/>
        <v>0</v>
      </c>
      <c r="CR63">
        <f t="shared" si="75"/>
        <v>0</v>
      </c>
      <c r="CS63">
        <f t="shared" si="76"/>
        <v>0</v>
      </c>
      <c r="CT63">
        <f t="shared" si="77"/>
        <v>0</v>
      </c>
      <c r="CU63">
        <f t="shared" si="78"/>
        <v>0</v>
      </c>
      <c r="CV63">
        <f t="shared" si="79"/>
        <v>0</v>
      </c>
      <c r="CW63">
        <f t="shared" si="80"/>
        <v>0</v>
      </c>
      <c r="CX63">
        <f t="shared" si="81"/>
        <v>0</v>
      </c>
      <c r="CY63">
        <f t="shared" si="82"/>
        <v>0</v>
      </c>
      <c r="CZ63">
        <f t="shared" si="83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57</v>
      </c>
      <c r="DW63" t="s">
        <v>57</v>
      </c>
      <c r="DX63">
        <v>1000</v>
      </c>
      <c r="EE63">
        <v>15139183</v>
      </c>
      <c r="EF63">
        <v>6</v>
      </c>
      <c r="EG63" t="s">
        <v>51</v>
      </c>
      <c r="EH63">
        <v>0</v>
      </c>
      <c r="EI63" t="s">
        <v>6</v>
      </c>
      <c r="EJ63">
        <v>1</v>
      </c>
      <c r="EK63">
        <v>61001</v>
      </c>
      <c r="EL63" t="s">
        <v>102</v>
      </c>
      <c r="EM63" t="s">
        <v>103</v>
      </c>
      <c r="EO63" t="s">
        <v>6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84"/>
        <v>0</v>
      </c>
      <c r="FS63">
        <v>0</v>
      </c>
      <c r="FX63">
        <v>79</v>
      </c>
      <c r="FY63">
        <v>50</v>
      </c>
      <c r="GA63" t="s">
        <v>6</v>
      </c>
      <c r="GD63">
        <v>0</v>
      </c>
      <c r="GF63">
        <v>-179832266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5"/>
        <v>0</v>
      </c>
      <c r="GM63">
        <f t="shared" si="86"/>
        <v>0</v>
      </c>
      <c r="GN63">
        <f t="shared" si="87"/>
        <v>0</v>
      </c>
      <c r="GO63">
        <f t="shared" si="88"/>
        <v>0</v>
      </c>
      <c r="GP63">
        <f t="shared" si="89"/>
        <v>0</v>
      </c>
      <c r="GR63">
        <v>0</v>
      </c>
      <c r="GS63">
        <v>3</v>
      </c>
      <c r="GT63">
        <v>0</v>
      </c>
      <c r="GU63" t="s">
        <v>6</v>
      </c>
      <c r="GV63">
        <f t="shared" si="90"/>
        <v>0</v>
      </c>
      <c r="GW63">
        <v>1</v>
      </c>
      <c r="GX63">
        <f t="shared" si="91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ROW(SmtRes!A111)</f>
        <v>111</v>
      </c>
      <c r="D64" s="2">
        <f>ROW(EtalonRes!A98)</f>
        <v>98</v>
      </c>
      <c r="E64" s="2" t="s">
        <v>105</v>
      </c>
      <c r="F64" s="2" t="s">
        <v>106</v>
      </c>
      <c r="G64" s="2" t="s">
        <v>107</v>
      </c>
      <c r="H64" s="2" t="s">
        <v>16</v>
      </c>
      <c r="I64" s="2">
        <f>ROUND(13.46/100,9)</f>
        <v>0.1346</v>
      </c>
      <c r="J64" s="2">
        <v>0</v>
      </c>
      <c r="K64" s="2"/>
      <c r="L64" s="2"/>
      <c r="M64" s="2"/>
      <c r="N64" s="2"/>
      <c r="O64" s="2">
        <f t="shared" si="53"/>
        <v>102.16</v>
      </c>
      <c r="P64" s="2">
        <f t="shared" si="54"/>
        <v>66.790000000000006</v>
      </c>
      <c r="Q64" s="2">
        <f t="shared" si="55"/>
        <v>0.95</v>
      </c>
      <c r="R64" s="2">
        <f t="shared" si="56"/>
        <v>0.28000000000000003</v>
      </c>
      <c r="S64" s="2">
        <f t="shared" si="57"/>
        <v>34.42</v>
      </c>
      <c r="T64" s="2">
        <f t="shared" si="58"/>
        <v>0</v>
      </c>
      <c r="U64" s="2">
        <f t="shared" si="59"/>
        <v>3.9841600000000001</v>
      </c>
      <c r="V64" s="2">
        <f t="shared" si="60"/>
        <v>2.1536E-2</v>
      </c>
      <c r="W64" s="2">
        <f t="shared" si="61"/>
        <v>0</v>
      </c>
      <c r="X64" s="2">
        <f t="shared" si="62"/>
        <v>27.76</v>
      </c>
      <c r="Y64" s="2">
        <f t="shared" si="63"/>
        <v>17.350000000000001</v>
      </c>
      <c r="Z64" s="2"/>
      <c r="AA64" s="2">
        <v>16481133</v>
      </c>
      <c r="AB64" s="2">
        <f t="shared" si="64"/>
        <v>759.03</v>
      </c>
      <c r="AC64" s="2">
        <f t="shared" si="65"/>
        <v>496.22</v>
      </c>
      <c r="AD64" s="2">
        <f t="shared" si="66"/>
        <v>7.07</v>
      </c>
      <c r="AE64" s="2">
        <f t="shared" si="67"/>
        <v>2.0499999999999998</v>
      </c>
      <c r="AF64" s="2">
        <f t="shared" si="68"/>
        <v>255.74</v>
      </c>
      <c r="AG64" s="2">
        <f t="shared" si="69"/>
        <v>0</v>
      </c>
      <c r="AH64" s="2">
        <f t="shared" si="70"/>
        <v>29.6</v>
      </c>
      <c r="AI64" s="2">
        <f t="shared" si="71"/>
        <v>0.16</v>
      </c>
      <c r="AJ64" s="2">
        <f t="shared" si="72"/>
        <v>0</v>
      </c>
      <c r="AK64" s="2">
        <v>759.03</v>
      </c>
      <c r="AL64" s="2">
        <v>496.22</v>
      </c>
      <c r="AM64" s="2">
        <v>7.07</v>
      </c>
      <c r="AN64" s="2">
        <v>2.0499999999999998</v>
      </c>
      <c r="AO64" s="2">
        <v>255.74</v>
      </c>
      <c r="AP64" s="2">
        <v>0</v>
      </c>
      <c r="AQ64" s="2">
        <v>29.6</v>
      </c>
      <c r="AR64" s="2">
        <v>0.16</v>
      </c>
      <c r="AS64" s="2">
        <v>0</v>
      </c>
      <c r="AT64" s="2">
        <v>80</v>
      </c>
      <c r="AU64" s="2">
        <v>50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108</v>
      </c>
      <c r="BK64" s="2"/>
      <c r="BL64" s="2"/>
      <c r="BM64" s="2">
        <v>62001</v>
      </c>
      <c r="BN64" s="2">
        <v>0</v>
      </c>
      <c r="BO64" s="2" t="s">
        <v>6</v>
      </c>
      <c r="BP64" s="2">
        <v>0</v>
      </c>
      <c r="BQ64" s="2">
        <v>6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80</v>
      </c>
      <c r="CA64" s="2">
        <v>50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si="73"/>
        <v>102.16000000000001</v>
      </c>
      <c r="CQ64" s="2">
        <f t="shared" si="74"/>
        <v>496.22</v>
      </c>
      <c r="CR64" s="2">
        <f t="shared" si="75"/>
        <v>7.07</v>
      </c>
      <c r="CS64" s="2">
        <f t="shared" si="76"/>
        <v>2.0499999999999998</v>
      </c>
      <c r="CT64" s="2">
        <f t="shared" si="77"/>
        <v>255.74</v>
      </c>
      <c r="CU64" s="2">
        <f t="shared" si="78"/>
        <v>0</v>
      </c>
      <c r="CV64" s="2">
        <f t="shared" si="79"/>
        <v>29.6</v>
      </c>
      <c r="CW64" s="2">
        <f t="shared" si="80"/>
        <v>0.16</v>
      </c>
      <c r="CX64" s="2">
        <f t="shared" si="81"/>
        <v>0</v>
      </c>
      <c r="CY64" s="2">
        <f t="shared" si="82"/>
        <v>27.76</v>
      </c>
      <c r="CZ64" s="2">
        <f t="shared" si="83"/>
        <v>17.350000000000001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16</v>
      </c>
      <c r="DW64" s="2" t="s">
        <v>16</v>
      </c>
      <c r="DX64" s="2">
        <v>100</v>
      </c>
      <c r="DY64" s="2"/>
      <c r="DZ64" s="2"/>
      <c r="EA64" s="2"/>
      <c r="EB64" s="2"/>
      <c r="EC64" s="2"/>
      <c r="ED64" s="2"/>
      <c r="EE64" s="2">
        <v>15139184</v>
      </c>
      <c r="EF64" s="2">
        <v>6</v>
      </c>
      <c r="EG64" s="2" t="s">
        <v>51</v>
      </c>
      <c r="EH64" s="2">
        <v>0</v>
      </c>
      <c r="EI64" s="2" t="s">
        <v>6</v>
      </c>
      <c r="EJ64" s="2">
        <v>1</v>
      </c>
      <c r="EK64" s="2">
        <v>62001</v>
      </c>
      <c r="EL64" s="2" t="s">
        <v>109</v>
      </c>
      <c r="EM64" s="2" t="s">
        <v>110</v>
      </c>
      <c r="EN64" s="2"/>
      <c r="EO64" s="2" t="s">
        <v>6</v>
      </c>
      <c r="EP64" s="2"/>
      <c r="EQ64" s="2">
        <v>0</v>
      </c>
      <c r="ER64" s="2">
        <v>759.03</v>
      </c>
      <c r="ES64" s="2">
        <v>496.22</v>
      </c>
      <c r="ET64" s="2">
        <v>7.07</v>
      </c>
      <c r="EU64" s="2">
        <v>2.0499999999999998</v>
      </c>
      <c r="EV64" s="2">
        <v>255.74</v>
      </c>
      <c r="EW64" s="2">
        <v>29.6</v>
      </c>
      <c r="EX64" s="2">
        <v>0.16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4"/>
        <v>0</v>
      </c>
      <c r="FS64" s="2">
        <v>0</v>
      </c>
      <c r="FT64" s="2"/>
      <c r="FU64" s="2"/>
      <c r="FV64" s="2"/>
      <c r="FW64" s="2"/>
      <c r="FX64" s="2">
        <v>80</v>
      </c>
      <c r="FY64" s="2">
        <v>50</v>
      </c>
      <c r="FZ64" s="2"/>
      <c r="GA64" s="2" t="s">
        <v>6</v>
      </c>
      <c r="GB64" s="2"/>
      <c r="GC64" s="2"/>
      <c r="GD64" s="2">
        <v>0</v>
      </c>
      <c r="GE64" s="2"/>
      <c r="GF64" s="2">
        <v>-1358915023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5"/>
        <v>0</v>
      </c>
      <c r="GM64" s="2">
        <f t="shared" si="86"/>
        <v>147.27000000000001</v>
      </c>
      <c r="GN64" s="2">
        <f t="shared" si="87"/>
        <v>147.27000000000001</v>
      </c>
      <c r="GO64" s="2">
        <f t="shared" si="88"/>
        <v>0</v>
      </c>
      <c r="GP64" s="2">
        <f t="shared" si="89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90"/>
        <v>0</v>
      </c>
      <c r="GW64" s="2">
        <v>1</v>
      </c>
      <c r="GX64" s="2">
        <f t="shared" si="91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ROW(SmtRes!A124)</f>
        <v>124</v>
      </c>
      <c r="D65">
        <f>ROW(EtalonRes!A110)</f>
        <v>110</v>
      </c>
      <c r="E65" t="s">
        <v>105</v>
      </c>
      <c r="F65" t="s">
        <v>106</v>
      </c>
      <c r="G65" t="s">
        <v>107</v>
      </c>
      <c r="H65" t="s">
        <v>16</v>
      </c>
      <c r="I65">
        <f>ROUND(13.46/100,9)</f>
        <v>0.1346</v>
      </c>
      <c r="J65">
        <v>0</v>
      </c>
      <c r="O65">
        <f t="shared" si="53"/>
        <v>611.97</v>
      </c>
      <c r="P65">
        <f t="shared" si="54"/>
        <v>400.08</v>
      </c>
      <c r="Q65">
        <f t="shared" si="55"/>
        <v>5.7</v>
      </c>
      <c r="R65">
        <f t="shared" si="56"/>
        <v>1.65</v>
      </c>
      <c r="S65">
        <f t="shared" si="57"/>
        <v>206.19</v>
      </c>
      <c r="T65">
        <f t="shared" si="58"/>
        <v>0</v>
      </c>
      <c r="U65">
        <f t="shared" si="59"/>
        <v>3.9841600000000001</v>
      </c>
      <c r="V65">
        <f t="shared" si="60"/>
        <v>2.1536E-2</v>
      </c>
      <c r="W65">
        <f t="shared" si="61"/>
        <v>0</v>
      </c>
      <c r="X65">
        <f t="shared" si="62"/>
        <v>166.27</v>
      </c>
      <c r="Y65">
        <f t="shared" si="63"/>
        <v>103.92</v>
      </c>
      <c r="AA65">
        <v>16481134</v>
      </c>
      <c r="AB65">
        <f t="shared" si="64"/>
        <v>759.03</v>
      </c>
      <c r="AC65">
        <f t="shared" si="65"/>
        <v>496.22</v>
      </c>
      <c r="AD65">
        <f t="shared" si="66"/>
        <v>7.07</v>
      </c>
      <c r="AE65">
        <f t="shared" si="67"/>
        <v>2.0499999999999998</v>
      </c>
      <c r="AF65">
        <f t="shared" si="68"/>
        <v>255.74</v>
      </c>
      <c r="AG65">
        <f t="shared" si="69"/>
        <v>0</v>
      </c>
      <c r="AH65">
        <f t="shared" si="70"/>
        <v>29.6</v>
      </c>
      <c r="AI65">
        <f t="shared" si="71"/>
        <v>0.16</v>
      </c>
      <c r="AJ65">
        <f t="shared" si="72"/>
        <v>0</v>
      </c>
      <c r="AK65">
        <v>759.03</v>
      </c>
      <c r="AL65">
        <v>496.22</v>
      </c>
      <c r="AM65">
        <v>7.07</v>
      </c>
      <c r="AN65">
        <v>2.0499999999999998</v>
      </c>
      <c r="AO65">
        <v>255.74</v>
      </c>
      <c r="AP65">
        <v>0</v>
      </c>
      <c r="AQ65">
        <v>29.6</v>
      </c>
      <c r="AR65">
        <v>0.16</v>
      </c>
      <c r="AS65">
        <v>0</v>
      </c>
      <c r="AT65">
        <v>80</v>
      </c>
      <c r="AU65">
        <v>50</v>
      </c>
      <c r="AV65">
        <v>1</v>
      </c>
      <c r="AW65">
        <v>1</v>
      </c>
      <c r="AZ65">
        <v>5.99</v>
      </c>
      <c r="BA65">
        <v>5.99</v>
      </c>
      <c r="BB65">
        <v>5.99</v>
      </c>
      <c r="BC65">
        <v>5.99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108</v>
      </c>
      <c r="BM65">
        <v>62001</v>
      </c>
      <c r="BN65">
        <v>0</v>
      </c>
      <c r="BO65" t="s">
        <v>6</v>
      </c>
      <c r="BP65">
        <v>0</v>
      </c>
      <c r="BQ65">
        <v>6</v>
      </c>
      <c r="BR65">
        <v>0</v>
      </c>
      <c r="BS65">
        <v>5.99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80</v>
      </c>
      <c r="CA65">
        <v>50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73"/>
        <v>611.97</v>
      </c>
      <c r="CQ65">
        <f t="shared" si="74"/>
        <v>2972.3578000000002</v>
      </c>
      <c r="CR65">
        <f t="shared" si="75"/>
        <v>42.349300000000007</v>
      </c>
      <c r="CS65">
        <f t="shared" si="76"/>
        <v>12.279499999999999</v>
      </c>
      <c r="CT65">
        <f t="shared" si="77"/>
        <v>1531.8826000000001</v>
      </c>
      <c r="CU65">
        <f t="shared" si="78"/>
        <v>0</v>
      </c>
      <c r="CV65">
        <f t="shared" si="79"/>
        <v>29.6</v>
      </c>
      <c r="CW65">
        <f t="shared" si="80"/>
        <v>0.16</v>
      </c>
      <c r="CX65">
        <f t="shared" si="81"/>
        <v>0</v>
      </c>
      <c r="CY65">
        <f t="shared" si="82"/>
        <v>166.27200000000002</v>
      </c>
      <c r="CZ65">
        <f t="shared" si="83"/>
        <v>103.92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16</v>
      </c>
      <c r="DW65" t="s">
        <v>16</v>
      </c>
      <c r="DX65">
        <v>100</v>
      </c>
      <c r="EE65">
        <v>15139184</v>
      </c>
      <c r="EF65">
        <v>6</v>
      </c>
      <c r="EG65" t="s">
        <v>51</v>
      </c>
      <c r="EH65">
        <v>0</v>
      </c>
      <c r="EI65" t="s">
        <v>6</v>
      </c>
      <c r="EJ65">
        <v>1</v>
      </c>
      <c r="EK65">
        <v>62001</v>
      </c>
      <c r="EL65" t="s">
        <v>109</v>
      </c>
      <c r="EM65" t="s">
        <v>110</v>
      </c>
      <c r="EO65" t="s">
        <v>6</v>
      </c>
      <c r="EQ65">
        <v>0</v>
      </c>
      <c r="ER65">
        <v>759.03</v>
      </c>
      <c r="ES65">
        <v>496.22</v>
      </c>
      <c r="ET65">
        <v>7.07</v>
      </c>
      <c r="EU65">
        <v>2.0499999999999998</v>
      </c>
      <c r="EV65">
        <v>255.74</v>
      </c>
      <c r="EW65">
        <v>29.6</v>
      </c>
      <c r="EX65">
        <v>0.16</v>
      </c>
      <c r="EY65">
        <v>0</v>
      </c>
      <c r="FQ65">
        <v>0</v>
      </c>
      <c r="FR65">
        <f t="shared" si="84"/>
        <v>0</v>
      </c>
      <c r="FS65">
        <v>0</v>
      </c>
      <c r="FX65">
        <v>80</v>
      </c>
      <c r="FY65">
        <v>50</v>
      </c>
      <c r="GA65" t="s">
        <v>6</v>
      </c>
      <c r="GD65">
        <v>0</v>
      </c>
      <c r="GF65">
        <v>-1358915023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5"/>
        <v>0</v>
      </c>
      <c r="GM65">
        <f t="shared" si="86"/>
        <v>882.16</v>
      </c>
      <c r="GN65">
        <f t="shared" si="87"/>
        <v>882.16</v>
      </c>
      <c r="GO65">
        <f t="shared" si="88"/>
        <v>0</v>
      </c>
      <c r="GP65">
        <f t="shared" si="89"/>
        <v>0</v>
      </c>
      <c r="GR65">
        <v>0</v>
      </c>
      <c r="GS65">
        <v>3</v>
      </c>
      <c r="GT65">
        <v>0</v>
      </c>
      <c r="GU65" t="s">
        <v>6</v>
      </c>
      <c r="GV65">
        <f t="shared" si="90"/>
        <v>0</v>
      </c>
      <c r="GW65">
        <v>1</v>
      </c>
      <c r="GX65">
        <f t="shared" si="91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109</v>
      </c>
      <c r="D66" s="2"/>
      <c r="E66" s="2" t="s">
        <v>111</v>
      </c>
      <c r="F66" s="2" t="s">
        <v>112</v>
      </c>
      <c r="G66" s="2" t="s">
        <v>113</v>
      </c>
      <c r="H66" s="2" t="s">
        <v>57</v>
      </c>
      <c r="I66" s="2">
        <f>I64*J66</f>
        <v>9.5569999999999995E-3</v>
      </c>
      <c r="J66" s="2">
        <v>7.1002971768202083E-2</v>
      </c>
      <c r="K66" s="2"/>
      <c r="L66" s="2"/>
      <c r="M66" s="2"/>
      <c r="N66" s="2"/>
      <c r="O66" s="2">
        <f t="shared" si="53"/>
        <v>0</v>
      </c>
      <c r="P66" s="2">
        <f t="shared" si="54"/>
        <v>0</v>
      </c>
      <c r="Q66" s="2">
        <f t="shared" si="55"/>
        <v>0</v>
      </c>
      <c r="R66" s="2">
        <f t="shared" si="56"/>
        <v>0</v>
      </c>
      <c r="S66" s="2">
        <f t="shared" si="57"/>
        <v>0</v>
      </c>
      <c r="T66" s="2">
        <f t="shared" si="58"/>
        <v>0</v>
      </c>
      <c r="U66" s="2">
        <f t="shared" si="59"/>
        <v>0</v>
      </c>
      <c r="V66" s="2">
        <f t="shared" si="60"/>
        <v>0</v>
      </c>
      <c r="W66" s="2">
        <f t="shared" si="61"/>
        <v>0</v>
      </c>
      <c r="X66" s="2">
        <f t="shared" si="62"/>
        <v>0</v>
      </c>
      <c r="Y66" s="2">
        <f t="shared" si="63"/>
        <v>0</v>
      </c>
      <c r="Z66" s="2"/>
      <c r="AA66" s="2">
        <v>16481133</v>
      </c>
      <c r="AB66" s="2">
        <f t="shared" si="64"/>
        <v>0</v>
      </c>
      <c r="AC66" s="2">
        <f t="shared" si="65"/>
        <v>0</v>
      </c>
      <c r="AD66" s="2">
        <f t="shared" si="66"/>
        <v>0</v>
      </c>
      <c r="AE66" s="2">
        <f t="shared" si="67"/>
        <v>0</v>
      </c>
      <c r="AF66" s="2">
        <f t="shared" si="68"/>
        <v>0</v>
      </c>
      <c r="AG66" s="2">
        <f t="shared" si="69"/>
        <v>0</v>
      </c>
      <c r="AH66" s="2">
        <f t="shared" si="70"/>
        <v>0</v>
      </c>
      <c r="AI66" s="2">
        <f t="shared" si="71"/>
        <v>0</v>
      </c>
      <c r="AJ66" s="2">
        <f t="shared" si="72"/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80</v>
      </c>
      <c r="AU66" s="2">
        <v>50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3</v>
      </c>
      <c r="BI66" s="2">
        <v>1</v>
      </c>
      <c r="BJ66" s="2" t="s">
        <v>6</v>
      </c>
      <c r="BK66" s="2"/>
      <c r="BL66" s="2"/>
      <c r="BM66" s="2">
        <v>62001</v>
      </c>
      <c r="BN66" s="2">
        <v>0</v>
      </c>
      <c r="BO66" s="2" t="s">
        <v>6</v>
      </c>
      <c r="BP66" s="2">
        <v>0</v>
      </c>
      <c r="BQ66" s="2">
        <v>6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80</v>
      </c>
      <c r="CA66" s="2">
        <v>50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73"/>
        <v>0</v>
      </c>
      <c r="CQ66" s="2">
        <f t="shared" si="74"/>
        <v>0</v>
      </c>
      <c r="CR66" s="2">
        <f t="shared" si="75"/>
        <v>0</v>
      </c>
      <c r="CS66" s="2">
        <f t="shared" si="76"/>
        <v>0</v>
      </c>
      <c r="CT66" s="2">
        <f t="shared" si="77"/>
        <v>0</v>
      </c>
      <c r="CU66" s="2">
        <f t="shared" si="78"/>
        <v>0</v>
      </c>
      <c r="CV66" s="2">
        <f t="shared" si="79"/>
        <v>0</v>
      </c>
      <c r="CW66" s="2">
        <f t="shared" si="80"/>
        <v>0</v>
      </c>
      <c r="CX66" s="2">
        <f t="shared" si="81"/>
        <v>0</v>
      </c>
      <c r="CY66" s="2">
        <f t="shared" si="82"/>
        <v>0</v>
      </c>
      <c r="CZ66" s="2">
        <f t="shared" si="83"/>
        <v>0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1009</v>
      </c>
      <c r="DV66" s="2" t="s">
        <v>57</v>
      </c>
      <c r="DW66" s="2" t="s">
        <v>57</v>
      </c>
      <c r="DX66" s="2">
        <v>1000</v>
      </c>
      <c r="DY66" s="2"/>
      <c r="DZ66" s="2"/>
      <c r="EA66" s="2"/>
      <c r="EB66" s="2"/>
      <c r="EC66" s="2"/>
      <c r="ED66" s="2"/>
      <c r="EE66" s="2">
        <v>15139184</v>
      </c>
      <c r="EF66" s="2">
        <v>6</v>
      </c>
      <c r="EG66" s="2" t="s">
        <v>51</v>
      </c>
      <c r="EH66" s="2">
        <v>0</v>
      </c>
      <c r="EI66" s="2" t="s">
        <v>6</v>
      </c>
      <c r="EJ66" s="2">
        <v>1</v>
      </c>
      <c r="EK66" s="2">
        <v>62001</v>
      </c>
      <c r="EL66" s="2" t="s">
        <v>109</v>
      </c>
      <c r="EM66" s="2" t="s">
        <v>110</v>
      </c>
      <c r="EN66" s="2"/>
      <c r="EO66" s="2" t="s">
        <v>6</v>
      </c>
      <c r="EP66" s="2"/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4"/>
        <v>0</v>
      </c>
      <c r="FS66" s="2">
        <v>0</v>
      </c>
      <c r="FT66" s="2"/>
      <c r="FU66" s="2"/>
      <c r="FV66" s="2"/>
      <c r="FW66" s="2"/>
      <c r="FX66" s="2">
        <v>80</v>
      </c>
      <c r="FY66" s="2">
        <v>50</v>
      </c>
      <c r="FZ66" s="2"/>
      <c r="GA66" s="2" t="s">
        <v>6</v>
      </c>
      <c r="GB66" s="2"/>
      <c r="GC66" s="2"/>
      <c r="GD66" s="2">
        <v>0</v>
      </c>
      <c r="GE66" s="2"/>
      <c r="GF66" s="2">
        <v>1891904026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5"/>
        <v>0</v>
      </c>
      <c r="GM66" s="2">
        <f t="shared" si="86"/>
        <v>0</v>
      </c>
      <c r="GN66" s="2">
        <f t="shared" si="87"/>
        <v>0</v>
      </c>
      <c r="GO66" s="2">
        <f t="shared" si="88"/>
        <v>0</v>
      </c>
      <c r="GP66" s="2">
        <f t="shared" si="89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90"/>
        <v>0</v>
      </c>
      <c r="GW66" s="2">
        <v>1</v>
      </c>
      <c r="GX66" s="2">
        <f t="shared" si="91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122</v>
      </c>
      <c r="E67" t="s">
        <v>111</v>
      </c>
      <c r="F67" t="s">
        <v>112</v>
      </c>
      <c r="G67" t="s">
        <v>113</v>
      </c>
      <c r="H67" t="s">
        <v>57</v>
      </c>
      <c r="I67">
        <f>I65*J67</f>
        <v>9.5569999999999995E-3</v>
      </c>
      <c r="J67">
        <v>7.1002971768202083E-2</v>
      </c>
      <c r="O67">
        <f t="shared" si="53"/>
        <v>0</v>
      </c>
      <c r="P67">
        <f t="shared" si="54"/>
        <v>0</v>
      </c>
      <c r="Q67">
        <f t="shared" si="55"/>
        <v>0</v>
      </c>
      <c r="R67">
        <f t="shared" si="56"/>
        <v>0</v>
      </c>
      <c r="S67">
        <f t="shared" si="57"/>
        <v>0</v>
      </c>
      <c r="T67">
        <f t="shared" si="58"/>
        <v>0</v>
      </c>
      <c r="U67">
        <f t="shared" si="59"/>
        <v>0</v>
      </c>
      <c r="V67">
        <f t="shared" si="60"/>
        <v>0</v>
      </c>
      <c r="W67">
        <f t="shared" si="61"/>
        <v>0</v>
      </c>
      <c r="X67">
        <f t="shared" si="62"/>
        <v>0</v>
      </c>
      <c r="Y67">
        <f t="shared" si="63"/>
        <v>0</v>
      </c>
      <c r="AA67">
        <v>16481134</v>
      </c>
      <c r="AB67">
        <f t="shared" si="64"/>
        <v>0</v>
      </c>
      <c r="AC67">
        <f t="shared" si="65"/>
        <v>0</v>
      </c>
      <c r="AD67">
        <f t="shared" si="66"/>
        <v>0</v>
      </c>
      <c r="AE67">
        <f t="shared" si="67"/>
        <v>0</v>
      </c>
      <c r="AF67">
        <f t="shared" si="68"/>
        <v>0</v>
      </c>
      <c r="AG67">
        <f t="shared" si="69"/>
        <v>0</v>
      </c>
      <c r="AH67">
        <f t="shared" si="70"/>
        <v>0</v>
      </c>
      <c r="AI67">
        <f t="shared" si="71"/>
        <v>0</v>
      </c>
      <c r="AJ67">
        <f t="shared" si="72"/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80</v>
      </c>
      <c r="AU67">
        <v>50</v>
      </c>
      <c r="AV67">
        <v>1</v>
      </c>
      <c r="AW67">
        <v>1</v>
      </c>
      <c r="AZ67">
        <v>5.99</v>
      </c>
      <c r="BA67">
        <v>1</v>
      </c>
      <c r="BB67">
        <v>1</v>
      </c>
      <c r="BC67">
        <v>5.99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6</v>
      </c>
      <c r="BM67">
        <v>62001</v>
      </c>
      <c r="BN67">
        <v>0</v>
      </c>
      <c r="BO67" t="s">
        <v>6</v>
      </c>
      <c r="BP67">
        <v>0</v>
      </c>
      <c r="BQ67">
        <v>6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80</v>
      </c>
      <c r="CA67">
        <v>50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73"/>
        <v>0</v>
      </c>
      <c r="CQ67">
        <f t="shared" si="74"/>
        <v>0</v>
      </c>
      <c r="CR67">
        <f t="shared" si="75"/>
        <v>0</v>
      </c>
      <c r="CS67">
        <f t="shared" si="76"/>
        <v>0</v>
      </c>
      <c r="CT67">
        <f t="shared" si="77"/>
        <v>0</v>
      </c>
      <c r="CU67">
        <f t="shared" si="78"/>
        <v>0</v>
      </c>
      <c r="CV67">
        <f t="shared" si="79"/>
        <v>0</v>
      </c>
      <c r="CW67">
        <f t="shared" si="80"/>
        <v>0</v>
      </c>
      <c r="CX67">
        <f t="shared" si="81"/>
        <v>0</v>
      </c>
      <c r="CY67">
        <f t="shared" si="82"/>
        <v>0</v>
      </c>
      <c r="CZ67">
        <f t="shared" si="83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1009</v>
      </c>
      <c r="DV67" t="s">
        <v>57</v>
      </c>
      <c r="DW67" t="s">
        <v>57</v>
      </c>
      <c r="DX67">
        <v>1000</v>
      </c>
      <c r="EE67">
        <v>15139184</v>
      </c>
      <c r="EF67">
        <v>6</v>
      </c>
      <c r="EG67" t="s">
        <v>51</v>
      </c>
      <c r="EH67">
        <v>0</v>
      </c>
      <c r="EI67" t="s">
        <v>6</v>
      </c>
      <c r="EJ67">
        <v>1</v>
      </c>
      <c r="EK67">
        <v>62001</v>
      </c>
      <c r="EL67" t="s">
        <v>109</v>
      </c>
      <c r="EM67" t="s">
        <v>110</v>
      </c>
      <c r="EO67" t="s">
        <v>6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4"/>
        <v>0</v>
      </c>
      <c r="FS67">
        <v>0</v>
      </c>
      <c r="FX67">
        <v>80</v>
      </c>
      <c r="FY67">
        <v>50</v>
      </c>
      <c r="GA67" t="s">
        <v>6</v>
      </c>
      <c r="GD67">
        <v>0</v>
      </c>
      <c r="GF67">
        <v>1891904026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5"/>
        <v>0</v>
      </c>
      <c r="GM67">
        <f t="shared" si="86"/>
        <v>0</v>
      </c>
      <c r="GN67">
        <f t="shared" si="87"/>
        <v>0</v>
      </c>
      <c r="GO67">
        <f t="shared" si="88"/>
        <v>0</v>
      </c>
      <c r="GP67">
        <f t="shared" si="89"/>
        <v>0</v>
      </c>
      <c r="GR67">
        <v>0</v>
      </c>
      <c r="GS67">
        <v>3</v>
      </c>
      <c r="GT67">
        <v>0</v>
      </c>
      <c r="GU67" t="s">
        <v>6</v>
      </c>
      <c r="GV67">
        <f t="shared" si="90"/>
        <v>0</v>
      </c>
      <c r="GW67">
        <v>1</v>
      </c>
      <c r="GX67">
        <f t="shared" si="91"/>
        <v>0</v>
      </c>
      <c r="HA67">
        <v>0</v>
      </c>
      <c r="HB67"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110</v>
      </c>
      <c r="D68" s="2"/>
      <c r="E68" s="2" t="s">
        <v>114</v>
      </c>
      <c r="F68" s="2" t="s">
        <v>115</v>
      </c>
      <c r="G68" s="2" t="s">
        <v>116</v>
      </c>
      <c r="H68" s="2" t="s">
        <v>57</v>
      </c>
      <c r="I68" s="2">
        <f>I64*J68</f>
        <v>9.5569999999999995E-3</v>
      </c>
      <c r="J68" s="2">
        <v>7.1002971768202083E-2</v>
      </c>
      <c r="K68" s="2"/>
      <c r="L68" s="2"/>
      <c r="M68" s="2"/>
      <c r="N68" s="2"/>
      <c r="O68" s="2">
        <f t="shared" si="53"/>
        <v>190.89</v>
      </c>
      <c r="P68" s="2">
        <f t="shared" si="54"/>
        <v>190.89</v>
      </c>
      <c r="Q68" s="2">
        <f t="shared" si="55"/>
        <v>0</v>
      </c>
      <c r="R68" s="2">
        <f t="shared" si="56"/>
        <v>0</v>
      </c>
      <c r="S68" s="2">
        <f t="shared" si="57"/>
        <v>0</v>
      </c>
      <c r="T68" s="2">
        <f t="shared" si="58"/>
        <v>0</v>
      </c>
      <c r="U68" s="2">
        <f t="shared" si="59"/>
        <v>0</v>
      </c>
      <c r="V68" s="2">
        <f t="shared" si="60"/>
        <v>0</v>
      </c>
      <c r="W68" s="2">
        <f t="shared" si="61"/>
        <v>0</v>
      </c>
      <c r="X68" s="2">
        <f t="shared" si="62"/>
        <v>0</v>
      </c>
      <c r="Y68" s="2">
        <f t="shared" si="63"/>
        <v>0</v>
      </c>
      <c r="Z68" s="2"/>
      <c r="AA68" s="2">
        <v>16481133</v>
      </c>
      <c r="AB68" s="2">
        <f t="shared" si="64"/>
        <v>19973.669999999998</v>
      </c>
      <c r="AC68" s="2">
        <f t="shared" si="65"/>
        <v>19973.669999999998</v>
      </c>
      <c r="AD68" s="2">
        <f t="shared" si="66"/>
        <v>0</v>
      </c>
      <c r="AE68" s="2">
        <f t="shared" si="67"/>
        <v>0</v>
      </c>
      <c r="AF68" s="2">
        <f t="shared" si="68"/>
        <v>0</v>
      </c>
      <c r="AG68" s="2">
        <f t="shared" si="69"/>
        <v>0</v>
      </c>
      <c r="AH68" s="2">
        <f t="shared" si="70"/>
        <v>0</v>
      </c>
      <c r="AI68" s="2">
        <f t="shared" si="71"/>
        <v>0</v>
      </c>
      <c r="AJ68" s="2">
        <f t="shared" si="72"/>
        <v>0</v>
      </c>
      <c r="AK68" s="2">
        <v>19973.669999999998</v>
      </c>
      <c r="AL68" s="2">
        <v>19973.669999999998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80</v>
      </c>
      <c r="AU68" s="2">
        <v>50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3</v>
      </c>
      <c r="BI68" s="2">
        <v>1</v>
      </c>
      <c r="BJ68" s="2" t="s">
        <v>117</v>
      </c>
      <c r="BK68" s="2"/>
      <c r="BL68" s="2"/>
      <c r="BM68" s="2">
        <v>62001</v>
      </c>
      <c r="BN68" s="2">
        <v>0</v>
      </c>
      <c r="BO68" s="2" t="s">
        <v>6</v>
      </c>
      <c r="BP68" s="2">
        <v>0</v>
      </c>
      <c r="BQ68" s="2">
        <v>6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80</v>
      </c>
      <c r="CA68" s="2">
        <v>50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73"/>
        <v>190.89</v>
      </c>
      <c r="CQ68" s="2">
        <f t="shared" si="74"/>
        <v>19973.669999999998</v>
      </c>
      <c r="CR68" s="2">
        <f t="shared" si="75"/>
        <v>0</v>
      </c>
      <c r="CS68" s="2">
        <f t="shared" si="76"/>
        <v>0</v>
      </c>
      <c r="CT68" s="2">
        <f t="shared" si="77"/>
        <v>0</v>
      </c>
      <c r="CU68" s="2">
        <f t="shared" si="78"/>
        <v>0</v>
      </c>
      <c r="CV68" s="2">
        <f t="shared" si="79"/>
        <v>0</v>
      </c>
      <c r="CW68" s="2">
        <f t="shared" si="80"/>
        <v>0</v>
      </c>
      <c r="CX68" s="2">
        <f t="shared" si="81"/>
        <v>0</v>
      </c>
      <c r="CY68" s="2">
        <f t="shared" si="82"/>
        <v>0</v>
      </c>
      <c r="CZ68" s="2">
        <f t="shared" si="83"/>
        <v>0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1009</v>
      </c>
      <c r="DV68" s="2" t="s">
        <v>57</v>
      </c>
      <c r="DW68" s="2" t="s">
        <v>57</v>
      </c>
      <c r="DX68" s="2">
        <v>1000</v>
      </c>
      <c r="DY68" s="2"/>
      <c r="DZ68" s="2"/>
      <c r="EA68" s="2"/>
      <c r="EB68" s="2"/>
      <c r="EC68" s="2"/>
      <c r="ED68" s="2"/>
      <c r="EE68" s="2">
        <v>15139184</v>
      </c>
      <c r="EF68" s="2">
        <v>6</v>
      </c>
      <c r="EG68" s="2" t="s">
        <v>51</v>
      </c>
      <c r="EH68" s="2">
        <v>0</v>
      </c>
      <c r="EI68" s="2" t="s">
        <v>6</v>
      </c>
      <c r="EJ68" s="2">
        <v>1</v>
      </c>
      <c r="EK68" s="2">
        <v>62001</v>
      </c>
      <c r="EL68" s="2" t="s">
        <v>109</v>
      </c>
      <c r="EM68" s="2" t="s">
        <v>110</v>
      </c>
      <c r="EN68" s="2"/>
      <c r="EO68" s="2" t="s">
        <v>6</v>
      </c>
      <c r="EP68" s="2"/>
      <c r="EQ68" s="2">
        <v>0</v>
      </c>
      <c r="ER68" s="2">
        <v>19973.669999999998</v>
      </c>
      <c r="ES68" s="2">
        <v>19973.669999999998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4"/>
        <v>0</v>
      </c>
      <c r="FS68" s="2">
        <v>0</v>
      </c>
      <c r="FT68" s="2"/>
      <c r="FU68" s="2"/>
      <c r="FV68" s="2"/>
      <c r="FW68" s="2"/>
      <c r="FX68" s="2">
        <v>80</v>
      </c>
      <c r="FY68" s="2">
        <v>50</v>
      </c>
      <c r="FZ68" s="2"/>
      <c r="GA68" s="2" t="s">
        <v>6</v>
      </c>
      <c r="GB68" s="2"/>
      <c r="GC68" s="2"/>
      <c r="GD68" s="2">
        <v>0</v>
      </c>
      <c r="GE68" s="2"/>
      <c r="GF68" s="2">
        <v>772632804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5"/>
        <v>0</v>
      </c>
      <c r="GM68" s="2">
        <f t="shared" si="86"/>
        <v>190.89</v>
      </c>
      <c r="GN68" s="2">
        <f t="shared" si="87"/>
        <v>190.89</v>
      </c>
      <c r="GO68" s="2">
        <f t="shared" si="88"/>
        <v>0</v>
      </c>
      <c r="GP68" s="2">
        <f t="shared" si="89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90"/>
        <v>0</v>
      </c>
      <c r="GW68" s="2">
        <v>1</v>
      </c>
      <c r="GX68" s="2">
        <f t="shared" si="91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123</v>
      </c>
      <c r="E69" t="s">
        <v>114</v>
      </c>
      <c r="F69" t="s">
        <v>115</v>
      </c>
      <c r="G69" t="s">
        <v>116</v>
      </c>
      <c r="H69" t="s">
        <v>57</v>
      </c>
      <c r="I69">
        <f>I65*J69</f>
        <v>9.5569999999999995E-3</v>
      </c>
      <c r="J69">
        <v>7.1002971768202083E-2</v>
      </c>
      <c r="O69">
        <f t="shared" si="53"/>
        <v>1143.42</v>
      </c>
      <c r="P69">
        <f t="shared" si="54"/>
        <v>1143.42</v>
      </c>
      <c r="Q69">
        <f t="shared" si="55"/>
        <v>0</v>
      </c>
      <c r="R69">
        <f t="shared" si="56"/>
        <v>0</v>
      </c>
      <c r="S69">
        <f t="shared" si="57"/>
        <v>0</v>
      </c>
      <c r="T69">
        <f t="shared" si="58"/>
        <v>0</v>
      </c>
      <c r="U69">
        <f t="shared" si="59"/>
        <v>0</v>
      </c>
      <c r="V69">
        <f t="shared" si="60"/>
        <v>0</v>
      </c>
      <c r="W69">
        <f t="shared" si="61"/>
        <v>0</v>
      </c>
      <c r="X69">
        <f t="shared" si="62"/>
        <v>0</v>
      </c>
      <c r="Y69">
        <f t="shared" si="63"/>
        <v>0</v>
      </c>
      <c r="AA69">
        <v>16481134</v>
      </c>
      <c r="AB69">
        <f t="shared" si="64"/>
        <v>19973.669999999998</v>
      </c>
      <c r="AC69">
        <f t="shared" si="65"/>
        <v>19973.669999999998</v>
      </c>
      <c r="AD69">
        <f t="shared" si="66"/>
        <v>0</v>
      </c>
      <c r="AE69">
        <f t="shared" si="67"/>
        <v>0</v>
      </c>
      <c r="AF69">
        <f t="shared" si="68"/>
        <v>0</v>
      </c>
      <c r="AG69">
        <f t="shared" si="69"/>
        <v>0</v>
      </c>
      <c r="AH69">
        <f t="shared" si="70"/>
        <v>0</v>
      </c>
      <c r="AI69">
        <f t="shared" si="71"/>
        <v>0</v>
      </c>
      <c r="AJ69">
        <f t="shared" si="72"/>
        <v>0</v>
      </c>
      <c r="AK69">
        <v>19973.669999999998</v>
      </c>
      <c r="AL69">
        <v>19973.669999999998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80</v>
      </c>
      <c r="AU69">
        <v>50</v>
      </c>
      <c r="AV69">
        <v>1</v>
      </c>
      <c r="AW69">
        <v>1</v>
      </c>
      <c r="AZ69">
        <v>5.99</v>
      </c>
      <c r="BA69">
        <v>1</v>
      </c>
      <c r="BB69">
        <v>1</v>
      </c>
      <c r="BC69">
        <v>5.99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1</v>
      </c>
      <c r="BJ69" t="s">
        <v>117</v>
      </c>
      <c r="BM69">
        <v>62001</v>
      </c>
      <c r="BN69">
        <v>0</v>
      </c>
      <c r="BO69" t="s">
        <v>6</v>
      </c>
      <c r="BP69">
        <v>0</v>
      </c>
      <c r="BQ69">
        <v>6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80</v>
      </c>
      <c r="CA69">
        <v>50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73"/>
        <v>1143.42</v>
      </c>
      <c r="CQ69">
        <f t="shared" si="74"/>
        <v>119642.2833</v>
      </c>
      <c r="CR69">
        <f t="shared" si="75"/>
        <v>0</v>
      </c>
      <c r="CS69">
        <f t="shared" si="76"/>
        <v>0</v>
      </c>
      <c r="CT69">
        <f t="shared" si="77"/>
        <v>0</v>
      </c>
      <c r="CU69">
        <f t="shared" si="78"/>
        <v>0</v>
      </c>
      <c r="CV69">
        <f t="shared" si="79"/>
        <v>0</v>
      </c>
      <c r="CW69">
        <f t="shared" si="80"/>
        <v>0</v>
      </c>
      <c r="CX69">
        <f t="shared" si="81"/>
        <v>0</v>
      </c>
      <c r="CY69">
        <f t="shared" si="82"/>
        <v>0</v>
      </c>
      <c r="CZ69">
        <f t="shared" si="83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1009</v>
      </c>
      <c r="DV69" t="s">
        <v>57</v>
      </c>
      <c r="DW69" t="s">
        <v>57</v>
      </c>
      <c r="DX69">
        <v>1000</v>
      </c>
      <c r="EE69">
        <v>15139184</v>
      </c>
      <c r="EF69">
        <v>6</v>
      </c>
      <c r="EG69" t="s">
        <v>51</v>
      </c>
      <c r="EH69">
        <v>0</v>
      </c>
      <c r="EI69" t="s">
        <v>6</v>
      </c>
      <c r="EJ69">
        <v>1</v>
      </c>
      <c r="EK69">
        <v>62001</v>
      </c>
      <c r="EL69" t="s">
        <v>109</v>
      </c>
      <c r="EM69" t="s">
        <v>110</v>
      </c>
      <c r="EO69" t="s">
        <v>6</v>
      </c>
      <c r="EQ69">
        <v>0</v>
      </c>
      <c r="ER69">
        <v>19973.669999999998</v>
      </c>
      <c r="ES69">
        <v>19973.669999999998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4"/>
        <v>0</v>
      </c>
      <c r="FS69">
        <v>0</v>
      </c>
      <c r="FX69">
        <v>80</v>
      </c>
      <c r="FY69">
        <v>50</v>
      </c>
      <c r="GA69" t="s">
        <v>6</v>
      </c>
      <c r="GD69">
        <v>0</v>
      </c>
      <c r="GF69">
        <v>772632804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5"/>
        <v>0</v>
      </c>
      <c r="GM69">
        <f t="shared" si="86"/>
        <v>1143.42</v>
      </c>
      <c r="GN69">
        <f t="shared" si="87"/>
        <v>1143.42</v>
      </c>
      <c r="GO69">
        <f t="shared" si="88"/>
        <v>0</v>
      </c>
      <c r="GP69">
        <f t="shared" si="89"/>
        <v>0</v>
      </c>
      <c r="GR69">
        <v>0</v>
      </c>
      <c r="GS69">
        <v>3</v>
      </c>
      <c r="GT69">
        <v>0</v>
      </c>
      <c r="GU69" t="s">
        <v>6</v>
      </c>
      <c r="GV69">
        <f t="shared" si="90"/>
        <v>0</v>
      </c>
      <c r="GW69">
        <v>1</v>
      </c>
      <c r="GX69">
        <f t="shared" si="91"/>
        <v>0</v>
      </c>
      <c r="HA69">
        <v>0</v>
      </c>
      <c r="HB69"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ROW(SmtRes!A129)</f>
        <v>129</v>
      </c>
      <c r="D70" s="2">
        <f>ROW(EtalonRes!A115)</f>
        <v>115</v>
      </c>
      <c r="E70" s="2" t="s">
        <v>118</v>
      </c>
      <c r="F70" s="2" t="s">
        <v>119</v>
      </c>
      <c r="G70" s="2" t="s">
        <v>120</v>
      </c>
      <c r="H70" s="2" t="s">
        <v>16</v>
      </c>
      <c r="I70" s="2">
        <f>ROUND(7.34/100,9)</f>
        <v>7.3400000000000007E-2</v>
      </c>
      <c r="J70" s="2">
        <v>0</v>
      </c>
      <c r="K70" s="2"/>
      <c r="L70" s="2"/>
      <c r="M70" s="2"/>
      <c r="N70" s="2"/>
      <c r="O70" s="2">
        <f t="shared" si="53"/>
        <v>204.55</v>
      </c>
      <c r="P70" s="2">
        <f t="shared" si="54"/>
        <v>83.69</v>
      </c>
      <c r="Q70" s="2">
        <f t="shared" si="55"/>
        <v>0.09</v>
      </c>
      <c r="R70" s="2">
        <f t="shared" si="56"/>
        <v>0</v>
      </c>
      <c r="S70" s="2">
        <f t="shared" si="57"/>
        <v>120.77</v>
      </c>
      <c r="T70" s="2">
        <f t="shared" si="58"/>
        <v>0</v>
      </c>
      <c r="U70" s="2">
        <f t="shared" si="59"/>
        <v>13.817550000000001</v>
      </c>
      <c r="V70" s="2">
        <f t="shared" si="60"/>
        <v>0</v>
      </c>
      <c r="W70" s="2">
        <f t="shared" si="61"/>
        <v>0</v>
      </c>
      <c r="X70" s="2">
        <f t="shared" si="62"/>
        <v>95.41</v>
      </c>
      <c r="Y70" s="2">
        <f t="shared" si="63"/>
        <v>60.39</v>
      </c>
      <c r="Z70" s="2"/>
      <c r="AA70" s="2">
        <v>16481133</v>
      </c>
      <c r="AB70" s="2">
        <f t="shared" si="64"/>
        <v>2786.77</v>
      </c>
      <c r="AC70" s="2">
        <f t="shared" si="65"/>
        <v>1140.25</v>
      </c>
      <c r="AD70" s="2">
        <f t="shared" si="66"/>
        <v>1.21</v>
      </c>
      <c r="AE70" s="2">
        <f t="shared" si="67"/>
        <v>0</v>
      </c>
      <c r="AF70" s="2">
        <f t="shared" si="68"/>
        <v>1645.31</v>
      </c>
      <c r="AG70" s="2">
        <f t="shared" si="69"/>
        <v>0</v>
      </c>
      <c r="AH70" s="2">
        <f t="shared" si="70"/>
        <v>188.25</v>
      </c>
      <c r="AI70" s="2">
        <f t="shared" si="71"/>
        <v>0</v>
      </c>
      <c r="AJ70" s="2">
        <f t="shared" si="72"/>
        <v>0</v>
      </c>
      <c r="AK70" s="2">
        <v>2786.77</v>
      </c>
      <c r="AL70" s="2">
        <v>1140.25</v>
      </c>
      <c r="AM70" s="2">
        <v>1.21</v>
      </c>
      <c r="AN70" s="2">
        <v>0</v>
      </c>
      <c r="AO70" s="2">
        <v>1645.31</v>
      </c>
      <c r="AP70" s="2">
        <v>0</v>
      </c>
      <c r="AQ70" s="2">
        <v>188.25</v>
      </c>
      <c r="AR70" s="2">
        <v>0</v>
      </c>
      <c r="AS70" s="2">
        <v>0</v>
      </c>
      <c r="AT70" s="2">
        <v>79</v>
      </c>
      <c r="AU70" s="2">
        <v>50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0</v>
      </c>
      <c r="BI70" s="2">
        <v>1</v>
      </c>
      <c r="BJ70" s="2" t="s">
        <v>121</v>
      </c>
      <c r="BK70" s="2"/>
      <c r="BL70" s="2"/>
      <c r="BM70" s="2">
        <v>61001</v>
      </c>
      <c r="BN70" s="2">
        <v>0</v>
      </c>
      <c r="BO70" s="2" t="s">
        <v>6</v>
      </c>
      <c r="BP70" s="2">
        <v>0</v>
      </c>
      <c r="BQ70" s="2">
        <v>6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79</v>
      </c>
      <c r="CA70" s="2">
        <v>50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73"/>
        <v>204.55</v>
      </c>
      <c r="CQ70" s="2">
        <f t="shared" si="74"/>
        <v>1140.25</v>
      </c>
      <c r="CR70" s="2">
        <f t="shared" si="75"/>
        <v>1.21</v>
      </c>
      <c r="CS70" s="2">
        <f t="shared" si="76"/>
        <v>0</v>
      </c>
      <c r="CT70" s="2">
        <f t="shared" si="77"/>
        <v>1645.31</v>
      </c>
      <c r="CU70" s="2">
        <f t="shared" si="78"/>
        <v>0</v>
      </c>
      <c r="CV70" s="2">
        <f t="shared" si="79"/>
        <v>188.25</v>
      </c>
      <c r="CW70" s="2">
        <f t="shared" si="80"/>
        <v>0</v>
      </c>
      <c r="CX70" s="2">
        <f t="shared" si="81"/>
        <v>0</v>
      </c>
      <c r="CY70" s="2">
        <f t="shared" si="82"/>
        <v>95.408299999999997</v>
      </c>
      <c r="CZ70" s="2">
        <f t="shared" si="83"/>
        <v>60.384999999999998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16</v>
      </c>
      <c r="DW70" s="2" t="s">
        <v>16</v>
      </c>
      <c r="DX70" s="2">
        <v>100</v>
      </c>
      <c r="DY70" s="2"/>
      <c r="DZ70" s="2"/>
      <c r="EA70" s="2"/>
      <c r="EB70" s="2"/>
      <c r="EC70" s="2"/>
      <c r="ED70" s="2"/>
      <c r="EE70" s="2">
        <v>15139183</v>
      </c>
      <c r="EF70" s="2">
        <v>6</v>
      </c>
      <c r="EG70" s="2" t="s">
        <v>51</v>
      </c>
      <c r="EH70" s="2">
        <v>0</v>
      </c>
      <c r="EI70" s="2" t="s">
        <v>6</v>
      </c>
      <c r="EJ70" s="2">
        <v>1</v>
      </c>
      <c r="EK70" s="2">
        <v>61001</v>
      </c>
      <c r="EL70" s="2" t="s">
        <v>102</v>
      </c>
      <c r="EM70" s="2" t="s">
        <v>103</v>
      </c>
      <c r="EN70" s="2"/>
      <c r="EO70" s="2" t="s">
        <v>6</v>
      </c>
      <c r="EP70" s="2"/>
      <c r="EQ70" s="2">
        <v>0</v>
      </c>
      <c r="ER70" s="2">
        <v>2786.77</v>
      </c>
      <c r="ES70" s="2">
        <v>1140.25</v>
      </c>
      <c r="ET70" s="2">
        <v>1.21</v>
      </c>
      <c r="EU70" s="2">
        <v>0</v>
      </c>
      <c r="EV70" s="2">
        <v>1645.31</v>
      </c>
      <c r="EW70" s="2">
        <v>188.25</v>
      </c>
      <c r="EX70" s="2">
        <v>0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4"/>
        <v>0</v>
      </c>
      <c r="FS70" s="2">
        <v>0</v>
      </c>
      <c r="FT70" s="2"/>
      <c r="FU70" s="2"/>
      <c r="FV70" s="2"/>
      <c r="FW70" s="2"/>
      <c r="FX70" s="2">
        <v>79</v>
      </c>
      <c r="FY70" s="2">
        <v>50</v>
      </c>
      <c r="FZ70" s="2"/>
      <c r="GA70" s="2" t="s">
        <v>6</v>
      </c>
      <c r="GB70" s="2"/>
      <c r="GC70" s="2"/>
      <c r="GD70" s="2">
        <v>0</v>
      </c>
      <c r="GE70" s="2"/>
      <c r="GF70" s="2">
        <v>1088305754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5"/>
        <v>0</v>
      </c>
      <c r="GM70" s="2">
        <f t="shared" si="86"/>
        <v>360.35</v>
      </c>
      <c r="GN70" s="2">
        <f t="shared" si="87"/>
        <v>360.35</v>
      </c>
      <c r="GO70" s="2">
        <f t="shared" si="88"/>
        <v>0</v>
      </c>
      <c r="GP70" s="2">
        <f t="shared" si="89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90"/>
        <v>0</v>
      </c>
      <c r="GW70" s="2">
        <v>1</v>
      </c>
      <c r="GX70" s="2">
        <f t="shared" si="91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ROW(SmtRes!A134)</f>
        <v>134</v>
      </c>
      <c r="D71">
        <f>ROW(EtalonRes!A120)</f>
        <v>120</v>
      </c>
      <c r="E71" t="s">
        <v>118</v>
      </c>
      <c r="F71" t="s">
        <v>119</v>
      </c>
      <c r="G71" t="s">
        <v>120</v>
      </c>
      <c r="H71" t="s">
        <v>16</v>
      </c>
      <c r="I71">
        <f>ROUND(7.34/100,9)</f>
        <v>7.3400000000000007E-2</v>
      </c>
      <c r="J71">
        <v>0</v>
      </c>
      <c r="O71">
        <f t="shared" si="53"/>
        <v>1225.25</v>
      </c>
      <c r="P71">
        <f t="shared" si="54"/>
        <v>501.33</v>
      </c>
      <c r="Q71">
        <f t="shared" si="55"/>
        <v>0.53</v>
      </c>
      <c r="R71">
        <f t="shared" si="56"/>
        <v>0</v>
      </c>
      <c r="S71">
        <f t="shared" si="57"/>
        <v>723.39</v>
      </c>
      <c r="T71">
        <f t="shared" si="58"/>
        <v>0</v>
      </c>
      <c r="U71">
        <f t="shared" si="59"/>
        <v>13.817550000000001</v>
      </c>
      <c r="V71">
        <f t="shared" si="60"/>
        <v>0</v>
      </c>
      <c r="W71">
        <f t="shared" si="61"/>
        <v>0</v>
      </c>
      <c r="X71">
        <f t="shared" si="62"/>
        <v>571.48</v>
      </c>
      <c r="Y71">
        <f t="shared" si="63"/>
        <v>361.7</v>
      </c>
      <c r="AA71">
        <v>16481134</v>
      </c>
      <c r="AB71">
        <f t="shared" si="64"/>
        <v>2786.77</v>
      </c>
      <c r="AC71">
        <f t="shared" si="65"/>
        <v>1140.25</v>
      </c>
      <c r="AD71">
        <f t="shared" si="66"/>
        <v>1.21</v>
      </c>
      <c r="AE71">
        <f t="shared" si="67"/>
        <v>0</v>
      </c>
      <c r="AF71">
        <f t="shared" si="68"/>
        <v>1645.31</v>
      </c>
      <c r="AG71">
        <f t="shared" si="69"/>
        <v>0</v>
      </c>
      <c r="AH71">
        <f t="shared" si="70"/>
        <v>188.25</v>
      </c>
      <c r="AI71">
        <f t="shared" si="71"/>
        <v>0</v>
      </c>
      <c r="AJ71">
        <f t="shared" si="72"/>
        <v>0</v>
      </c>
      <c r="AK71">
        <v>2786.77</v>
      </c>
      <c r="AL71">
        <v>1140.25</v>
      </c>
      <c r="AM71">
        <v>1.21</v>
      </c>
      <c r="AN71">
        <v>0</v>
      </c>
      <c r="AO71">
        <v>1645.31</v>
      </c>
      <c r="AP71">
        <v>0</v>
      </c>
      <c r="AQ71">
        <v>188.25</v>
      </c>
      <c r="AR71">
        <v>0</v>
      </c>
      <c r="AS71">
        <v>0</v>
      </c>
      <c r="AT71">
        <v>79</v>
      </c>
      <c r="AU71">
        <v>50</v>
      </c>
      <c r="AV71">
        <v>1</v>
      </c>
      <c r="AW71">
        <v>1</v>
      </c>
      <c r="AZ71">
        <v>5.99</v>
      </c>
      <c r="BA71">
        <v>5.99</v>
      </c>
      <c r="BB71">
        <v>5.99</v>
      </c>
      <c r="BC71">
        <v>5.99</v>
      </c>
      <c r="BD71" t="s">
        <v>6</v>
      </c>
      <c r="BE71" t="s">
        <v>6</v>
      </c>
      <c r="BF71" t="s">
        <v>6</v>
      </c>
      <c r="BG71" t="s">
        <v>6</v>
      </c>
      <c r="BH71">
        <v>0</v>
      </c>
      <c r="BI71">
        <v>1</v>
      </c>
      <c r="BJ71" t="s">
        <v>121</v>
      </c>
      <c r="BM71">
        <v>61001</v>
      </c>
      <c r="BN71">
        <v>0</v>
      </c>
      <c r="BO71" t="s">
        <v>6</v>
      </c>
      <c r="BP71">
        <v>0</v>
      </c>
      <c r="BQ71">
        <v>6</v>
      </c>
      <c r="BR71">
        <v>0</v>
      </c>
      <c r="BS71">
        <v>5.99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79</v>
      </c>
      <c r="CA71">
        <v>50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73"/>
        <v>1225.25</v>
      </c>
      <c r="CQ71">
        <f t="shared" si="74"/>
        <v>6830.0974999999999</v>
      </c>
      <c r="CR71">
        <f t="shared" si="75"/>
        <v>7.2479000000000005</v>
      </c>
      <c r="CS71">
        <f t="shared" si="76"/>
        <v>0</v>
      </c>
      <c r="CT71">
        <f t="shared" si="77"/>
        <v>9855.4069</v>
      </c>
      <c r="CU71">
        <f t="shared" si="78"/>
        <v>0</v>
      </c>
      <c r="CV71">
        <f t="shared" si="79"/>
        <v>188.25</v>
      </c>
      <c r="CW71">
        <f t="shared" si="80"/>
        <v>0</v>
      </c>
      <c r="CX71">
        <f t="shared" si="81"/>
        <v>0</v>
      </c>
      <c r="CY71">
        <f t="shared" si="82"/>
        <v>571.47809999999993</v>
      </c>
      <c r="CZ71">
        <f t="shared" si="83"/>
        <v>361.69499999999999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16</v>
      </c>
      <c r="DW71" t="s">
        <v>16</v>
      </c>
      <c r="DX71">
        <v>100</v>
      </c>
      <c r="EE71">
        <v>15139183</v>
      </c>
      <c r="EF71">
        <v>6</v>
      </c>
      <c r="EG71" t="s">
        <v>51</v>
      </c>
      <c r="EH71">
        <v>0</v>
      </c>
      <c r="EI71" t="s">
        <v>6</v>
      </c>
      <c r="EJ71">
        <v>1</v>
      </c>
      <c r="EK71">
        <v>61001</v>
      </c>
      <c r="EL71" t="s">
        <v>102</v>
      </c>
      <c r="EM71" t="s">
        <v>103</v>
      </c>
      <c r="EO71" t="s">
        <v>6</v>
      </c>
      <c r="EQ71">
        <v>0</v>
      </c>
      <c r="ER71">
        <v>2786.77</v>
      </c>
      <c r="ES71">
        <v>1140.25</v>
      </c>
      <c r="ET71">
        <v>1.21</v>
      </c>
      <c r="EU71">
        <v>0</v>
      </c>
      <c r="EV71">
        <v>1645.31</v>
      </c>
      <c r="EW71">
        <v>188.25</v>
      </c>
      <c r="EX71">
        <v>0</v>
      </c>
      <c r="EY71">
        <v>0</v>
      </c>
      <c r="FQ71">
        <v>0</v>
      </c>
      <c r="FR71">
        <f t="shared" si="84"/>
        <v>0</v>
      </c>
      <c r="FS71">
        <v>0</v>
      </c>
      <c r="FX71">
        <v>79</v>
      </c>
      <c r="FY71">
        <v>50</v>
      </c>
      <c r="GA71" t="s">
        <v>6</v>
      </c>
      <c r="GD71">
        <v>0</v>
      </c>
      <c r="GF71">
        <v>1088305754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5"/>
        <v>0</v>
      </c>
      <c r="GM71">
        <f t="shared" si="86"/>
        <v>2158.4299999999998</v>
      </c>
      <c r="GN71">
        <f t="shared" si="87"/>
        <v>2158.4299999999998</v>
      </c>
      <c r="GO71">
        <f t="shared" si="88"/>
        <v>0</v>
      </c>
      <c r="GP71">
        <f t="shared" si="89"/>
        <v>0</v>
      </c>
      <c r="GR71">
        <v>0</v>
      </c>
      <c r="GS71">
        <v>3</v>
      </c>
      <c r="GT71">
        <v>0</v>
      </c>
      <c r="GU71" t="s">
        <v>6</v>
      </c>
      <c r="GV71">
        <f t="shared" si="90"/>
        <v>0</v>
      </c>
      <c r="GW71">
        <v>1</v>
      </c>
      <c r="GX71">
        <f t="shared" si="91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128</v>
      </c>
      <c r="D72" s="2"/>
      <c r="E72" s="2" t="s">
        <v>122</v>
      </c>
      <c r="F72" s="2" t="s">
        <v>55</v>
      </c>
      <c r="G72" s="2" t="s">
        <v>56</v>
      </c>
      <c r="H72" s="2" t="s">
        <v>57</v>
      </c>
      <c r="I72" s="2">
        <f>I70*J72</f>
        <v>0.35525600000000002</v>
      </c>
      <c r="J72" s="2">
        <v>4.84</v>
      </c>
      <c r="K72" s="2"/>
      <c r="L72" s="2"/>
      <c r="M72" s="2"/>
      <c r="N72" s="2"/>
      <c r="O72" s="2">
        <f t="shared" si="53"/>
        <v>0</v>
      </c>
      <c r="P72" s="2">
        <f t="shared" si="54"/>
        <v>0</v>
      </c>
      <c r="Q72" s="2">
        <f t="shared" si="55"/>
        <v>0</v>
      </c>
      <c r="R72" s="2">
        <f t="shared" si="56"/>
        <v>0</v>
      </c>
      <c r="S72" s="2">
        <f t="shared" si="57"/>
        <v>0</v>
      </c>
      <c r="T72" s="2">
        <f t="shared" si="58"/>
        <v>0</v>
      </c>
      <c r="U72" s="2">
        <f t="shared" si="59"/>
        <v>0</v>
      </c>
      <c r="V72" s="2">
        <f t="shared" si="60"/>
        <v>0</v>
      </c>
      <c r="W72" s="2">
        <f t="shared" si="61"/>
        <v>0</v>
      </c>
      <c r="X72" s="2">
        <f t="shared" si="62"/>
        <v>0</v>
      </c>
      <c r="Y72" s="2">
        <f t="shared" si="63"/>
        <v>0</v>
      </c>
      <c r="Z72" s="2"/>
      <c r="AA72" s="2">
        <v>16481133</v>
      </c>
      <c r="AB72" s="2">
        <f t="shared" si="64"/>
        <v>0</v>
      </c>
      <c r="AC72" s="2">
        <f t="shared" si="65"/>
        <v>0</v>
      </c>
      <c r="AD72" s="2">
        <f t="shared" si="66"/>
        <v>0</v>
      </c>
      <c r="AE72" s="2">
        <f t="shared" si="67"/>
        <v>0</v>
      </c>
      <c r="AF72" s="2">
        <f t="shared" si="68"/>
        <v>0</v>
      </c>
      <c r="AG72" s="2">
        <f t="shared" si="69"/>
        <v>0</v>
      </c>
      <c r="AH72" s="2">
        <f t="shared" si="70"/>
        <v>0</v>
      </c>
      <c r="AI72" s="2">
        <f t="shared" si="71"/>
        <v>0</v>
      </c>
      <c r="AJ72" s="2">
        <f t="shared" si="72"/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79</v>
      </c>
      <c r="AU72" s="2">
        <v>50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6</v>
      </c>
      <c r="BK72" s="2"/>
      <c r="BL72" s="2"/>
      <c r="BM72" s="2">
        <v>61001</v>
      </c>
      <c r="BN72" s="2">
        <v>0</v>
      </c>
      <c r="BO72" s="2" t="s">
        <v>6</v>
      </c>
      <c r="BP72" s="2">
        <v>0</v>
      </c>
      <c r="BQ72" s="2">
        <v>6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79</v>
      </c>
      <c r="CA72" s="2">
        <v>50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73"/>
        <v>0</v>
      </c>
      <c r="CQ72" s="2">
        <f t="shared" si="74"/>
        <v>0</v>
      </c>
      <c r="CR72" s="2">
        <f t="shared" si="75"/>
        <v>0</v>
      </c>
      <c r="CS72" s="2">
        <f t="shared" si="76"/>
        <v>0</v>
      </c>
      <c r="CT72" s="2">
        <f t="shared" si="77"/>
        <v>0</v>
      </c>
      <c r="CU72" s="2">
        <f t="shared" si="78"/>
        <v>0</v>
      </c>
      <c r="CV72" s="2">
        <f t="shared" si="79"/>
        <v>0</v>
      </c>
      <c r="CW72" s="2">
        <f t="shared" si="80"/>
        <v>0</v>
      </c>
      <c r="CX72" s="2">
        <f t="shared" si="81"/>
        <v>0</v>
      </c>
      <c r="CY72" s="2">
        <f t="shared" si="82"/>
        <v>0</v>
      </c>
      <c r="CZ72" s="2">
        <f t="shared" si="83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1009</v>
      </c>
      <c r="DV72" s="2" t="s">
        <v>57</v>
      </c>
      <c r="DW72" s="2" t="s">
        <v>57</v>
      </c>
      <c r="DX72" s="2">
        <v>1000</v>
      </c>
      <c r="DY72" s="2"/>
      <c r="DZ72" s="2"/>
      <c r="EA72" s="2"/>
      <c r="EB72" s="2"/>
      <c r="EC72" s="2"/>
      <c r="ED72" s="2"/>
      <c r="EE72" s="2">
        <v>15139183</v>
      </c>
      <c r="EF72" s="2">
        <v>6</v>
      </c>
      <c r="EG72" s="2" t="s">
        <v>51</v>
      </c>
      <c r="EH72" s="2">
        <v>0</v>
      </c>
      <c r="EI72" s="2" t="s">
        <v>6</v>
      </c>
      <c r="EJ72" s="2">
        <v>1</v>
      </c>
      <c r="EK72" s="2">
        <v>61001</v>
      </c>
      <c r="EL72" s="2" t="s">
        <v>102</v>
      </c>
      <c r="EM72" s="2" t="s">
        <v>103</v>
      </c>
      <c r="EN72" s="2"/>
      <c r="EO72" s="2" t="s">
        <v>6</v>
      </c>
      <c r="EP72" s="2"/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4"/>
        <v>0</v>
      </c>
      <c r="FS72" s="2">
        <v>0</v>
      </c>
      <c r="FT72" s="2"/>
      <c r="FU72" s="2"/>
      <c r="FV72" s="2"/>
      <c r="FW72" s="2"/>
      <c r="FX72" s="2">
        <v>79</v>
      </c>
      <c r="FY72" s="2">
        <v>50</v>
      </c>
      <c r="FZ72" s="2"/>
      <c r="GA72" s="2" t="s">
        <v>6</v>
      </c>
      <c r="GB72" s="2"/>
      <c r="GC72" s="2"/>
      <c r="GD72" s="2">
        <v>0</v>
      </c>
      <c r="GE72" s="2"/>
      <c r="GF72" s="2">
        <v>-179832266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5"/>
        <v>0</v>
      </c>
      <c r="GM72" s="2">
        <f t="shared" si="86"/>
        <v>0</v>
      </c>
      <c r="GN72" s="2">
        <f t="shared" si="87"/>
        <v>0</v>
      </c>
      <c r="GO72" s="2">
        <f t="shared" si="88"/>
        <v>0</v>
      </c>
      <c r="GP72" s="2">
        <f t="shared" si="89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90"/>
        <v>0</v>
      </c>
      <c r="GW72" s="2">
        <v>1</v>
      </c>
      <c r="GX72" s="2">
        <f t="shared" si="91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133</v>
      </c>
      <c r="E73" t="s">
        <v>122</v>
      </c>
      <c r="F73" t="s">
        <v>55</v>
      </c>
      <c r="G73" t="s">
        <v>56</v>
      </c>
      <c r="H73" t="s">
        <v>57</v>
      </c>
      <c r="I73">
        <f>I71*J73</f>
        <v>0.35525600000000002</v>
      </c>
      <c r="J73">
        <v>4.84</v>
      </c>
      <c r="O73">
        <f t="shared" si="53"/>
        <v>0</v>
      </c>
      <c r="P73">
        <f t="shared" si="54"/>
        <v>0</v>
      </c>
      <c r="Q73">
        <f t="shared" si="55"/>
        <v>0</v>
      </c>
      <c r="R73">
        <f t="shared" si="56"/>
        <v>0</v>
      </c>
      <c r="S73">
        <f t="shared" si="57"/>
        <v>0</v>
      </c>
      <c r="T73">
        <f t="shared" si="58"/>
        <v>0</v>
      </c>
      <c r="U73">
        <f t="shared" si="59"/>
        <v>0</v>
      </c>
      <c r="V73">
        <f t="shared" si="60"/>
        <v>0</v>
      </c>
      <c r="W73">
        <f t="shared" si="61"/>
        <v>0</v>
      </c>
      <c r="X73">
        <f t="shared" si="62"/>
        <v>0</v>
      </c>
      <c r="Y73">
        <f t="shared" si="63"/>
        <v>0</v>
      </c>
      <c r="AA73">
        <v>16481134</v>
      </c>
      <c r="AB73">
        <f t="shared" si="64"/>
        <v>0</v>
      </c>
      <c r="AC73">
        <f t="shared" si="65"/>
        <v>0</v>
      </c>
      <c r="AD73">
        <f t="shared" si="66"/>
        <v>0</v>
      </c>
      <c r="AE73">
        <f t="shared" si="67"/>
        <v>0</v>
      </c>
      <c r="AF73">
        <f t="shared" si="68"/>
        <v>0</v>
      </c>
      <c r="AG73">
        <f t="shared" si="69"/>
        <v>0</v>
      </c>
      <c r="AH73">
        <f t="shared" si="70"/>
        <v>0</v>
      </c>
      <c r="AI73">
        <f t="shared" si="71"/>
        <v>0</v>
      </c>
      <c r="AJ73">
        <f t="shared" si="72"/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79</v>
      </c>
      <c r="AU73">
        <v>50</v>
      </c>
      <c r="AV73">
        <v>1</v>
      </c>
      <c r="AW73">
        <v>1</v>
      </c>
      <c r="AZ73">
        <v>5.99</v>
      </c>
      <c r="BA73">
        <v>1</v>
      </c>
      <c r="BB73">
        <v>1</v>
      </c>
      <c r="BC73">
        <v>5.99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6</v>
      </c>
      <c r="BM73">
        <v>61001</v>
      </c>
      <c r="BN73">
        <v>0</v>
      </c>
      <c r="BO73" t="s">
        <v>6</v>
      </c>
      <c r="BP73">
        <v>0</v>
      </c>
      <c r="BQ73">
        <v>6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79</v>
      </c>
      <c r="CA73">
        <v>50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73"/>
        <v>0</v>
      </c>
      <c r="CQ73">
        <f t="shared" si="74"/>
        <v>0</v>
      </c>
      <c r="CR73">
        <f t="shared" si="75"/>
        <v>0</v>
      </c>
      <c r="CS73">
        <f t="shared" si="76"/>
        <v>0</v>
      </c>
      <c r="CT73">
        <f t="shared" si="77"/>
        <v>0</v>
      </c>
      <c r="CU73">
        <f t="shared" si="78"/>
        <v>0</v>
      </c>
      <c r="CV73">
        <f t="shared" si="79"/>
        <v>0</v>
      </c>
      <c r="CW73">
        <f t="shared" si="80"/>
        <v>0</v>
      </c>
      <c r="CX73">
        <f t="shared" si="81"/>
        <v>0</v>
      </c>
      <c r="CY73">
        <f t="shared" si="82"/>
        <v>0</v>
      </c>
      <c r="CZ73">
        <f t="shared" si="83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57</v>
      </c>
      <c r="DW73" t="s">
        <v>57</v>
      </c>
      <c r="DX73">
        <v>1000</v>
      </c>
      <c r="EE73">
        <v>15139183</v>
      </c>
      <c r="EF73">
        <v>6</v>
      </c>
      <c r="EG73" t="s">
        <v>51</v>
      </c>
      <c r="EH73">
        <v>0</v>
      </c>
      <c r="EI73" t="s">
        <v>6</v>
      </c>
      <c r="EJ73">
        <v>1</v>
      </c>
      <c r="EK73">
        <v>61001</v>
      </c>
      <c r="EL73" t="s">
        <v>102</v>
      </c>
      <c r="EM73" t="s">
        <v>103</v>
      </c>
      <c r="EO73" t="s">
        <v>6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4"/>
        <v>0</v>
      </c>
      <c r="FS73">
        <v>0</v>
      </c>
      <c r="FX73">
        <v>79</v>
      </c>
      <c r="FY73">
        <v>50</v>
      </c>
      <c r="GA73" t="s">
        <v>6</v>
      </c>
      <c r="GD73">
        <v>0</v>
      </c>
      <c r="GF73">
        <v>-179832266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5"/>
        <v>0</v>
      </c>
      <c r="GM73">
        <f t="shared" si="86"/>
        <v>0</v>
      </c>
      <c r="GN73">
        <f t="shared" si="87"/>
        <v>0</v>
      </c>
      <c r="GO73">
        <f t="shared" si="88"/>
        <v>0</v>
      </c>
      <c r="GP73">
        <f t="shared" si="89"/>
        <v>0</v>
      </c>
      <c r="GR73">
        <v>0</v>
      </c>
      <c r="GS73">
        <v>3</v>
      </c>
      <c r="GT73">
        <v>0</v>
      </c>
      <c r="GU73" t="s">
        <v>6</v>
      </c>
      <c r="GV73">
        <f t="shared" si="90"/>
        <v>0</v>
      </c>
      <c r="GW73">
        <v>1</v>
      </c>
      <c r="GX73">
        <f t="shared" si="91"/>
        <v>0</v>
      </c>
      <c r="HA73">
        <v>0</v>
      </c>
      <c r="HB73"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ROW(SmtRes!A145)</f>
        <v>145</v>
      </c>
      <c r="D74" s="2">
        <f>ROW(EtalonRes!A130)</f>
        <v>130</v>
      </c>
      <c r="E74" s="2" t="s">
        <v>123</v>
      </c>
      <c r="F74" s="2" t="s">
        <v>124</v>
      </c>
      <c r="G74" s="2" t="s">
        <v>125</v>
      </c>
      <c r="H74" s="2" t="s">
        <v>16</v>
      </c>
      <c r="I74" s="2">
        <f>ROUND(7.34/100,9)</f>
        <v>7.3400000000000007E-2</v>
      </c>
      <c r="J74" s="2">
        <v>0</v>
      </c>
      <c r="K74" s="2"/>
      <c r="L74" s="2"/>
      <c r="M74" s="2"/>
      <c r="N74" s="2"/>
      <c r="O74" s="2">
        <f t="shared" si="53"/>
        <v>50.31</v>
      </c>
      <c r="P74" s="2">
        <f t="shared" si="54"/>
        <v>40.119999999999997</v>
      </c>
      <c r="Q74" s="2">
        <f t="shared" si="55"/>
        <v>0.61</v>
      </c>
      <c r="R74" s="2">
        <f t="shared" si="56"/>
        <v>0.1</v>
      </c>
      <c r="S74" s="2">
        <f t="shared" si="57"/>
        <v>9.58</v>
      </c>
      <c r="T74" s="2">
        <f t="shared" si="58"/>
        <v>0</v>
      </c>
      <c r="U74" s="2">
        <f t="shared" si="59"/>
        <v>1.0562260000000001</v>
      </c>
      <c r="V74" s="2">
        <f t="shared" si="60"/>
        <v>8.8079999999999999E-3</v>
      </c>
      <c r="W74" s="2">
        <f t="shared" si="61"/>
        <v>0</v>
      </c>
      <c r="X74" s="2">
        <f t="shared" si="62"/>
        <v>9.1999999999999993</v>
      </c>
      <c r="Y74" s="2">
        <f t="shared" si="63"/>
        <v>4.55</v>
      </c>
      <c r="Z74" s="2"/>
      <c r="AA74" s="2">
        <v>16481133</v>
      </c>
      <c r="AB74" s="2">
        <f t="shared" si="64"/>
        <v>685.42</v>
      </c>
      <c r="AC74" s="2">
        <f t="shared" si="65"/>
        <v>546.6</v>
      </c>
      <c r="AD74" s="2">
        <f t="shared" si="66"/>
        <v>8.3000000000000007</v>
      </c>
      <c r="AE74" s="2">
        <f t="shared" si="67"/>
        <v>1.39</v>
      </c>
      <c r="AF74" s="2">
        <f t="shared" si="68"/>
        <v>130.52000000000001</v>
      </c>
      <c r="AG74" s="2">
        <f t="shared" si="69"/>
        <v>0</v>
      </c>
      <c r="AH74" s="2">
        <f t="shared" si="70"/>
        <v>14.39</v>
      </c>
      <c r="AI74" s="2">
        <f t="shared" si="71"/>
        <v>0.12</v>
      </c>
      <c r="AJ74" s="2">
        <f t="shared" si="72"/>
        <v>0</v>
      </c>
      <c r="AK74" s="2">
        <v>685.42</v>
      </c>
      <c r="AL74" s="2">
        <v>546.6</v>
      </c>
      <c r="AM74" s="2">
        <v>8.3000000000000007</v>
      </c>
      <c r="AN74" s="2">
        <v>1.39</v>
      </c>
      <c r="AO74" s="2">
        <v>130.52000000000001</v>
      </c>
      <c r="AP74" s="2">
        <v>0</v>
      </c>
      <c r="AQ74" s="2">
        <v>14.39</v>
      </c>
      <c r="AR74" s="2">
        <v>0.12</v>
      </c>
      <c r="AS74" s="2">
        <v>0</v>
      </c>
      <c r="AT74" s="2">
        <v>95</v>
      </c>
      <c r="AU74" s="2">
        <v>47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0</v>
      </c>
      <c r="BI74" s="2">
        <v>1</v>
      </c>
      <c r="BJ74" s="2" t="s">
        <v>126</v>
      </c>
      <c r="BK74" s="2"/>
      <c r="BL74" s="2"/>
      <c r="BM74" s="2">
        <v>15001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105</v>
      </c>
      <c r="CA74" s="2">
        <v>55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73"/>
        <v>50.309999999999995</v>
      </c>
      <c r="CQ74" s="2">
        <f t="shared" si="74"/>
        <v>546.6</v>
      </c>
      <c r="CR74" s="2">
        <f t="shared" si="75"/>
        <v>8.3000000000000007</v>
      </c>
      <c r="CS74" s="2">
        <f t="shared" si="76"/>
        <v>1.39</v>
      </c>
      <c r="CT74" s="2">
        <f t="shared" si="77"/>
        <v>130.52000000000001</v>
      </c>
      <c r="CU74" s="2">
        <f t="shared" si="78"/>
        <v>0</v>
      </c>
      <c r="CV74" s="2">
        <f t="shared" si="79"/>
        <v>14.39</v>
      </c>
      <c r="CW74" s="2">
        <f t="shared" si="80"/>
        <v>0.12</v>
      </c>
      <c r="CX74" s="2">
        <f t="shared" si="81"/>
        <v>0</v>
      </c>
      <c r="CY74" s="2">
        <f t="shared" si="82"/>
        <v>9.1959999999999997</v>
      </c>
      <c r="CZ74" s="2">
        <f t="shared" si="83"/>
        <v>4.5495999999999999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16</v>
      </c>
      <c r="DW74" s="2" t="s">
        <v>16</v>
      </c>
      <c r="DX74" s="2">
        <v>100</v>
      </c>
      <c r="DY74" s="2"/>
      <c r="DZ74" s="2"/>
      <c r="EA74" s="2"/>
      <c r="EB74" s="2"/>
      <c r="EC74" s="2"/>
      <c r="ED74" s="2"/>
      <c r="EE74" s="2">
        <v>15139126</v>
      </c>
      <c r="EF74" s="2">
        <v>2</v>
      </c>
      <c r="EG74" s="2" t="s">
        <v>18</v>
      </c>
      <c r="EH74" s="2">
        <v>0</v>
      </c>
      <c r="EI74" s="2" t="s">
        <v>6</v>
      </c>
      <c r="EJ74" s="2">
        <v>1</v>
      </c>
      <c r="EK74" s="2">
        <v>15001</v>
      </c>
      <c r="EL74" s="2" t="s">
        <v>74</v>
      </c>
      <c r="EM74" s="2" t="s">
        <v>75</v>
      </c>
      <c r="EN74" s="2"/>
      <c r="EO74" s="2" t="s">
        <v>6</v>
      </c>
      <c r="EP74" s="2"/>
      <c r="EQ74" s="2">
        <v>0</v>
      </c>
      <c r="ER74" s="2">
        <v>685.42</v>
      </c>
      <c r="ES74" s="2">
        <v>546.6</v>
      </c>
      <c r="ET74" s="2">
        <v>8.3000000000000007</v>
      </c>
      <c r="EU74" s="2">
        <v>1.39</v>
      </c>
      <c r="EV74" s="2">
        <v>130.52000000000001</v>
      </c>
      <c r="EW74" s="2">
        <v>14.39</v>
      </c>
      <c r="EX74" s="2">
        <v>0.12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4"/>
        <v>0</v>
      </c>
      <c r="FS74" s="2">
        <v>0</v>
      </c>
      <c r="FT74" s="2" t="s">
        <v>21</v>
      </c>
      <c r="FU74" s="2" t="s">
        <v>22</v>
      </c>
      <c r="FV74" s="2"/>
      <c r="FW74" s="2"/>
      <c r="FX74" s="2">
        <v>94.5</v>
      </c>
      <c r="FY74" s="2">
        <v>46.75</v>
      </c>
      <c r="FZ74" s="2"/>
      <c r="GA74" s="2" t="s">
        <v>6</v>
      </c>
      <c r="GB74" s="2"/>
      <c r="GC74" s="2"/>
      <c r="GD74" s="2">
        <v>0</v>
      </c>
      <c r="GE74" s="2"/>
      <c r="GF74" s="2">
        <v>-560390060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5"/>
        <v>0</v>
      </c>
      <c r="GM74" s="2">
        <f t="shared" si="86"/>
        <v>64.06</v>
      </c>
      <c r="GN74" s="2">
        <f t="shared" si="87"/>
        <v>64.06</v>
      </c>
      <c r="GO74" s="2">
        <f t="shared" si="88"/>
        <v>0</v>
      </c>
      <c r="GP74" s="2">
        <f t="shared" si="89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90"/>
        <v>0</v>
      </c>
      <c r="GW74" s="2">
        <v>1</v>
      </c>
      <c r="GX74" s="2">
        <f t="shared" si="91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ROW(SmtRes!A156)</f>
        <v>156</v>
      </c>
      <c r="D75">
        <f>ROW(EtalonRes!A140)</f>
        <v>140</v>
      </c>
      <c r="E75" t="s">
        <v>123</v>
      </c>
      <c r="F75" t="s">
        <v>124</v>
      </c>
      <c r="G75" t="s">
        <v>125</v>
      </c>
      <c r="H75" t="s">
        <v>16</v>
      </c>
      <c r="I75">
        <f>ROUND(7.34/100,9)</f>
        <v>7.3400000000000007E-2</v>
      </c>
      <c r="J75">
        <v>0</v>
      </c>
      <c r="O75">
        <f t="shared" si="53"/>
        <v>301.36</v>
      </c>
      <c r="P75">
        <f t="shared" si="54"/>
        <v>240.32</v>
      </c>
      <c r="Q75">
        <f t="shared" si="55"/>
        <v>3.65</v>
      </c>
      <c r="R75">
        <f t="shared" si="56"/>
        <v>0.61</v>
      </c>
      <c r="S75">
        <f t="shared" si="57"/>
        <v>57.39</v>
      </c>
      <c r="T75">
        <f t="shared" si="58"/>
        <v>0</v>
      </c>
      <c r="U75">
        <f t="shared" si="59"/>
        <v>1.0562260000000001</v>
      </c>
      <c r="V75">
        <f t="shared" si="60"/>
        <v>8.8079999999999999E-3</v>
      </c>
      <c r="W75">
        <f t="shared" si="61"/>
        <v>0</v>
      </c>
      <c r="X75">
        <f t="shared" si="62"/>
        <v>55.1</v>
      </c>
      <c r="Y75">
        <f t="shared" si="63"/>
        <v>27.26</v>
      </c>
      <c r="AA75">
        <v>16481134</v>
      </c>
      <c r="AB75">
        <f t="shared" si="64"/>
        <v>685.42</v>
      </c>
      <c r="AC75">
        <f t="shared" si="65"/>
        <v>546.6</v>
      </c>
      <c r="AD75">
        <f t="shared" si="66"/>
        <v>8.3000000000000007</v>
      </c>
      <c r="AE75">
        <f t="shared" si="67"/>
        <v>1.39</v>
      </c>
      <c r="AF75">
        <f t="shared" si="68"/>
        <v>130.52000000000001</v>
      </c>
      <c r="AG75">
        <f t="shared" si="69"/>
        <v>0</v>
      </c>
      <c r="AH75">
        <f t="shared" si="70"/>
        <v>14.39</v>
      </c>
      <c r="AI75">
        <f t="shared" si="71"/>
        <v>0.12</v>
      </c>
      <c r="AJ75">
        <f t="shared" si="72"/>
        <v>0</v>
      </c>
      <c r="AK75">
        <v>685.42</v>
      </c>
      <c r="AL75">
        <v>546.6</v>
      </c>
      <c r="AM75">
        <v>8.3000000000000007</v>
      </c>
      <c r="AN75">
        <v>1.39</v>
      </c>
      <c r="AO75">
        <v>130.52000000000001</v>
      </c>
      <c r="AP75">
        <v>0</v>
      </c>
      <c r="AQ75">
        <v>14.39</v>
      </c>
      <c r="AR75">
        <v>0.12</v>
      </c>
      <c r="AS75">
        <v>0</v>
      </c>
      <c r="AT75">
        <v>95</v>
      </c>
      <c r="AU75">
        <v>47</v>
      </c>
      <c r="AV75">
        <v>1</v>
      </c>
      <c r="AW75">
        <v>1</v>
      </c>
      <c r="AZ75">
        <v>5.99</v>
      </c>
      <c r="BA75">
        <v>5.99</v>
      </c>
      <c r="BB75">
        <v>5.99</v>
      </c>
      <c r="BC75">
        <v>5.99</v>
      </c>
      <c r="BD75" t="s">
        <v>6</v>
      </c>
      <c r="BE75" t="s">
        <v>6</v>
      </c>
      <c r="BF75" t="s">
        <v>6</v>
      </c>
      <c r="BG75" t="s">
        <v>6</v>
      </c>
      <c r="BH75">
        <v>0</v>
      </c>
      <c r="BI75">
        <v>1</v>
      </c>
      <c r="BJ75" t="s">
        <v>126</v>
      </c>
      <c r="BM75">
        <v>15001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5.99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105</v>
      </c>
      <c r="CA75">
        <v>55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73"/>
        <v>301.36</v>
      </c>
      <c r="CQ75">
        <f t="shared" si="74"/>
        <v>3274.1340000000005</v>
      </c>
      <c r="CR75">
        <f t="shared" si="75"/>
        <v>49.717000000000006</v>
      </c>
      <c r="CS75">
        <f t="shared" si="76"/>
        <v>8.3261000000000003</v>
      </c>
      <c r="CT75">
        <f t="shared" si="77"/>
        <v>781.8148000000001</v>
      </c>
      <c r="CU75">
        <f t="shared" si="78"/>
        <v>0</v>
      </c>
      <c r="CV75">
        <f t="shared" si="79"/>
        <v>14.39</v>
      </c>
      <c r="CW75">
        <f t="shared" si="80"/>
        <v>0.12</v>
      </c>
      <c r="CX75">
        <f t="shared" si="81"/>
        <v>0</v>
      </c>
      <c r="CY75">
        <f t="shared" si="82"/>
        <v>55.1</v>
      </c>
      <c r="CZ75">
        <f t="shared" si="83"/>
        <v>27.26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16</v>
      </c>
      <c r="DW75" t="s">
        <v>16</v>
      </c>
      <c r="DX75">
        <v>100</v>
      </c>
      <c r="EE75">
        <v>15139126</v>
      </c>
      <c r="EF75">
        <v>2</v>
      </c>
      <c r="EG75" t="s">
        <v>18</v>
      </c>
      <c r="EH75">
        <v>0</v>
      </c>
      <c r="EI75" t="s">
        <v>6</v>
      </c>
      <c r="EJ75">
        <v>1</v>
      </c>
      <c r="EK75">
        <v>15001</v>
      </c>
      <c r="EL75" t="s">
        <v>74</v>
      </c>
      <c r="EM75" t="s">
        <v>75</v>
      </c>
      <c r="EO75" t="s">
        <v>6</v>
      </c>
      <c r="EQ75">
        <v>0</v>
      </c>
      <c r="ER75">
        <v>685.42</v>
      </c>
      <c r="ES75">
        <v>546.6</v>
      </c>
      <c r="ET75">
        <v>8.3000000000000007</v>
      </c>
      <c r="EU75">
        <v>1.39</v>
      </c>
      <c r="EV75">
        <v>130.52000000000001</v>
      </c>
      <c r="EW75">
        <v>14.39</v>
      </c>
      <c r="EX75">
        <v>0.12</v>
      </c>
      <c r="EY75">
        <v>0</v>
      </c>
      <c r="FQ75">
        <v>0</v>
      </c>
      <c r="FR75">
        <f t="shared" si="84"/>
        <v>0</v>
      </c>
      <c r="FS75">
        <v>0</v>
      </c>
      <c r="FT75" t="s">
        <v>21</v>
      </c>
      <c r="FU75" t="s">
        <v>22</v>
      </c>
      <c r="FX75">
        <v>94.5</v>
      </c>
      <c r="FY75">
        <v>46.75</v>
      </c>
      <c r="GA75" t="s">
        <v>6</v>
      </c>
      <c r="GD75">
        <v>0</v>
      </c>
      <c r="GF75">
        <v>-560390060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5"/>
        <v>0</v>
      </c>
      <c r="GM75">
        <f t="shared" si="86"/>
        <v>383.72</v>
      </c>
      <c r="GN75">
        <f t="shared" si="87"/>
        <v>383.72</v>
      </c>
      <c r="GO75">
        <f t="shared" si="88"/>
        <v>0</v>
      </c>
      <c r="GP75">
        <f t="shared" si="89"/>
        <v>0</v>
      </c>
      <c r="GR75">
        <v>0</v>
      </c>
      <c r="GS75">
        <v>3</v>
      </c>
      <c r="GT75">
        <v>0</v>
      </c>
      <c r="GU75" t="s">
        <v>6</v>
      </c>
      <c r="GV75">
        <f t="shared" si="90"/>
        <v>0</v>
      </c>
      <c r="GW75">
        <v>1</v>
      </c>
      <c r="GX75">
        <f t="shared" si="91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142</v>
      </c>
      <c r="D76" s="2"/>
      <c r="E76" s="2" t="s">
        <v>127</v>
      </c>
      <c r="F76" s="2" t="s">
        <v>128</v>
      </c>
      <c r="G76" s="2" t="s">
        <v>129</v>
      </c>
      <c r="H76" s="2" t="s">
        <v>57</v>
      </c>
      <c r="I76" s="2">
        <f>I74*J76</f>
        <v>4.3309999999999998E-3</v>
      </c>
      <c r="J76" s="2">
        <v>5.9005449591280644E-2</v>
      </c>
      <c r="K76" s="2"/>
      <c r="L76" s="2"/>
      <c r="M76" s="2"/>
      <c r="N76" s="2"/>
      <c r="O76" s="2">
        <f t="shared" si="53"/>
        <v>0</v>
      </c>
      <c r="P76" s="2">
        <f t="shared" si="54"/>
        <v>0</v>
      </c>
      <c r="Q76" s="2">
        <f t="shared" si="55"/>
        <v>0</v>
      </c>
      <c r="R76" s="2">
        <f t="shared" si="56"/>
        <v>0</v>
      </c>
      <c r="S76" s="2">
        <f t="shared" si="57"/>
        <v>0</v>
      </c>
      <c r="T76" s="2">
        <f t="shared" si="58"/>
        <v>0</v>
      </c>
      <c r="U76" s="2">
        <f t="shared" si="59"/>
        <v>0</v>
      </c>
      <c r="V76" s="2">
        <f t="shared" si="60"/>
        <v>0</v>
      </c>
      <c r="W76" s="2">
        <f t="shared" si="61"/>
        <v>0</v>
      </c>
      <c r="X76" s="2">
        <f t="shared" si="62"/>
        <v>0</v>
      </c>
      <c r="Y76" s="2">
        <f t="shared" si="63"/>
        <v>0</v>
      </c>
      <c r="Z76" s="2"/>
      <c r="AA76" s="2">
        <v>16481133</v>
      </c>
      <c r="AB76" s="2">
        <f t="shared" si="64"/>
        <v>0</v>
      </c>
      <c r="AC76" s="2">
        <f t="shared" si="65"/>
        <v>0</v>
      </c>
      <c r="AD76" s="2">
        <f t="shared" si="66"/>
        <v>0</v>
      </c>
      <c r="AE76" s="2">
        <f t="shared" si="67"/>
        <v>0</v>
      </c>
      <c r="AF76" s="2">
        <f t="shared" si="68"/>
        <v>0</v>
      </c>
      <c r="AG76" s="2">
        <f t="shared" si="69"/>
        <v>0</v>
      </c>
      <c r="AH76" s="2">
        <f t="shared" si="70"/>
        <v>0</v>
      </c>
      <c r="AI76" s="2">
        <f t="shared" si="71"/>
        <v>0</v>
      </c>
      <c r="AJ76" s="2">
        <f t="shared" si="72"/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95</v>
      </c>
      <c r="AU76" s="2">
        <v>47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3</v>
      </c>
      <c r="BI76" s="2">
        <v>1</v>
      </c>
      <c r="BJ76" s="2" t="s">
        <v>6</v>
      </c>
      <c r="BK76" s="2"/>
      <c r="BL76" s="2"/>
      <c r="BM76" s="2">
        <v>15001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105</v>
      </c>
      <c r="CA76" s="2">
        <v>55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73"/>
        <v>0</v>
      </c>
      <c r="CQ76" s="2">
        <f t="shared" si="74"/>
        <v>0</v>
      </c>
      <c r="CR76" s="2">
        <f t="shared" si="75"/>
        <v>0</v>
      </c>
      <c r="CS76" s="2">
        <f t="shared" si="76"/>
        <v>0</v>
      </c>
      <c r="CT76" s="2">
        <f t="shared" si="77"/>
        <v>0</v>
      </c>
      <c r="CU76" s="2">
        <f t="shared" si="78"/>
        <v>0</v>
      </c>
      <c r="CV76" s="2">
        <f t="shared" si="79"/>
        <v>0</v>
      </c>
      <c r="CW76" s="2">
        <f t="shared" si="80"/>
        <v>0</v>
      </c>
      <c r="CX76" s="2">
        <f t="shared" si="81"/>
        <v>0</v>
      </c>
      <c r="CY76" s="2">
        <f t="shared" si="82"/>
        <v>0</v>
      </c>
      <c r="CZ76" s="2">
        <f t="shared" si="83"/>
        <v>0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1009</v>
      </c>
      <c r="DV76" s="2" t="s">
        <v>57</v>
      </c>
      <c r="DW76" s="2" t="s">
        <v>57</v>
      </c>
      <c r="DX76" s="2">
        <v>1000</v>
      </c>
      <c r="DY76" s="2"/>
      <c r="DZ76" s="2"/>
      <c r="EA76" s="2"/>
      <c r="EB76" s="2"/>
      <c r="EC76" s="2"/>
      <c r="ED76" s="2"/>
      <c r="EE76" s="2">
        <v>15139126</v>
      </c>
      <c r="EF76" s="2">
        <v>2</v>
      </c>
      <c r="EG76" s="2" t="s">
        <v>18</v>
      </c>
      <c r="EH76" s="2">
        <v>0</v>
      </c>
      <c r="EI76" s="2" t="s">
        <v>6</v>
      </c>
      <c r="EJ76" s="2">
        <v>1</v>
      </c>
      <c r="EK76" s="2">
        <v>15001</v>
      </c>
      <c r="EL76" s="2" t="s">
        <v>74</v>
      </c>
      <c r="EM76" s="2" t="s">
        <v>75</v>
      </c>
      <c r="EN76" s="2"/>
      <c r="EO76" s="2" t="s">
        <v>6</v>
      </c>
      <c r="EP76" s="2"/>
      <c r="EQ76" s="2">
        <v>0</v>
      </c>
      <c r="ER76" s="2">
        <v>0</v>
      </c>
      <c r="ES76" s="2">
        <v>0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4"/>
        <v>0</v>
      </c>
      <c r="FS76" s="2">
        <v>0</v>
      </c>
      <c r="FT76" s="2" t="s">
        <v>21</v>
      </c>
      <c r="FU76" s="2" t="s">
        <v>22</v>
      </c>
      <c r="FV76" s="2"/>
      <c r="FW76" s="2"/>
      <c r="FX76" s="2">
        <v>94.5</v>
      </c>
      <c r="FY76" s="2">
        <v>46.75</v>
      </c>
      <c r="FZ76" s="2"/>
      <c r="GA76" s="2" t="s">
        <v>6</v>
      </c>
      <c r="GB76" s="2"/>
      <c r="GC76" s="2"/>
      <c r="GD76" s="2">
        <v>0</v>
      </c>
      <c r="GE76" s="2"/>
      <c r="GF76" s="2">
        <v>1182840811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85"/>
        <v>0</v>
      </c>
      <c r="GM76" s="2">
        <f t="shared" si="86"/>
        <v>0</v>
      </c>
      <c r="GN76" s="2">
        <f t="shared" si="87"/>
        <v>0</v>
      </c>
      <c r="GO76" s="2">
        <f t="shared" si="88"/>
        <v>0</v>
      </c>
      <c r="GP76" s="2">
        <f t="shared" si="89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90"/>
        <v>0</v>
      </c>
      <c r="GW76" s="2">
        <v>1</v>
      </c>
      <c r="GX76" s="2">
        <f t="shared" si="91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153</v>
      </c>
      <c r="E77" t="s">
        <v>127</v>
      </c>
      <c r="F77" t="s">
        <v>128</v>
      </c>
      <c r="G77" t="s">
        <v>129</v>
      </c>
      <c r="H77" t="s">
        <v>57</v>
      </c>
      <c r="I77">
        <f>I75*J77</f>
        <v>4.3309999999999998E-3</v>
      </c>
      <c r="J77">
        <v>5.9005449591280644E-2</v>
      </c>
      <c r="O77">
        <f t="shared" si="53"/>
        <v>0</v>
      </c>
      <c r="P77">
        <f t="shared" si="54"/>
        <v>0</v>
      </c>
      <c r="Q77">
        <f t="shared" si="55"/>
        <v>0</v>
      </c>
      <c r="R77">
        <f t="shared" si="56"/>
        <v>0</v>
      </c>
      <c r="S77">
        <f t="shared" si="57"/>
        <v>0</v>
      </c>
      <c r="T77">
        <f t="shared" si="58"/>
        <v>0</v>
      </c>
      <c r="U77">
        <f t="shared" si="59"/>
        <v>0</v>
      </c>
      <c r="V77">
        <f t="shared" si="60"/>
        <v>0</v>
      </c>
      <c r="W77">
        <f t="shared" si="61"/>
        <v>0</v>
      </c>
      <c r="X77">
        <f t="shared" si="62"/>
        <v>0</v>
      </c>
      <c r="Y77">
        <f t="shared" si="63"/>
        <v>0</v>
      </c>
      <c r="AA77">
        <v>16481134</v>
      </c>
      <c r="AB77">
        <f t="shared" si="64"/>
        <v>0</v>
      </c>
      <c r="AC77">
        <f t="shared" si="65"/>
        <v>0</v>
      </c>
      <c r="AD77">
        <f t="shared" si="66"/>
        <v>0</v>
      </c>
      <c r="AE77">
        <f t="shared" si="67"/>
        <v>0</v>
      </c>
      <c r="AF77">
        <f t="shared" si="68"/>
        <v>0</v>
      </c>
      <c r="AG77">
        <f t="shared" si="69"/>
        <v>0</v>
      </c>
      <c r="AH77">
        <f t="shared" si="70"/>
        <v>0</v>
      </c>
      <c r="AI77">
        <f t="shared" si="71"/>
        <v>0</v>
      </c>
      <c r="AJ77">
        <f t="shared" si="72"/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5.99</v>
      </c>
      <c r="BA77">
        <v>1</v>
      </c>
      <c r="BB77">
        <v>1</v>
      </c>
      <c r="BC77">
        <v>5.99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6</v>
      </c>
      <c r="BM77">
        <v>15001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73"/>
        <v>0</v>
      </c>
      <c r="CQ77">
        <f t="shared" si="74"/>
        <v>0</v>
      </c>
      <c r="CR77">
        <f t="shared" si="75"/>
        <v>0</v>
      </c>
      <c r="CS77">
        <f t="shared" si="76"/>
        <v>0</v>
      </c>
      <c r="CT77">
        <f t="shared" si="77"/>
        <v>0</v>
      </c>
      <c r="CU77">
        <f t="shared" si="78"/>
        <v>0</v>
      </c>
      <c r="CV77">
        <f t="shared" si="79"/>
        <v>0</v>
      </c>
      <c r="CW77">
        <f t="shared" si="80"/>
        <v>0</v>
      </c>
      <c r="CX77">
        <f t="shared" si="81"/>
        <v>0</v>
      </c>
      <c r="CY77">
        <f t="shared" si="82"/>
        <v>0</v>
      </c>
      <c r="CZ77">
        <f t="shared" si="83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57</v>
      </c>
      <c r="DW77" t="s">
        <v>57</v>
      </c>
      <c r="DX77">
        <v>1000</v>
      </c>
      <c r="EE77">
        <v>15139126</v>
      </c>
      <c r="EF77">
        <v>2</v>
      </c>
      <c r="EG77" t="s">
        <v>18</v>
      </c>
      <c r="EH77">
        <v>0</v>
      </c>
      <c r="EI77" t="s">
        <v>6</v>
      </c>
      <c r="EJ77">
        <v>1</v>
      </c>
      <c r="EK77">
        <v>15001</v>
      </c>
      <c r="EL77" t="s">
        <v>74</v>
      </c>
      <c r="EM77" t="s">
        <v>75</v>
      </c>
      <c r="EO77" t="s">
        <v>6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4"/>
        <v>0</v>
      </c>
      <c r="FS77">
        <v>0</v>
      </c>
      <c r="FT77" t="s">
        <v>21</v>
      </c>
      <c r="FU77" t="s">
        <v>22</v>
      </c>
      <c r="FX77">
        <v>94.5</v>
      </c>
      <c r="FY77">
        <v>46.75</v>
      </c>
      <c r="GA77" t="s">
        <v>6</v>
      </c>
      <c r="GD77">
        <v>0</v>
      </c>
      <c r="GF77">
        <v>1182840811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85"/>
        <v>0</v>
      </c>
      <c r="GM77">
        <f t="shared" si="86"/>
        <v>0</v>
      </c>
      <c r="GN77">
        <f t="shared" si="87"/>
        <v>0</v>
      </c>
      <c r="GO77">
        <f t="shared" si="88"/>
        <v>0</v>
      </c>
      <c r="GP77">
        <f t="shared" si="89"/>
        <v>0</v>
      </c>
      <c r="GR77">
        <v>0</v>
      </c>
      <c r="GS77">
        <v>3</v>
      </c>
      <c r="GT77">
        <v>0</v>
      </c>
      <c r="GU77" t="s">
        <v>6</v>
      </c>
      <c r="GV77">
        <f t="shared" si="90"/>
        <v>0</v>
      </c>
      <c r="GW77">
        <v>1</v>
      </c>
      <c r="GX77">
        <f t="shared" si="91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143</v>
      </c>
      <c r="D78" s="2"/>
      <c r="E78" s="2" t="s">
        <v>130</v>
      </c>
      <c r="F78" s="2" t="s">
        <v>131</v>
      </c>
      <c r="G78" s="2" t="s">
        <v>132</v>
      </c>
      <c r="H78" s="2" t="s">
        <v>57</v>
      </c>
      <c r="I78" s="2">
        <f>I74*J78</f>
        <v>4.3309999999999998E-3</v>
      </c>
      <c r="J78" s="2">
        <v>5.9005449591280644E-2</v>
      </c>
      <c r="K78" s="2"/>
      <c r="L78" s="2"/>
      <c r="M78" s="2"/>
      <c r="N78" s="2"/>
      <c r="O78" s="2">
        <f t="shared" si="53"/>
        <v>69.25</v>
      </c>
      <c r="P78" s="2">
        <f t="shared" si="54"/>
        <v>69.25</v>
      </c>
      <c r="Q78" s="2">
        <f t="shared" si="55"/>
        <v>0</v>
      </c>
      <c r="R78" s="2">
        <f t="shared" si="56"/>
        <v>0</v>
      </c>
      <c r="S78" s="2">
        <f t="shared" si="57"/>
        <v>0</v>
      </c>
      <c r="T78" s="2">
        <f t="shared" si="58"/>
        <v>0</v>
      </c>
      <c r="U78" s="2">
        <f t="shared" si="59"/>
        <v>0</v>
      </c>
      <c r="V78" s="2">
        <f t="shared" si="60"/>
        <v>0</v>
      </c>
      <c r="W78" s="2">
        <f t="shared" si="61"/>
        <v>0</v>
      </c>
      <c r="X78" s="2">
        <f t="shared" si="62"/>
        <v>0</v>
      </c>
      <c r="Y78" s="2">
        <f t="shared" si="63"/>
        <v>0</v>
      </c>
      <c r="Z78" s="2"/>
      <c r="AA78" s="2">
        <v>16481133</v>
      </c>
      <c r="AB78" s="2">
        <f t="shared" si="64"/>
        <v>15989</v>
      </c>
      <c r="AC78" s="2">
        <f t="shared" si="65"/>
        <v>15989</v>
      </c>
      <c r="AD78" s="2">
        <f t="shared" si="66"/>
        <v>0</v>
      </c>
      <c r="AE78" s="2">
        <f t="shared" si="67"/>
        <v>0</v>
      </c>
      <c r="AF78" s="2">
        <f t="shared" si="68"/>
        <v>0</v>
      </c>
      <c r="AG78" s="2">
        <f t="shared" si="69"/>
        <v>0</v>
      </c>
      <c r="AH78" s="2">
        <f t="shared" si="70"/>
        <v>0</v>
      </c>
      <c r="AI78" s="2">
        <f t="shared" si="71"/>
        <v>0</v>
      </c>
      <c r="AJ78" s="2">
        <f t="shared" si="72"/>
        <v>0</v>
      </c>
      <c r="AK78" s="2">
        <v>15989</v>
      </c>
      <c r="AL78" s="2">
        <v>15989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95</v>
      </c>
      <c r="AU78" s="2">
        <v>47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3</v>
      </c>
      <c r="BI78" s="2">
        <v>1</v>
      </c>
      <c r="BJ78" s="2" t="s">
        <v>133</v>
      </c>
      <c r="BK78" s="2"/>
      <c r="BL78" s="2"/>
      <c r="BM78" s="2">
        <v>15001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105</v>
      </c>
      <c r="CA78" s="2">
        <v>55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73"/>
        <v>69.25</v>
      </c>
      <c r="CQ78" s="2">
        <f t="shared" si="74"/>
        <v>15989</v>
      </c>
      <c r="CR78" s="2">
        <f t="shared" si="75"/>
        <v>0</v>
      </c>
      <c r="CS78" s="2">
        <f t="shared" si="76"/>
        <v>0</v>
      </c>
      <c r="CT78" s="2">
        <f t="shared" si="77"/>
        <v>0</v>
      </c>
      <c r="CU78" s="2">
        <f t="shared" si="78"/>
        <v>0</v>
      </c>
      <c r="CV78" s="2">
        <f t="shared" si="79"/>
        <v>0</v>
      </c>
      <c r="CW78" s="2">
        <f t="shared" si="80"/>
        <v>0</v>
      </c>
      <c r="CX78" s="2">
        <f t="shared" si="81"/>
        <v>0</v>
      </c>
      <c r="CY78" s="2">
        <f t="shared" si="82"/>
        <v>0</v>
      </c>
      <c r="CZ78" s="2">
        <f t="shared" si="83"/>
        <v>0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1009</v>
      </c>
      <c r="DV78" s="2" t="s">
        <v>57</v>
      </c>
      <c r="DW78" s="2" t="s">
        <v>57</v>
      </c>
      <c r="DX78" s="2">
        <v>1000</v>
      </c>
      <c r="DY78" s="2"/>
      <c r="DZ78" s="2"/>
      <c r="EA78" s="2"/>
      <c r="EB78" s="2"/>
      <c r="EC78" s="2"/>
      <c r="ED78" s="2"/>
      <c r="EE78" s="2">
        <v>15139126</v>
      </c>
      <c r="EF78" s="2">
        <v>2</v>
      </c>
      <c r="EG78" s="2" t="s">
        <v>18</v>
      </c>
      <c r="EH78" s="2">
        <v>0</v>
      </c>
      <c r="EI78" s="2" t="s">
        <v>6</v>
      </c>
      <c r="EJ78" s="2">
        <v>1</v>
      </c>
      <c r="EK78" s="2">
        <v>15001</v>
      </c>
      <c r="EL78" s="2" t="s">
        <v>74</v>
      </c>
      <c r="EM78" s="2" t="s">
        <v>75</v>
      </c>
      <c r="EN78" s="2"/>
      <c r="EO78" s="2" t="s">
        <v>6</v>
      </c>
      <c r="EP78" s="2"/>
      <c r="EQ78" s="2">
        <v>0</v>
      </c>
      <c r="ER78" s="2">
        <v>15989</v>
      </c>
      <c r="ES78" s="2">
        <v>15989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4"/>
        <v>0</v>
      </c>
      <c r="FS78" s="2">
        <v>0</v>
      </c>
      <c r="FT78" s="2" t="s">
        <v>21</v>
      </c>
      <c r="FU78" s="2" t="s">
        <v>22</v>
      </c>
      <c r="FV78" s="2"/>
      <c r="FW78" s="2"/>
      <c r="FX78" s="2">
        <v>94.5</v>
      </c>
      <c r="FY78" s="2">
        <v>46.75</v>
      </c>
      <c r="FZ78" s="2"/>
      <c r="GA78" s="2" t="s">
        <v>6</v>
      </c>
      <c r="GB78" s="2"/>
      <c r="GC78" s="2"/>
      <c r="GD78" s="2">
        <v>0</v>
      </c>
      <c r="GE78" s="2"/>
      <c r="GF78" s="2">
        <v>2085149391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85"/>
        <v>0</v>
      </c>
      <c r="GM78" s="2">
        <f t="shared" si="86"/>
        <v>69.25</v>
      </c>
      <c r="GN78" s="2">
        <f t="shared" si="87"/>
        <v>69.25</v>
      </c>
      <c r="GO78" s="2">
        <f t="shared" si="88"/>
        <v>0</v>
      </c>
      <c r="GP78" s="2">
        <f t="shared" si="89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90"/>
        <v>0</v>
      </c>
      <c r="GW78" s="2">
        <v>1</v>
      </c>
      <c r="GX78" s="2">
        <f t="shared" si="91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154</v>
      </c>
      <c r="E79" t="s">
        <v>130</v>
      </c>
      <c r="F79" t="s">
        <v>131</v>
      </c>
      <c r="G79" t="s">
        <v>132</v>
      </c>
      <c r="H79" t="s">
        <v>57</v>
      </c>
      <c r="I79">
        <f>I75*J79</f>
        <v>4.3309999999999998E-3</v>
      </c>
      <c r="J79">
        <v>5.9005449591280644E-2</v>
      </c>
      <c r="O79">
        <f t="shared" si="53"/>
        <v>414.8</v>
      </c>
      <c r="P79">
        <f t="shared" si="54"/>
        <v>414.8</v>
      </c>
      <c r="Q79">
        <f t="shared" si="55"/>
        <v>0</v>
      </c>
      <c r="R79">
        <f t="shared" si="56"/>
        <v>0</v>
      </c>
      <c r="S79">
        <f t="shared" si="57"/>
        <v>0</v>
      </c>
      <c r="T79">
        <f t="shared" si="58"/>
        <v>0</v>
      </c>
      <c r="U79">
        <f t="shared" si="59"/>
        <v>0</v>
      </c>
      <c r="V79">
        <f t="shared" si="60"/>
        <v>0</v>
      </c>
      <c r="W79">
        <f t="shared" si="61"/>
        <v>0</v>
      </c>
      <c r="X79">
        <f t="shared" si="62"/>
        <v>0</v>
      </c>
      <c r="Y79">
        <f t="shared" si="63"/>
        <v>0</v>
      </c>
      <c r="AA79">
        <v>16481134</v>
      </c>
      <c r="AB79">
        <f t="shared" si="64"/>
        <v>15989</v>
      </c>
      <c r="AC79">
        <f t="shared" si="65"/>
        <v>15989</v>
      </c>
      <c r="AD79">
        <f t="shared" si="66"/>
        <v>0</v>
      </c>
      <c r="AE79">
        <f t="shared" si="67"/>
        <v>0</v>
      </c>
      <c r="AF79">
        <f t="shared" si="68"/>
        <v>0</v>
      </c>
      <c r="AG79">
        <f t="shared" si="69"/>
        <v>0</v>
      </c>
      <c r="AH79">
        <f t="shared" si="70"/>
        <v>0</v>
      </c>
      <c r="AI79">
        <f t="shared" si="71"/>
        <v>0</v>
      </c>
      <c r="AJ79">
        <f t="shared" si="72"/>
        <v>0</v>
      </c>
      <c r="AK79">
        <v>15989</v>
      </c>
      <c r="AL79">
        <v>15989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5.99</v>
      </c>
      <c r="BA79">
        <v>1</v>
      </c>
      <c r="BB79">
        <v>1</v>
      </c>
      <c r="BC79">
        <v>5.99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133</v>
      </c>
      <c r="BM79">
        <v>15001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105</v>
      </c>
      <c r="CA79">
        <v>55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73"/>
        <v>414.8</v>
      </c>
      <c r="CQ79">
        <f t="shared" si="74"/>
        <v>95774.11</v>
      </c>
      <c r="CR79">
        <f t="shared" si="75"/>
        <v>0</v>
      </c>
      <c r="CS79">
        <f t="shared" si="76"/>
        <v>0</v>
      </c>
      <c r="CT79">
        <f t="shared" si="77"/>
        <v>0</v>
      </c>
      <c r="CU79">
        <f t="shared" si="78"/>
        <v>0</v>
      </c>
      <c r="CV79">
        <f t="shared" si="79"/>
        <v>0</v>
      </c>
      <c r="CW79">
        <f t="shared" si="80"/>
        <v>0</v>
      </c>
      <c r="CX79">
        <f t="shared" si="81"/>
        <v>0</v>
      </c>
      <c r="CY79">
        <f t="shared" si="82"/>
        <v>0</v>
      </c>
      <c r="CZ79">
        <f t="shared" si="83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57</v>
      </c>
      <c r="DW79" t="s">
        <v>57</v>
      </c>
      <c r="DX79">
        <v>1000</v>
      </c>
      <c r="EE79">
        <v>15139126</v>
      </c>
      <c r="EF79">
        <v>2</v>
      </c>
      <c r="EG79" t="s">
        <v>18</v>
      </c>
      <c r="EH79">
        <v>0</v>
      </c>
      <c r="EI79" t="s">
        <v>6</v>
      </c>
      <c r="EJ79">
        <v>1</v>
      </c>
      <c r="EK79">
        <v>15001</v>
      </c>
      <c r="EL79" t="s">
        <v>74</v>
      </c>
      <c r="EM79" t="s">
        <v>75</v>
      </c>
      <c r="EO79" t="s">
        <v>6</v>
      </c>
      <c r="EQ79">
        <v>0</v>
      </c>
      <c r="ER79">
        <v>15989</v>
      </c>
      <c r="ES79">
        <v>15989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84"/>
        <v>0</v>
      </c>
      <c r="FS79">
        <v>0</v>
      </c>
      <c r="FT79" t="s">
        <v>21</v>
      </c>
      <c r="FU79" t="s">
        <v>22</v>
      </c>
      <c r="FX79">
        <v>94.5</v>
      </c>
      <c r="FY79">
        <v>46.75</v>
      </c>
      <c r="GA79" t="s">
        <v>6</v>
      </c>
      <c r="GD79">
        <v>0</v>
      </c>
      <c r="GF79">
        <v>2085149391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85"/>
        <v>0</v>
      </c>
      <c r="GM79">
        <f t="shared" si="86"/>
        <v>414.8</v>
      </c>
      <c r="GN79">
        <f t="shared" si="87"/>
        <v>414.8</v>
      </c>
      <c r="GO79">
        <f t="shared" si="88"/>
        <v>0</v>
      </c>
      <c r="GP79">
        <f t="shared" si="89"/>
        <v>0</v>
      </c>
      <c r="GR79">
        <v>0</v>
      </c>
      <c r="GS79">
        <v>3</v>
      </c>
      <c r="GT79">
        <v>0</v>
      </c>
      <c r="GU79" t="s">
        <v>6</v>
      </c>
      <c r="GV79">
        <f t="shared" si="90"/>
        <v>0</v>
      </c>
      <c r="GW79">
        <v>1</v>
      </c>
      <c r="GX79">
        <f t="shared" si="91"/>
        <v>0</v>
      </c>
      <c r="HA79">
        <v>0</v>
      </c>
      <c r="HB79">
        <v>0</v>
      </c>
      <c r="IK79">
        <v>0</v>
      </c>
    </row>
    <row r="80" spans="1:255" x14ac:dyDescent="0.2">
      <c r="A80" s="2">
        <v>17</v>
      </c>
      <c r="B80" s="2">
        <v>1</v>
      </c>
      <c r="C80" s="2"/>
      <c r="D80" s="2"/>
      <c r="E80" s="2" t="s">
        <v>134</v>
      </c>
      <c r="F80" s="2" t="s">
        <v>135</v>
      </c>
      <c r="G80" s="2" t="s">
        <v>136</v>
      </c>
      <c r="H80" s="2" t="s">
        <v>137</v>
      </c>
      <c r="I80" s="2">
        <v>3.1</v>
      </c>
      <c r="J80" s="2">
        <v>0</v>
      </c>
      <c r="K80" s="2"/>
      <c r="L80" s="2"/>
      <c r="M80" s="2"/>
      <c r="N80" s="2"/>
      <c r="O80" s="2">
        <f>0</f>
        <v>0</v>
      </c>
      <c r="P80" s="2">
        <f>0</f>
        <v>0</v>
      </c>
      <c r="Q80" s="2">
        <f>0</f>
        <v>0</v>
      </c>
      <c r="R80" s="2">
        <f>0</f>
        <v>0</v>
      </c>
      <c r="S80" s="2">
        <f>0</f>
        <v>0</v>
      </c>
      <c r="T80" s="2">
        <f>0</f>
        <v>0</v>
      </c>
      <c r="U80" s="2">
        <f>0</f>
        <v>0</v>
      </c>
      <c r="V80" s="2">
        <f>0</f>
        <v>0</v>
      </c>
      <c r="W80" s="2">
        <f>0</f>
        <v>0</v>
      </c>
      <c r="X80" s="2">
        <f>0</f>
        <v>0</v>
      </c>
      <c r="Y80" s="2">
        <f>0</f>
        <v>0</v>
      </c>
      <c r="Z80" s="2"/>
      <c r="AA80" s="2">
        <v>16481133</v>
      </c>
      <c r="AB80" s="2">
        <f>ROUND((AK80),6)</f>
        <v>42.98</v>
      </c>
      <c r="AC80" s="2">
        <f>0</f>
        <v>0</v>
      </c>
      <c r="AD80" s="2">
        <f>0</f>
        <v>0</v>
      </c>
      <c r="AE80" s="2">
        <f>0</f>
        <v>0</v>
      </c>
      <c r="AF80" s="2">
        <f>0</f>
        <v>0</v>
      </c>
      <c r="AG80" s="2">
        <f>0</f>
        <v>0</v>
      </c>
      <c r="AH80" s="2">
        <f>0</f>
        <v>0</v>
      </c>
      <c r="AI80" s="2">
        <f>0</f>
        <v>0</v>
      </c>
      <c r="AJ80" s="2">
        <f>0</f>
        <v>0</v>
      </c>
      <c r="AK80" s="2">
        <v>42.98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0</v>
      </c>
      <c r="BI80" s="2">
        <v>1</v>
      </c>
      <c r="BJ80" s="2" t="s">
        <v>138</v>
      </c>
      <c r="BK80" s="2"/>
      <c r="BL80" s="2"/>
      <c r="BM80" s="2">
        <v>700004</v>
      </c>
      <c r="BN80" s="2">
        <v>0</v>
      </c>
      <c r="BO80" s="2" t="s">
        <v>6</v>
      </c>
      <c r="BP80" s="2">
        <v>0</v>
      </c>
      <c r="BQ80" s="2">
        <v>19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0</v>
      </c>
      <c r="CA80" s="2">
        <v>0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>AB80*AZ80</f>
        <v>42.98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1013</v>
      </c>
      <c r="DV80" s="2" t="s">
        <v>137</v>
      </c>
      <c r="DW80" s="2" t="s">
        <v>137</v>
      </c>
      <c r="DX80" s="2">
        <v>1</v>
      </c>
      <c r="DY80" s="2"/>
      <c r="DZ80" s="2"/>
      <c r="EA80" s="2"/>
      <c r="EB80" s="2"/>
      <c r="EC80" s="2"/>
      <c r="ED80" s="2"/>
      <c r="EE80" s="2">
        <v>15139288</v>
      </c>
      <c r="EF80" s="2">
        <v>19</v>
      </c>
      <c r="EG80" s="2" t="s">
        <v>139</v>
      </c>
      <c r="EH80" s="2">
        <v>0</v>
      </c>
      <c r="EI80" s="2" t="s">
        <v>6</v>
      </c>
      <c r="EJ80" s="2">
        <v>1</v>
      </c>
      <c r="EK80" s="2">
        <v>700004</v>
      </c>
      <c r="EL80" s="2" t="s">
        <v>140</v>
      </c>
      <c r="EM80" s="2" t="s">
        <v>141</v>
      </c>
      <c r="EN80" s="2"/>
      <c r="EO80" s="2" t="s">
        <v>6</v>
      </c>
      <c r="EP80" s="2"/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4"/>
        <v>0</v>
      </c>
      <c r="FS80" s="2">
        <v>0</v>
      </c>
      <c r="FT80" s="2"/>
      <c r="FU80" s="2"/>
      <c r="FV80" s="2"/>
      <c r="FW80" s="2"/>
      <c r="FX80" s="2">
        <v>0</v>
      </c>
      <c r="FY80" s="2">
        <v>0</v>
      </c>
      <c r="FZ80" s="2"/>
      <c r="GA80" s="2" t="s">
        <v>6</v>
      </c>
      <c r="GB80" s="2"/>
      <c r="GC80" s="2"/>
      <c r="GD80" s="2">
        <v>0</v>
      </c>
      <c r="GE80" s="2"/>
      <c r="GF80" s="2">
        <v>811861299</v>
      </c>
      <c r="GG80" s="2">
        <v>2</v>
      </c>
      <c r="GH80" s="2">
        <v>1</v>
      </c>
      <c r="GI80" s="2">
        <v>-2</v>
      </c>
      <c r="GJ80" s="2">
        <v>2</v>
      </c>
      <c r="GK80" s="2">
        <f>ROUND(R80*(R12)/100,2)</f>
        <v>0</v>
      </c>
      <c r="GL80" s="2">
        <f t="shared" si="85"/>
        <v>0</v>
      </c>
      <c r="GM80" s="2">
        <f>ROUND(CP80*I80,2)</f>
        <v>133.24</v>
      </c>
      <c r="GN80" s="2">
        <f>IF(OR(BI80=0,BI80=1),ROUND(CP80*I80,2),0)</f>
        <v>133.24</v>
      </c>
      <c r="GO80" s="2">
        <f>IF(BI80=2,ROUND(CP80*I80,2),0)</f>
        <v>0</v>
      </c>
      <c r="GP80" s="2">
        <f>IF(BI80=4,ROUND(CP80*I80,2)+GX80,0)</f>
        <v>0</v>
      </c>
      <c r="GQ80" s="2"/>
      <c r="GR80" s="2">
        <v>0</v>
      </c>
      <c r="GS80" s="2">
        <v>3</v>
      </c>
      <c r="GT80" s="2"/>
      <c r="GU80" s="2" t="s">
        <v>6</v>
      </c>
      <c r="GV80" s="2">
        <f>0</f>
        <v>0</v>
      </c>
      <c r="GW80" s="2">
        <v>1</v>
      </c>
      <c r="GX80" s="2">
        <f t="shared" si="91"/>
        <v>0</v>
      </c>
      <c r="GY80" s="2">
        <v>0</v>
      </c>
      <c r="GZ80" s="2">
        <v>0</v>
      </c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E81" t="s">
        <v>134</v>
      </c>
      <c r="F81" t="s">
        <v>135</v>
      </c>
      <c r="G81" t="s">
        <v>136</v>
      </c>
      <c r="H81" t="s">
        <v>137</v>
      </c>
      <c r="I81">
        <v>3.1</v>
      </c>
      <c r="J81">
        <v>0</v>
      </c>
      <c r="O81">
        <f>0</f>
        <v>0</v>
      </c>
      <c r="P81">
        <f>0</f>
        <v>0</v>
      </c>
      <c r="Q81">
        <f>0</f>
        <v>0</v>
      </c>
      <c r="R81">
        <f>0</f>
        <v>0</v>
      </c>
      <c r="S81">
        <f>0</f>
        <v>0</v>
      </c>
      <c r="T81">
        <f>0</f>
        <v>0</v>
      </c>
      <c r="U81">
        <f>0</f>
        <v>0</v>
      </c>
      <c r="V81">
        <f>0</f>
        <v>0</v>
      </c>
      <c r="W81">
        <f>0</f>
        <v>0</v>
      </c>
      <c r="X81">
        <f>0</f>
        <v>0</v>
      </c>
      <c r="Y81">
        <f>0</f>
        <v>0</v>
      </c>
      <c r="AA81">
        <v>16481134</v>
      </c>
      <c r="AB81">
        <f>ROUND((AK81),6)</f>
        <v>42.98</v>
      </c>
      <c r="AC81">
        <f>0</f>
        <v>0</v>
      </c>
      <c r="AD81">
        <f>0</f>
        <v>0</v>
      </c>
      <c r="AE81">
        <f>0</f>
        <v>0</v>
      </c>
      <c r="AF81">
        <f>0</f>
        <v>0</v>
      </c>
      <c r="AG81">
        <f>0</f>
        <v>0</v>
      </c>
      <c r="AH81">
        <f>0</f>
        <v>0</v>
      </c>
      <c r="AI81">
        <f>0</f>
        <v>0</v>
      </c>
      <c r="AJ81">
        <f>0</f>
        <v>0</v>
      </c>
      <c r="AK81">
        <v>42.98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</v>
      </c>
      <c r="AZ81">
        <v>5.99</v>
      </c>
      <c r="BA81">
        <v>1</v>
      </c>
      <c r="BB81">
        <v>1</v>
      </c>
      <c r="BC81">
        <v>1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138</v>
      </c>
      <c r="BM81">
        <v>700004</v>
      </c>
      <c r="BN81">
        <v>0</v>
      </c>
      <c r="BO81" t="s">
        <v>6</v>
      </c>
      <c r="BP81">
        <v>0</v>
      </c>
      <c r="BQ81">
        <v>19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0</v>
      </c>
      <c r="CA81">
        <v>0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>AB81*AZ81</f>
        <v>257.4502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137</v>
      </c>
      <c r="DW81" t="s">
        <v>137</v>
      </c>
      <c r="DX81">
        <v>1</v>
      </c>
      <c r="EE81">
        <v>15139288</v>
      </c>
      <c r="EF81">
        <v>19</v>
      </c>
      <c r="EG81" t="s">
        <v>139</v>
      </c>
      <c r="EH81">
        <v>0</v>
      </c>
      <c r="EI81" t="s">
        <v>6</v>
      </c>
      <c r="EJ81">
        <v>1</v>
      </c>
      <c r="EK81">
        <v>700004</v>
      </c>
      <c r="EL81" t="s">
        <v>140</v>
      </c>
      <c r="EM81" t="s">
        <v>141</v>
      </c>
      <c r="EO81" t="s">
        <v>6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FQ81">
        <v>0</v>
      </c>
      <c r="FR81">
        <f t="shared" si="84"/>
        <v>0</v>
      </c>
      <c r="FS81">
        <v>0</v>
      </c>
      <c r="FX81">
        <v>0</v>
      </c>
      <c r="FY81">
        <v>0</v>
      </c>
      <c r="GA81" t="s">
        <v>6</v>
      </c>
      <c r="GD81">
        <v>0</v>
      </c>
      <c r="GF81">
        <v>811861299</v>
      </c>
      <c r="GG81">
        <v>1</v>
      </c>
      <c r="GH81">
        <v>1</v>
      </c>
      <c r="GI81">
        <v>4</v>
      </c>
      <c r="GJ81">
        <v>2</v>
      </c>
      <c r="GK81">
        <f>ROUND(R81*(S12)/100,2)</f>
        <v>0</v>
      </c>
      <c r="GL81">
        <f t="shared" si="85"/>
        <v>0</v>
      </c>
      <c r="GM81">
        <f>ROUND(CP81*I81,2)</f>
        <v>798.1</v>
      </c>
      <c r="GN81">
        <f>IF(OR(BI81=0,BI81=1),ROUND(CP81*I81,2),0)</f>
        <v>798.1</v>
      </c>
      <c r="GO81">
        <f>IF(BI81=2,ROUND(CP81*I81,2),0)</f>
        <v>0</v>
      </c>
      <c r="GP81">
        <f>IF(BI81=4,ROUND(CP81*I81,2)+GX81,0)</f>
        <v>0</v>
      </c>
      <c r="GR81">
        <v>0</v>
      </c>
      <c r="GS81">
        <v>3</v>
      </c>
      <c r="GU81" t="s">
        <v>6</v>
      </c>
      <c r="GV81">
        <f>0</f>
        <v>0</v>
      </c>
      <c r="GW81">
        <v>1</v>
      </c>
      <c r="GX81">
        <f t="shared" si="91"/>
        <v>0</v>
      </c>
      <c r="GY81">
        <v>0</v>
      </c>
      <c r="GZ81">
        <v>0</v>
      </c>
      <c r="HA81">
        <v>0</v>
      </c>
      <c r="HB81">
        <v>0</v>
      </c>
      <c r="IK81">
        <v>0</v>
      </c>
    </row>
    <row r="82" spans="1:255" x14ac:dyDescent="0.2">
      <c r="A82" s="2">
        <v>17</v>
      </c>
      <c r="B82" s="2">
        <v>1</v>
      </c>
      <c r="C82" s="2"/>
      <c r="D82" s="2"/>
      <c r="E82" s="2" t="s">
        <v>142</v>
      </c>
      <c r="F82" s="2" t="s">
        <v>143</v>
      </c>
      <c r="G82" s="2" t="s">
        <v>144</v>
      </c>
      <c r="H82" s="2" t="s">
        <v>137</v>
      </c>
      <c r="I82" s="2">
        <v>3.1</v>
      </c>
      <c r="J82" s="2">
        <v>0</v>
      </c>
      <c r="K82" s="2"/>
      <c r="L82" s="2"/>
      <c r="M82" s="2"/>
      <c r="N82" s="2"/>
      <c r="O82" s="2">
        <f>0</f>
        <v>0</v>
      </c>
      <c r="P82" s="2">
        <f>0</f>
        <v>0</v>
      </c>
      <c r="Q82" s="2">
        <f>0</f>
        <v>0</v>
      </c>
      <c r="R82" s="2">
        <f>0</f>
        <v>0</v>
      </c>
      <c r="S82" s="2">
        <f>0</f>
        <v>0</v>
      </c>
      <c r="T82" s="2">
        <f>0</f>
        <v>0</v>
      </c>
      <c r="U82" s="2">
        <f>0</f>
        <v>0</v>
      </c>
      <c r="V82" s="2">
        <f>0</f>
        <v>0</v>
      </c>
      <c r="W82" s="2">
        <f>0</f>
        <v>0</v>
      </c>
      <c r="X82" s="2">
        <f>0</f>
        <v>0</v>
      </c>
      <c r="Y82" s="2">
        <f>0</f>
        <v>0</v>
      </c>
      <c r="Z82" s="2"/>
      <c r="AA82" s="2">
        <v>16481133</v>
      </c>
      <c r="AB82" s="2">
        <f>ROUND((AK82),6)</f>
        <v>13.38</v>
      </c>
      <c r="AC82" s="2">
        <f>0</f>
        <v>0</v>
      </c>
      <c r="AD82" s="2">
        <f>0</f>
        <v>0</v>
      </c>
      <c r="AE82" s="2">
        <f>0</f>
        <v>0</v>
      </c>
      <c r="AF82" s="2">
        <f>0</f>
        <v>0</v>
      </c>
      <c r="AG82" s="2">
        <f>0</f>
        <v>0</v>
      </c>
      <c r="AH82" s="2">
        <f>0</f>
        <v>0</v>
      </c>
      <c r="AI82" s="2">
        <f>0</f>
        <v>0</v>
      </c>
      <c r="AJ82" s="2">
        <f>0</f>
        <v>0</v>
      </c>
      <c r="AK82" s="2">
        <v>13.38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0</v>
      </c>
      <c r="BI82" s="2">
        <v>1</v>
      </c>
      <c r="BJ82" s="2" t="s">
        <v>145</v>
      </c>
      <c r="BK82" s="2"/>
      <c r="BL82" s="2"/>
      <c r="BM82" s="2">
        <v>700005</v>
      </c>
      <c r="BN82" s="2">
        <v>0</v>
      </c>
      <c r="BO82" s="2" t="s">
        <v>6</v>
      </c>
      <c r="BP82" s="2">
        <v>0</v>
      </c>
      <c r="BQ82" s="2">
        <v>10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0</v>
      </c>
      <c r="CA82" s="2">
        <v>0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>AB82*AZ82</f>
        <v>13.38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1013</v>
      </c>
      <c r="DV82" s="2" t="s">
        <v>137</v>
      </c>
      <c r="DW82" s="2" t="s">
        <v>137</v>
      </c>
      <c r="DX82" s="2">
        <v>1</v>
      </c>
      <c r="DY82" s="2"/>
      <c r="DZ82" s="2"/>
      <c r="EA82" s="2"/>
      <c r="EB82" s="2"/>
      <c r="EC82" s="2"/>
      <c r="ED82" s="2"/>
      <c r="EE82" s="2">
        <v>15139292</v>
      </c>
      <c r="EF82" s="2">
        <v>10</v>
      </c>
      <c r="EG82" s="2" t="s">
        <v>146</v>
      </c>
      <c r="EH82" s="2">
        <v>0</v>
      </c>
      <c r="EI82" s="2" t="s">
        <v>6</v>
      </c>
      <c r="EJ82" s="2">
        <v>1</v>
      </c>
      <c r="EK82" s="2">
        <v>700005</v>
      </c>
      <c r="EL82" s="2" t="s">
        <v>147</v>
      </c>
      <c r="EM82" s="2" t="s">
        <v>148</v>
      </c>
      <c r="EN82" s="2"/>
      <c r="EO82" s="2" t="s">
        <v>6</v>
      </c>
      <c r="EP82" s="2"/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4"/>
        <v>0</v>
      </c>
      <c r="FS82" s="2">
        <v>0</v>
      </c>
      <c r="FT82" s="2"/>
      <c r="FU82" s="2"/>
      <c r="FV82" s="2"/>
      <c r="FW82" s="2"/>
      <c r="FX82" s="2">
        <v>0</v>
      </c>
      <c r="FY82" s="2">
        <v>0</v>
      </c>
      <c r="FZ82" s="2"/>
      <c r="GA82" s="2" t="s">
        <v>6</v>
      </c>
      <c r="GB82" s="2"/>
      <c r="GC82" s="2"/>
      <c r="GD82" s="2">
        <v>0</v>
      </c>
      <c r="GE82" s="2"/>
      <c r="GF82" s="2">
        <v>57370386</v>
      </c>
      <c r="GG82" s="2">
        <v>2</v>
      </c>
      <c r="GH82" s="2">
        <v>1</v>
      </c>
      <c r="GI82" s="2">
        <v>-2</v>
      </c>
      <c r="GJ82" s="2">
        <v>2</v>
      </c>
      <c r="GK82" s="2">
        <f>ROUND(R82*(R12)/100,2)</f>
        <v>0</v>
      </c>
      <c r="GL82" s="2">
        <f t="shared" si="85"/>
        <v>0</v>
      </c>
      <c r="GM82" s="2">
        <f>ROUND(CP82*I82,2)</f>
        <v>41.48</v>
      </c>
      <c r="GN82" s="2">
        <f>IF(OR(BI82=0,BI82=1),ROUND(CP82*I82,2),0)</f>
        <v>41.48</v>
      </c>
      <c r="GO82" s="2">
        <f>IF(BI82=2,ROUND(CP82*I82,2),0)</f>
        <v>0</v>
      </c>
      <c r="GP82" s="2">
        <f>IF(BI82=4,ROUND(CP82*I82,2)+GX82,0)</f>
        <v>0</v>
      </c>
      <c r="GQ82" s="2"/>
      <c r="GR82" s="2">
        <v>0</v>
      </c>
      <c r="GS82" s="2">
        <v>3</v>
      </c>
      <c r="GT82" s="2"/>
      <c r="GU82" s="2" t="s">
        <v>6</v>
      </c>
      <c r="GV82" s="2">
        <f>0</f>
        <v>0</v>
      </c>
      <c r="GW82" s="2">
        <v>1</v>
      </c>
      <c r="GX82" s="2">
        <f t="shared" si="91"/>
        <v>0</v>
      </c>
      <c r="GY82" s="2">
        <v>0</v>
      </c>
      <c r="GZ82" s="2">
        <v>0</v>
      </c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E83" t="s">
        <v>142</v>
      </c>
      <c r="F83" t="s">
        <v>143</v>
      </c>
      <c r="G83" t="s">
        <v>144</v>
      </c>
      <c r="H83" t="s">
        <v>137</v>
      </c>
      <c r="I83">
        <v>3.1</v>
      </c>
      <c r="J83">
        <v>0</v>
      </c>
      <c r="O83">
        <f>0</f>
        <v>0</v>
      </c>
      <c r="P83">
        <f>0</f>
        <v>0</v>
      </c>
      <c r="Q83">
        <f>0</f>
        <v>0</v>
      </c>
      <c r="R83">
        <f>0</f>
        <v>0</v>
      </c>
      <c r="S83">
        <f>0</f>
        <v>0</v>
      </c>
      <c r="T83">
        <f>0</f>
        <v>0</v>
      </c>
      <c r="U83">
        <f>0</f>
        <v>0</v>
      </c>
      <c r="V83">
        <f>0</f>
        <v>0</v>
      </c>
      <c r="W83">
        <f>0</f>
        <v>0</v>
      </c>
      <c r="X83">
        <f>0</f>
        <v>0</v>
      </c>
      <c r="Y83">
        <f>0</f>
        <v>0</v>
      </c>
      <c r="AA83">
        <v>16481134</v>
      </c>
      <c r="AB83">
        <f>ROUND((AK83),6)</f>
        <v>13.38</v>
      </c>
      <c r="AC83">
        <f>0</f>
        <v>0</v>
      </c>
      <c r="AD83">
        <f>0</f>
        <v>0</v>
      </c>
      <c r="AE83">
        <f>0</f>
        <v>0</v>
      </c>
      <c r="AF83">
        <f>0</f>
        <v>0</v>
      </c>
      <c r="AG83">
        <f>0</f>
        <v>0</v>
      </c>
      <c r="AH83">
        <f>0</f>
        <v>0</v>
      </c>
      <c r="AI83">
        <f>0</f>
        <v>0</v>
      </c>
      <c r="AJ83">
        <f>0</f>
        <v>0</v>
      </c>
      <c r="AK83">
        <v>13.38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</v>
      </c>
      <c r="AZ83">
        <v>5.99</v>
      </c>
      <c r="BA83">
        <v>1</v>
      </c>
      <c r="BB83">
        <v>1</v>
      </c>
      <c r="BC83">
        <v>1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145</v>
      </c>
      <c r="BM83">
        <v>700005</v>
      </c>
      <c r="BN83">
        <v>0</v>
      </c>
      <c r="BO83" t="s">
        <v>6</v>
      </c>
      <c r="BP83">
        <v>0</v>
      </c>
      <c r="BQ83">
        <v>10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0</v>
      </c>
      <c r="CA83">
        <v>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>AB83*AZ83</f>
        <v>80.146200000000007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1013</v>
      </c>
      <c r="DV83" t="s">
        <v>137</v>
      </c>
      <c r="DW83" t="s">
        <v>137</v>
      </c>
      <c r="DX83">
        <v>1</v>
      </c>
      <c r="EE83">
        <v>15139292</v>
      </c>
      <c r="EF83">
        <v>10</v>
      </c>
      <c r="EG83" t="s">
        <v>146</v>
      </c>
      <c r="EH83">
        <v>0</v>
      </c>
      <c r="EI83" t="s">
        <v>6</v>
      </c>
      <c r="EJ83">
        <v>1</v>
      </c>
      <c r="EK83">
        <v>700005</v>
      </c>
      <c r="EL83" t="s">
        <v>147</v>
      </c>
      <c r="EM83" t="s">
        <v>148</v>
      </c>
      <c r="EO83" t="s">
        <v>6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FQ83">
        <v>0</v>
      </c>
      <c r="FR83">
        <f t="shared" si="84"/>
        <v>0</v>
      </c>
      <c r="FS83">
        <v>0</v>
      </c>
      <c r="FX83">
        <v>0</v>
      </c>
      <c r="FY83">
        <v>0</v>
      </c>
      <c r="GA83" t="s">
        <v>6</v>
      </c>
      <c r="GD83">
        <v>0</v>
      </c>
      <c r="GF83">
        <v>57370386</v>
      </c>
      <c r="GG83">
        <v>1</v>
      </c>
      <c r="GH83">
        <v>1</v>
      </c>
      <c r="GI83">
        <v>4</v>
      </c>
      <c r="GJ83">
        <v>2</v>
      </c>
      <c r="GK83">
        <f>ROUND(R83*(S12)/100,2)</f>
        <v>0</v>
      </c>
      <c r="GL83">
        <f t="shared" si="85"/>
        <v>0</v>
      </c>
      <c r="GM83">
        <f>ROUND(CP83*I83,2)</f>
        <v>248.45</v>
      </c>
      <c r="GN83">
        <f>IF(OR(BI83=0,BI83=1),ROUND(CP83*I83,2),0)</f>
        <v>248.45</v>
      </c>
      <c r="GO83">
        <f>IF(BI83=2,ROUND(CP83*I83,2),0)</f>
        <v>0</v>
      </c>
      <c r="GP83">
        <f>IF(BI83=4,ROUND(CP83*I83,2)+GX83,0)</f>
        <v>0</v>
      </c>
      <c r="GR83">
        <v>0</v>
      </c>
      <c r="GS83">
        <v>3</v>
      </c>
      <c r="GU83" t="s">
        <v>6</v>
      </c>
      <c r="GV83">
        <f>0</f>
        <v>0</v>
      </c>
      <c r="GW83">
        <v>1</v>
      </c>
      <c r="GX83">
        <f t="shared" si="91"/>
        <v>0</v>
      </c>
      <c r="GY83">
        <v>0</v>
      </c>
      <c r="GZ83">
        <v>0</v>
      </c>
      <c r="HA83">
        <v>0</v>
      </c>
      <c r="HB83">
        <v>0</v>
      </c>
      <c r="IK83">
        <v>0</v>
      </c>
    </row>
    <row r="85" spans="1:255" x14ac:dyDescent="0.2">
      <c r="A85" s="3">
        <v>51</v>
      </c>
      <c r="B85" s="3">
        <f>B20</f>
        <v>1</v>
      </c>
      <c r="C85" s="3">
        <f>A20</f>
        <v>3</v>
      </c>
      <c r="D85" s="3">
        <f>ROW(A20)</f>
        <v>20</v>
      </c>
      <c r="E85" s="3"/>
      <c r="F85" s="3" t="str">
        <f>IF(F20&lt;&gt;"",F20,"")</f>
        <v>Новая локальная смета</v>
      </c>
      <c r="G85" s="3" t="str">
        <f>IF(G20&lt;&gt;"",G20,"")</f>
        <v>Новая локальная смета</v>
      </c>
      <c r="H85" s="3">
        <v>0</v>
      </c>
      <c r="I85" s="3"/>
      <c r="J85" s="3"/>
      <c r="K85" s="3"/>
      <c r="L85" s="3"/>
      <c r="M85" s="3"/>
      <c r="N85" s="3"/>
      <c r="O85" s="3">
        <f t="shared" ref="O85:T85" si="92">ROUND(AB85,2)</f>
        <v>210423.39</v>
      </c>
      <c r="P85" s="3">
        <f t="shared" si="92"/>
        <v>206553.52</v>
      </c>
      <c r="Q85" s="3">
        <f t="shared" si="92"/>
        <v>479.73</v>
      </c>
      <c r="R85" s="3">
        <f t="shared" si="92"/>
        <v>148.58000000000001</v>
      </c>
      <c r="S85" s="3">
        <f t="shared" si="92"/>
        <v>3390.14</v>
      </c>
      <c r="T85" s="3">
        <f t="shared" si="92"/>
        <v>0</v>
      </c>
      <c r="U85" s="3">
        <f>AH85</f>
        <v>399.7512319999999</v>
      </c>
      <c r="V85" s="3">
        <f>AI85</f>
        <v>11.497266000000002</v>
      </c>
      <c r="W85" s="3">
        <f>ROUND(AJ85,2)</f>
        <v>0</v>
      </c>
      <c r="X85" s="3">
        <f>ROUND(AK85,2)</f>
        <v>3489.97</v>
      </c>
      <c r="Y85" s="3">
        <f>ROUND(AL85,2)</f>
        <v>1977.34</v>
      </c>
      <c r="Z85" s="3"/>
      <c r="AA85" s="3"/>
      <c r="AB85" s="3">
        <f>ROUND(SUMIF(AA24:AA83,"=16481133",O24:O83),2)</f>
        <v>210423.39</v>
      </c>
      <c r="AC85" s="3">
        <f>ROUND(SUMIF(AA24:AA83,"=16481133",P24:P83),2)</f>
        <v>206553.52</v>
      </c>
      <c r="AD85" s="3">
        <f>ROUND(SUMIF(AA24:AA83,"=16481133",Q24:Q83),2)</f>
        <v>479.73</v>
      </c>
      <c r="AE85" s="3">
        <f>ROUND(SUMIF(AA24:AA83,"=16481133",R24:R83),2)</f>
        <v>148.58000000000001</v>
      </c>
      <c r="AF85" s="3">
        <f>ROUND(SUMIF(AA24:AA83,"=16481133",S24:S83),2)</f>
        <v>3390.14</v>
      </c>
      <c r="AG85" s="3">
        <f>ROUND(SUMIF(AA24:AA83,"=16481133",T24:T83),2)</f>
        <v>0</v>
      </c>
      <c r="AH85" s="3">
        <f>SUMIF(AA24:AA83,"=16481133",U24:U83)</f>
        <v>399.7512319999999</v>
      </c>
      <c r="AI85" s="3">
        <f>SUMIF(AA24:AA83,"=16481133",V24:V83)</f>
        <v>11.497266000000002</v>
      </c>
      <c r="AJ85" s="3">
        <f>ROUND(SUMIF(AA24:AA83,"=16481133",W24:W83),2)</f>
        <v>0</v>
      </c>
      <c r="AK85" s="3">
        <f>ROUND(SUMIF(AA24:AA83,"=16481133",X24:X83),2)</f>
        <v>3489.97</v>
      </c>
      <c r="AL85" s="3">
        <f>ROUND(SUMIF(AA24:AA83,"=16481133",Y24:Y83),2)</f>
        <v>1977.34</v>
      </c>
      <c r="AM85" s="3"/>
      <c r="AN85" s="3"/>
      <c r="AO85" s="3">
        <f t="shared" ref="AO85:BC85" si="93">ROUND(BX85,2)</f>
        <v>0</v>
      </c>
      <c r="AP85" s="3">
        <f t="shared" si="93"/>
        <v>0</v>
      </c>
      <c r="AQ85" s="3">
        <f t="shared" si="93"/>
        <v>0</v>
      </c>
      <c r="AR85" s="3">
        <f t="shared" si="93"/>
        <v>216065.42</v>
      </c>
      <c r="AS85" s="3">
        <f t="shared" si="93"/>
        <v>216065.42</v>
      </c>
      <c r="AT85" s="3">
        <f t="shared" si="93"/>
        <v>0</v>
      </c>
      <c r="AU85" s="3">
        <f t="shared" si="93"/>
        <v>0</v>
      </c>
      <c r="AV85" s="3">
        <f t="shared" si="93"/>
        <v>206553.52</v>
      </c>
      <c r="AW85" s="3">
        <f t="shared" si="93"/>
        <v>206553.52</v>
      </c>
      <c r="AX85" s="3">
        <f t="shared" si="93"/>
        <v>0</v>
      </c>
      <c r="AY85" s="3">
        <f t="shared" si="93"/>
        <v>206553.52</v>
      </c>
      <c r="AZ85" s="3">
        <f t="shared" si="93"/>
        <v>0</v>
      </c>
      <c r="BA85" s="3">
        <f t="shared" si="93"/>
        <v>0</v>
      </c>
      <c r="BB85" s="3">
        <f t="shared" si="93"/>
        <v>0</v>
      </c>
      <c r="BC85" s="3">
        <f t="shared" si="93"/>
        <v>0</v>
      </c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>
        <f>ROUND(SUMIF(AA24:AA83,"=16481133",FQ24:FQ83),2)</f>
        <v>0</v>
      </c>
      <c r="BY85" s="3">
        <f>ROUND(SUMIF(AA24:AA83,"=16481133",FR24:FR83),2)</f>
        <v>0</v>
      </c>
      <c r="BZ85" s="3">
        <f>ROUND(SUMIF(AA24:AA83,"=16481133",GL24:GL83),2)</f>
        <v>0</v>
      </c>
      <c r="CA85" s="3">
        <f>ROUND(SUMIF(AA24:AA83,"=16481133",GM24:GM83),2)</f>
        <v>216065.42</v>
      </c>
      <c r="CB85" s="3">
        <f>ROUND(SUMIF(AA24:AA83,"=16481133",GN24:GN83),2)</f>
        <v>216065.42</v>
      </c>
      <c r="CC85" s="3">
        <f>ROUND(SUMIF(AA24:AA83,"=16481133",GO24:GO83),2)</f>
        <v>0</v>
      </c>
      <c r="CD85" s="3">
        <f>ROUND(SUMIF(AA24:AA83,"=16481133",GP24:GP83),2)</f>
        <v>0</v>
      </c>
      <c r="CE85" s="3">
        <f>AC85-BX85</f>
        <v>206553.52</v>
      </c>
      <c r="CF85" s="3">
        <f>AC85-BY85</f>
        <v>206553.52</v>
      </c>
      <c r="CG85" s="3">
        <f>BX85-BZ85</f>
        <v>0</v>
      </c>
      <c r="CH85" s="3">
        <f>AC85-BX85-BY85+BZ85</f>
        <v>206553.52</v>
      </c>
      <c r="CI85" s="3">
        <f>BY85-BZ85</f>
        <v>0</v>
      </c>
      <c r="CJ85" s="3">
        <f>ROUND(SUMIF(AA24:AA83,"=16481133",GX24:GX83),2)</f>
        <v>0</v>
      </c>
      <c r="CK85" s="3">
        <f>ROUND(SUMIF(AA24:AA83,"=16481133",GY24:GY83),2)</f>
        <v>0</v>
      </c>
      <c r="CL85" s="3">
        <f>ROUND(SUMIF(AA24:AA83,"=16481133",GZ24:GZ83),2)</f>
        <v>0</v>
      </c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4">
        <f t="shared" ref="DG85:DL85" si="94">ROUND(DT85,2)</f>
        <v>1260436.22</v>
      </c>
      <c r="DH85" s="4">
        <f t="shared" si="94"/>
        <v>1237255.6399999999</v>
      </c>
      <c r="DI85" s="4">
        <f t="shared" si="94"/>
        <v>2873.58</v>
      </c>
      <c r="DJ85" s="4">
        <f t="shared" si="94"/>
        <v>890.01</v>
      </c>
      <c r="DK85" s="4">
        <f t="shared" si="94"/>
        <v>20307</v>
      </c>
      <c r="DL85" s="4">
        <f t="shared" si="94"/>
        <v>0</v>
      </c>
      <c r="DM85" s="4">
        <f>DZ85</f>
        <v>399.7512319999999</v>
      </c>
      <c r="DN85" s="4">
        <f>EA85</f>
        <v>11.497266000000002</v>
      </c>
      <c r="DO85" s="4">
        <f>ROUND(EB85,2)</f>
        <v>0</v>
      </c>
      <c r="DP85" s="4">
        <f>ROUND(EC85,2)</f>
        <v>20904.93</v>
      </c>
      <c r="DQ85" s="4">
        <f>ROUND(ED85,2)</f>
        <v>11844.31</v>
      </c>
      <c r="DR85" s="4"/>
      <c r="DS85" s="4"/>
      <c r="DT85" s="4">
        <f>ROUND(SUMIF(AA24:AA83,"=16481134",O24:O83),2)</f>
        <v>1260436.22</v>
      </c>
      <c r="DU85" s="4">
        <f>ROUND(SUMIF(AA24:AA83,"=16481134",P24:P83),2)</f>
        <v>1237255.6399999999</v>
      </c>
      <c r="DV85" s="4">
        <f>ROUND(SUMIF(AA24:AA83,"=16481134",Q24:Q83),2)</f>
        <v>2873.58</v>
      </c>
      <c r="DW85" s="4">
        <f>ROUND(SUMIF(AA24:AA83,"=16481134",R24:R83),2)</f>
        <v>890.01</v>
      </c>
      <c r="DX85" s="4">
        <f>ROUND(SUMIF(AA24:AA83,"=16481134",S24:S83),2)</f>
        <v>20307</v>
      </c>
      <c r="DY85" s="4">
        <f>ROUND(SUMIF(AA24:AA83,"=16481134",T24:T83),2)</f>
        <v>0</v>
      </c>
      <c r="DZ85" s="4">
        <f>SUMIF(AA24:AA83,"=16481134",U24:U83)</f>
        <v>399.7512319999999</v>
      </c>
      <c r="EA85" s="4">
        <f>SUMIF(AA24:AA83,"=16481134",V24:V83)</f>
        <v>11.497266000000002</v>
      </c>
      <c r="EB85" s="4">
        <f>ROUND(SUMIF(AA24:AA83,"=16481134",W24:W83),2)</f>
        <v>0</v>
      </c>
      <c r="EC85" s="4">
        <f>ROUND(SUMIF(AA24:AA83,"=16481134",X24:X83),2)</f>
        <v>20904.93</v>
      </c>
      <c r="ED85" s="4">
        <f>ROUND(SUMIF(AA24:AA83,"=16481134",Y24:Y83),2)</f>
        <v>11844.31</v>
      </c>
      <c r="EE85" s="4"/>
      <c r="EF85" s="4"/>
      <c r="EG85" s="4">
        <f t="shared" ref="EG85:EU85" si="95">ROUND(FP85,2)</f>
        <v>0</v>
      </c>
      <c r="EH85" s="4">
        <f t="shared" si="95"/>
        <v>0</v>
      </c>
      <c r="EI85" s="4">
        <f t="shared" si="95"/>
        <v>0</v>
      </c>
      <c r="EJ85" s="4">
        <f t="shared" si="95"/>
        <v>1294232.01</v>
      </c>
      <c r="EK85" s="4">
        <f t="shared" si="95"/>
        <v>1294232.01</v>
      </c>
      <c r="EL85" s="4">
        <f t="shared" si="95"/>
        <v>0</v>
      </c>
      <c r="EM85" s="4">
        <f t="shared" si="95"/>
        <v>0</v>
      </c>
      <c r="EN85" s="4">
        <f t="shared" si="95"/>
        <v>1237255.6399999999</v>
      </c>
      <c r="EO85" s="4">
        <f t="shared" si="95"/>
        <v>1237255.6399999999</v>
      </c>
      <c r="EP85" s="4">
        <f t="shared" si="95"/>
        <v>0</v>
      </c>
      <c r="EQ85" s="4">
        <f t="shared" si="95"/>
        <v>1237255.6399999999</v>
      </c>
      <c r="ER85" s="4">
        <f t="shared" si="95"/>
        <v>0</v>
      </c>
      <c r="ES85" s="4">
        <f t="shared" si="95"/>
        <v>0</v>
      </c>
      <c r="ET85" s="4">
        <f t="shared" si="95"/>
        <v>0</v>
      </c>
      <c r="EU85" s="4">
        <f t="shared" si="95"/>
        <v>0</v>
      </c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>
        <f>ROUND(SUMIF(AA24:AA83,"=16481134",FQ24:FQ83),2)</f>
        <v>0</v>
      </c>
      <c r="FQ85" s="4">
        <f>ROUND(SUMIF(AA24:AA83,"=16481134",FR24:FR83),2)</f>
        <v>0</v>
      </c>
      <c r="FR85" s="4">
        <f>ROUND(SUMIF(AA24:AA83,"=16481134",GL24:GL83),2)</f>
        <v>0</v>
      </c>
      <c r="FS85" s="4">
        <f>ROUND(SUMIF(AA24:AA83,"=16481134",GM24:GM83),2)</f>
        <v>1294232.01</v>
      </c>
      <c r="FT85" s="4">
        <f>ROUND(SUMIF(AA24:AA83,"=16481134",GN24:GN83),2)</f>
        <v>1294232.01</v>
      </c>
      <c r="FU85" s="4">
        <f>ROUND(SUMIF(AA24:AA83,"=16481134",GO24:GO83),2)</f>
        <v>0</v>
      </c>
      <c r="FV85" s="4">
        <f>ROUND(SUMIF(AA24:AA83,"=16481134",GP24:GP83),2)</f>
        <v>0</v>
      </c>
      <c r="FW85" s="4">
        <f>DU85-FP85</f>
        <v>1237255.6399999999</v>
      </c>
      <c r="FX85" s="4">
        <f>DU85-FQ85</f>
        <v>1237255.6399999999</v>
      </c>
      <c r="FY85" s="4">
        <f>FP85-FR85</f>
        <v>0</v>
      </c>
      <c r="FZ85" s="4">
        <f>DU85-FP85-FQ85+FR85</f>
        <v>1237255.6399999999</v>
      </c>
      <c r="GA85" s="4">
        <f>FQ85-FR85</f>
        <v>0</v>
      </c>
      <c r="GB85" s="4">
        <f>ROUND(SUMIF(AA24:AA83,"=16481134",GX24:GX83),2)</f>
        <v>0</v>
      </c>
      <c r="GC85" s="4">
        <f>ROUND(SUMIF(AA24:AA83,"=16481134",GY24:GY83),2)</f>
        <v>0</v>
      </c>
      <c r="GD85" s="4">
        <f>ROUND(SUMIF(AA24:AA83,"=16481134",GZ24:GZ83),2)</f>
        <v>0</v>
      </c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>
        <v>0</v>
      </c>
    </row>
    <row r="87" spans="1:255" x14ac:dyDescent="0.2">
      <c r="A87" s="5">
        <v>50</v>
      </c>
      <c r="B87" s="5">
        <v>0</v>
      </c>
      <c r="C87" s="5">
        <v>0</v>
      </c>
      <c r="D87" s="5">
        <v>1</v>
      </c>
      <c r="E87" s="5">
        <v>0</v>
      </c>
      <c r="F87" s="5">
        <f>ROUND(Source!O85,O87)</f>
        <v>210423.39</v>
      </c>
      <c r="G87" s="5" t="s">
        <v>149</v>
      </c>
      <c r="H87" s="5" t="s">
        <v>150</v>
      </c>
      <c r="I87" s="5"/>
      <c r="J87" s="5"/>
      <c r="K87" s="5">
        <v>201</v>
      </c>
      <c r="L87" s="5">
        <v>1</v>
      </c>
      <c r="M87" s="5">
        <v>3</v>
      </c>
      <c r="N87" s="5" t="s">
        <v>6</v>
      </c>
      <c r="O87" s="5">
        <v>2</v>
      </c>
      <c r="P87" s="5">
        <f>ROUND(Source!DG85,O87)</f>
        <v>1260436.22</v>
      </c>
      <c r="Q87" s="5"/>
      <c r="R87" s="5"/>
      <c r="S87" s="5"/>
      <c r="T87" s="5"/>
      <c r="U87" s="5"/>
      <c r="V87" s="5"/>
      <c r="W87" s="5"/>
    </row>
    <row r="88" spans="1:255" x14ac:dyDescent="0.2">
      <c r="A88" s="5">
        <v>50</v>
      </c>
      <c r="B88" s="5">
        <v>0</v>
      </c>
      <c r="C88" s="5">
        <v>0</v>
      </c>
      <c r="D88" s="5">
        <v>1</v>
      </c>
      <c r="E88" s="5">
        <v>202</v>
      </c>
      <c r="F88" s="5">
        <f>ROUND(Source!P85,O88)</f>
        <v>206553.52</v>
      </c>
      <c r="G88" s="5" t="s">
        <v>151</v>
      </c>
      <c r="H88" s="5" t="s">
        <v>152</v>
      </c>
      <c r="I88" s="5"/>
      <c r="J88" s="5"/>
      <c r="K88" s="5">
        <v>202</v>
      </c>
      <c r="L88" s="5">
        <v>2</v>
      </c>
      <c r="M88" s="5">
        <v>3</v>
      </c>
      <c r="N88" s="5" t="s">
        <v>6</v>
      </c>
      <c r="O88" s="5">
        <v>2</v>
      </c>
      <c r="P88" s="5">
        <f>ROUND(Source!DH85,O88)</f>
        <v>1237255.6399999999</v>
      </c>
      <c r="Q88" s="5"/>
      <c r="R88" s="5"/>
      <c r="S88" s="5"/>
      <c r="T88" s="5"/>
      <c r="U88" s="5"/>
      <c r="V88" s="5"/>
      <c r="W88" s="5"/>
    </row>
    <row r="89" spans="1:255" x14ac:dyDescent="0.2">
      <c r="A89" s="5">
        <v>50</v>
      </c>
      <c r="B89" s="5">
        <v>0</v>
      </c>
      <c r="C89" s="5">
        <v>0</v>
      </c>
      <c r="D89" s="5">
        <v>1</v>
      </c>
      <c r="E89" s="5">
        <v>222</v>
      </c>
      <c r="F89" s="5">
        <f>ROUND(Source!AO85,O89)</f>
        <v>0</v>
      </c>
      <c r="G89" s="5" t="s">
        <v>153</v>
      </c>
      <c r="H89" s="5" t="s">
        <v>154</v>
      </c>
      <c r="I89" s="5"/>
      <c r="J89" s="5"/>
      <c r="K89" s="5">
        <v>222</v>
      </c>
      <c r="L89" s="5">
        <v>3</v>
      </c>
      <c r="M89" s="5">
        <v>3</v>
      </c>
      <c r="N89" s="5" t="s">
        <v>6</v>
      </c>
      <c r="O89" s="5">
        <v>2</v>
      </c>
      <c r="P89" s="5">
        <f>ROUND(Source!EG85,O89)</f>
        <v>0</v>
      </c>
      <c r="Q89" s="5"/>
      <c r="R89" s="5"/>
      <c r="S89" s="5"/>
      <c r="T89" s="5"/>
      <c r="U89" s="5"/>
      <c r="V89" s="5"/>
      <c r="W89" s="5"/>
    </row>
    <row r="90" spans="1:255" x14ac:dyDescent="0.2">
      <c r="A90" s="5">
        <v>50</v>
      </c>
      <c r="B90" s="5">
        <v>0</v>
      </c>
      <c r="C90" s="5">
        <v>0</v>
      </c>
      <c r="D90" s="5">
        <v>1</v>
      </c>
      <c r="E90" s="5">
        <v>225</v>
      </c>
      <c r="F90" s="5">
        <f>ROUND(Source!AV85,O90)</f>
        <v>206553.52</v>
      </c>
      <c r="G90" s="5" t="s">
        <v>155</v>
      </c>
      <c r="H90" s="5" t="s">
        <v>156</v>
      </c>
      <c r="I90" s="5"/>
      <c r="J90" s="5"/>
      <c r="K90" s="5">
        <v>225</v>
      </c>
      <c r="L90" s="5">
        <v>4</v>
      </c>
      <c r="M90" s="5">
        <v>3</v>
      </c>
      <c r="N90" s="5" t="s">
        <v>6</v>
      </c>
      <c r="O90" s="5">
        <v>2</v>
      </c>
      <c r="P90" s="5">
        <f>ROUND(Source!EN85,O90)</f>
        <v>1237255.6399999999</v>
      </c>
      <c r="Q90" s="5"/>
      <c r="R90" s="5"/>
      <c r="S90" s="5"/>
      <c r="T90" s="5"/>
      <c r="U90" s="5"/>
      <c r="V90" s="5"/>
      <c r="W90" s="5"/>
    </row>
    <row r="91" spans="1:255" x14ac:dyDescent="0.2">
      <c r="A91" s="5">
        <v>50</v>
      </c>
      <c r="B91" s="5">
        <v>0</v>
      </c>
      <c r="C91" s="5">
        <v>0</v>
      </c>
      <c r="D91" s="5">
        <v>1</v>
      </c>
      <c r="E91" s="5">
        <v>226</v>
      </c>
      <c r="F91" s="5">
        <f>ROUND(Source!AW85,O91)</f>
        <v>206553.52</v>
      </c>
      <c r="G91" s="5" t="s">
        <v>157</v>
      </c>
      <c r="H91" s="5" t="s">
        <v>158</v>
      </c>
      <c r="I91" s="5"/>
      <c r="J91" s="5"/>
      <c r="K91" s="5">
        <v>226</v>
      </c>
      <c r="L91" s="5">
        <v>5</v>
      </c>
      <c r="M91" s="5">
        <v>3</v>
      </c>
      <c r="N91" s="5" t="s">
        <v>6</v>
      </c>
      <c r="O91" s="5">
        <v>2</v>
      </c>
      <c r="P91" s="5">
        <f>ROUND(Source!EO85,O91)</f>
        <v>1237255.6399999999</v>
      </c>
      <c r="Q91" s="5"/>
      <c r="R91" s="5"/>
      <c r="S91" s="5"/>
      <c r="T91" s="5"/>
      <c r="U91" s="5"/>
      <c r="V91" s="5"/>
      <c r="W91" s="5"/>
    </row>
    <row r="92" spans="1:255" x14ac:dyDescent="0.2">
      <c r="A92" s="5">
        <v>50</v>
      </c>
      <c r="B92" s="5">
        <v>0</v>
      </c>
      <c r="C92" s="5">
        <v>0</v>
      </c>
      <c r="D92" s="5">
        <v>1</v>
      </c>
      <c r="E92" s="5">
        <v>227</v>
      </c>
      <c r="F92" s="5">
        <f>ROUND(Source!AX85,O92)</f>
        <v>0</v>
      </c>
      <c r="G92" s="5" t="s">
        <v>159</v>
      </c>
      <c r="H92" s="5" t="s">
        <v>160</v>
      </c>
      <c r="I92" s="5"/>
      <c r="J92" s="5"/>
      <c r="K92" s="5">
        <v>227</v>
      </c>
      <c r="L92" s="5">
        <v>6</v>
      </c>
      <c r="M92" s="5">
        <v>3</v>
      </c>
      <c r="N92" s="5" t="s">
        <v>6</v>
      </c>
      <c r="O92" s="5">
        <v>2</v>
      </c>
      <c r="P92" s="5">
        <f>ROUND(Source!EP85,O92)</f>
        <v>0</v>
      </c>
      <c r="Q92" s="5"/>
      <c r="R92" s="5"/>
      <c r="S92" s="5"/>
      <c r="T92" s="5"/>
      <c r="U92" s="5"/>
      <c r="V92" s="5"/>
      <c r="W92" s="5"/>
    </row>
    <row r="93" spans="1:255" x14ac:dyDescent="0.2">
      <c r="A93" s="5">
        <v>50</v>
      </c>
      <c r="B93" s="5">
        <v>0</v>
      </c>
      <c r="C93" s="5">
        <v>0</v>
      </c>
      <c r="D93" s="5">
        <v>1</v>
      </c>
      <c r="E93" s="5">
        <v>228</v>
      </c>
      <c r="F93" s="5">
        <f>ROUND(Source!AY85,O93)</f>
        <v>206553.52</v>
      </c>
      <c r="G93" s="5" t="s">
        <v>161</v>
      </c>
      <c r="H93" s="5" t="s">
        <v>162</v>
      </c>
      <c r="I93" s="5"/>
      <c r="J93" s="5"/>
      <c r="K93" s="5">
        <v>228</v>
      </c>
      <c r="L93" s="5">
        <v>7</v>
      </c>
      <c r="M93" s="5">
        <v>3</v>
      </c>
      <c r="N93" s="5" t="s">
        <v>6</v>
      </c>
      <c r="O93" s="5">
        <v>2</v>
      </c>
      <c r="P93" s="5">
        <f>ROUND(Source!EQ85,O93)</f>
        <v>1237255.6399999999</v>
      </c>
      <c r="Q93" s="5"/>
      <c r="R93" s="5"/>
      <c r="S93" s="5"/>
      <c r="T93" s="5"/>
      <c r="U93" s="5"/>
      <c r="V93" s="5"/>
      <c r="W93" s="5"/>
    </row>
    <row r="94" spans="1:255" x14ac:dyDescent="0.2">
      <c r="A94" s="5">
        <v>50</v>
      </c>
      <c r="B94" s="5">
        <v>0</v>
      </c>
      <c r="C94" s="5">
        <v>0</v>
      </c>
      <c r="D94" s="5">
        <v>1</v>
      </c>
      <c r="E94" s="5">
        <v>216</v>
      </c>
      <c r="F94" s="5">
        <f>ROUND(Source!AP85,O94)</f>
        <v>0</v>
      </c>
      <c r="G94" s="5" t="s">
        <v>163</v>
      </c>
      <c r="H94" s="5" t="s">
        <v>164</v>
      </c>
      <c r="I94" s="5"/>
      <c r="J94" s="5"/>
      <c r="K94" s="5">
        <v>216</v>
      </c>
      <c r="L94" s="5">
        <v>8</v>
      </c>
      <c r="M94" s="5">
        <v>3</v>
      </c>
      <c r="N94" s="5" t="s">
        <v>6</v>
      </c>
      <c r="O94" s="5">
        <v>2</v>
      </c>
      <c r="P94" s="5">
        <f>ROUND(Source!EH85,O94)</f>
        <v>0</v>
      </c>
      <c r="Q94" s="5"/>
      <c r="R94" s="5"/>
      <c r="S94" s="5"/>
      <c r="T94" s="5"/>
      <c r="U94" s="5"/>
      <c r="V94" s="5"/>
      <c r="W94" s="5"/>
    </row>
    <row r="95" spans="1:255" x14ac:dyDescent="0.2">
      <c r="A95" s="5">
        <v>50</v>
      </c>
      <c r="B95" s="5">
        <v>0</v>
      </c>
      <c r="C95" s="5">
        <v>0</v>
      </c>
      <c r="D95" s="5">
        <v>1</v>
      </c>
      <c r="E95" s="5">
        <v>223</v>
      </c>
      <c r="F95" s="5">
        <f>ROUND(Source!AQ85,O95)</f>
        <v>0</v>
      </c>
      <c r="G95" s="5" t="s">
        <v>165</v>
      </c>
      <c r="H95" s="5" t="s">
        <v>166</v>
      </c>
      <c r="I95" s="5"/>
      <c r="J95" s="5"/>
      <c r="K95" s="5">
        <v>223</v>
      </c>
      <c r="L95" s="5">
        <v>9</v>
      </c>
      <c r="M95" s="5">
        <v>3</v>
      </c>
      <c r="N95" s="5" t="s">
        <v>6</v>
      </c>
      <c r="O95" s="5">
        <v>2</v>
      </c>
      <c r="P95" s="5">
        <f>ROUND(Source!EI85,O95)</f>
        <v>0</v>
      </c>
      <c r="Q95" s="5"/>
      <c r="R95" s="5"/>
      <c r="S95" s="5"/>
      <c r="T95" s="5"/>
      <c r="U95" s="5"/>
      <c r="V95" s="5"/>
      <c r="W95" s="5"/>
    </row>
    <row r="96" spans="1:255" x14ac:dyDescent="0.2">
      <c r="A96" s="5">
        <v>50</v>
      </c>
      <c r="B96" s="5">
        <v>0</v>
      </c>
      <c r="C96" s="5">
        <v>0</v>
      </c>
      <c r="D96" s="5">
        <v>1</v>
      </c>
      <c r="E96" s="5">
        <v>229</v>
      </c>
      <c r="F96" s="5">
        <f>ROUND(Source!AZ85,O96)</f>
        <v>0</v>
      </c>
      <c r="G96" s="5" t="s">
        <v>167</v>
      </c>
      <c r="H96" s="5" t="s">
        <v>168</v>
      </c>
      <c r="I96" s="5"/>
      <c r="J96" s="5"/>
      <c r="K96" s="5">
        <v>229</v>
      </c>
      <c r="L96" s="5">
        <v>10</v>
      </c>
      <c r="M96" s="5">
        <v>3</v>
      </c>
      <c r="N96" s="5" t="s">
        <v>6</v>
      </c>
      <c r="O96" s="5">
        <v>2</v>
      </c>
      <c r="P96" s="5">
        <f>ROUND(Source!ER85,O96)</f>
        <v>0</v>
      </c>
      <c r="Q96" s="5"/>
      <c r="R96" s="5"/>
      <c r="S96" s="5"/>
      <c r="T96" s="5"/>
      <c r="U96" s="5"/>
      <c r="V96" s="5"/>
      <c r="W96" s="5"/>
    </row>
    <row r="97" spans="1:23" x14ac:dyDescent="0.2">
      <c r="A97" s="5">
        <v>50</v>
      </c>
      <c r="B97" s="5">
        <v>0</v>
      </c>
      <c r="C97" s="5">
        <v>0</v>
      </c>
      <c r="D97" s="5">
        <v>1</v>
      </c>
      <c r="E97" s="5">
        <v>203</v>
      </c>
      <c r="F97" s="5">
        <f>ROUND(Source!Q85,O97)</f>
        <v>479.73</v>
      </c>
      <c r="G97" s="5" t="s">
        <v>169</v>
      </c>
      <c r="H97" s="5" t="s">
        <v>170</v>
      </c>
      <c r="I97" s="5"/>
      <c r="J97" s="5"/>
      <c r="K97" s="5">
        <v>203</v>
      </c>
      <c r="L97" s="5">
        <v>11</v>
      </c>
      <c r="M97" s="5">
        <v>3</v>
      </c>
      <c r="N97" s="5" t="s">
        <v>6</v>
      </c>
      <c r="O97" s="5">
        <v>2</v>
      </c>
      <c r="P97" s="5">
        <f>ROUND(Source!DI85,O97)</f>
        <v>2873.58</v>
      </c>
      <c r="Q97" s="5"/>
      <c r="R97" s="5"/>
      <c r="S97" s="5"/>
      <c r="T97" s="5"/>
      <c r="U97" s="5"/>
      <c r="V97" s="5"/>
      <c r="W97" s="5"/>
    </row>
    <row r="98" spans="1:23" x14ac:dyDescent="0.2">
      <c r="A98" s="5">
        <v>50</v>
      </c>
      <c r="B98" s="5">
        <v>0</v>
      </c>
      <c r="C98" s="5">
        <v>0</v>
      </c>
      <c r="D98" s="5">
        <v>1</v>
      </c>
      <c r="E98" s="5">
        <v>231</v>
      </c>
      <c r="F98" s="5">
        <f>ROUND(Source!BB85,O98)</f>
        <v>0</v>
      </c>
      <c r="G98" s="5" t="s">
        <v>171</v>
      </c>
      <c r="H98" s="5" t="s">
        <v>172</v>
      </c>
      <c r="I98" s="5"/>
      <c r="J98" s="5"/>
      <c r="K98" s="5">
        <v>231</v>
      </c>
      <c r="L98" s="5">
        <v>12</v>
      </c>
      <c r="M98" s="5">
        <v>3</v>
      </c>
      <c r="N98" s="5" t="s">
        <v>6</v>
      </c>
      <c r="O98" s="5">
        <v>2</v>
      </c>
      <c r="P98" s="5">
        <f>ROUND(Source!ET85,O98)</f>
        <v>0</v>
      </c>
      <c r="Q98" s="5"/>
      <c r="R98" s="5"/>
      <c r="S98" s="5"/>
      <c r="T98" s="5"/>
      <c r="U98" s="5"/>
      <c r="V98" s="5"/>
      <c r="W98" s="5"/>
    </row>
    <row r="99" spans="1:23" x14ac:dyDescent="0.2">
      <c r="A99" s="5">
        <v>50</v>
      </c>
      <c r="B99" s="5">
        <v>0</v>
      </c>
      <c r="C99" s="5">
        <v>0</v>
      </c>
      <c r="D99" s="5">
        <v>1</v>
      </c>
      <c r="E99" s="5">
        <v>204</v>
      </c>
      <c r="F99" s="5">
        <f>ROUND(Source!R85,O99)</f>
        <v>148.58000000000001</v>
      </c>
      <c r="G99" s="5" t="s">
        <v>173</v>
      </c>
      <c r="H99" s="5" t="s">
        <v>174</v>
      </c>
      <c r="I99" s="5"/>
      <c r="J99" s="5"/>
      <c r="K99" s="5">
        <v>204</v>
      </c>
      <c r="L99" s="5">
        <v>13</v>
      </c>
      <c r="M99" s="5">
        <v>3</v>
      </c>
      <c r="N99" s="5" t="s">
        <v>6</v>
      </c>
      <c r="O99" s="5">
        <v>2</v>
      </c>
      <c r="P99" s="5">
        <f>ROUND(Source!DJ85,O99)</f>
        <v>890.01</v>
      </c>
      <c r="Q99" s="5"/>
      <c r="R99" s="5"/>
      <c r="S99" s="5"/>
      <c r="T99" s="5"/>
      <c r="U99" s="5"/>
      <c r="V99" s="5"/>
      <c r="W99" s="5"/>
    </row>
    <row r="100" spans="1:23" x14ac:dyDescent="0.2">
      <c r="A100" s="5">
        <v>50</v>
      </c>
      <c r="B100" s="5">
        <v>0</v>
      </c>
      <c r="C100" s="5">
        <v>0</v>
      </c>
      <c r="D100" s="5">
        <v>1</v>
      </c>
      <c r="E100" s="5">
        <v>205</v>
      </c>
      <c r="F100" s="5">
        <f>ROUND(Source!S85,O100)</f>
        <v>3390.14</v>
      </c>
      <c r="G100" s="5" t="s">
        <v>175</v>
      </c>
      <c r="H100" s="5" t="s">
        <v>176</v>
      </c>
      <c r="I100" s="5"/>
      <c r="J100" s="5"/>
      <c r="K100" s="5">
        <v>205</v>
      </c>
      <c r="L100" s="5">
        <v>14</v>
      </c>
      <c r="M100" s="5">
        <v>3</v>
      </c>
      <c r="N100" s="5" t="s">
        <v>6</v>
      </c>
      <c r="O100" s="5">
        <v>2</v>
      </c>
      <c r="P100" s="5">
        <f>ROUND(Source!DK85,O100)</f>
        <v>20307</v>
      </c>
      <c r="Q100" s="5"/>
      <c r="R100" s="5"/>
      <c r="S100" s="5"/>
      <c r="T100" s="5"/>
      <c r="U100" s="5"/>
      <c r="V100" s="5"/>
      <c r="W100" s="5"/>
    </row>
    <row r="101" spans="1:23" x14ac:dyDescent="0.2">
      <c r="A101" s="5">
        <v>50</v>
      </c>
      <c r="B101" s="5">
        <v>0</v>
      </c>
      <c r="C101" s="5">
        <v>0</v>
      </c>
      <c r="D101" s="5">
        <v>1</v>
      </c>
      <c r="E101" s="5">
        <v>232</v>
      </c>
      <c r="F101" s="5">
        <f>ROUND(Source!BC85,O101)</f>
        <v>0</v>
      </c>
      <c r="G101" s="5" t="s">
        <v>177</v>
      </c>
      <c r="H101" s="5" t="s">
        <v>178</v>
      </c>
      <c r="I101" s="5"/>
      <c r="J101" s="5"/>
      <c r="K101" s="5">
        <v>232</v>
      </c>
      <c r="L101" s="5">
        <v>15</v>
      </c>
      <c r="M101" s="5">
        <v>3</v>
      </c>
      <c r="N101" s="5" t="s">
        <v>6</v>
      </c>
      <c r="O101" s="5">
        <v>2</v>
      </c>
      <c r="P101" s="5">
        <f>ROUND(Source!EU85,O101)</f>
        <v>0</v>
      </c>
      <c r="Q101" s="5"/>
      <c r="R101" s="5"/>
      <c r="S101" s="5"/>
      <c r="T101" s="5"/>
      <c r="U101" s="5"/>
      <c r="V101" s="5"/>
      <c r="W101" s="5"/>
    </row>
    <row r="102" spans="1:23" x14ac:dyDescent="0.2">
      <c r="A102" s="5">
        <v>50</v>
      </c>
      <c r="B102" s="5">
        <v>0</v>
      </c>
      <c r="C102" s="5">
        <v>0</v>
      </c>
      <c r="D102" s="5">
        <v>1</v>
      </c>
      <c r="E102" s="5">
        <v>214</v>
      </c>
      <c r="F102" s="5">
        <f>ROUND(Source!AS85,O102)</f>
        <v>216065.42</v>
      </c>
      <c r="G102" s="5" t="s">
        <v>179</v>
      </c>
      <c r="H102" s="5" t="s">
        <v>180</v>
      </c>
      <c r="I102" s="5"/>
      <c r="J102" s="5"/>
      <c r="K102" s="5">
        <v>214</v>
      </c>
      <c r="L102" s="5">
        <v>16</v>
      </c>
      <c r="M102" s="5">
        <v>3</v>
      </c>
      <c r="N102" s="5" t="s">
        <v>6</v>
      </c>
      <c r="O102" s="5">
        <v>2</v>
      </c>
      <c r="P102" s="5">
        <f>ROUND(Source!EK85,O102)</f>
        <v>1294232.01</v>
      </c>
      <c r="Q102" s="5"/>
      <c r="R102" s="5"/>
      <c r="S102" s="5"/>
      <c r="T102" s="5"/>
      <c r="U102" s="5"/>
      <c r="V102" s="5"/>
      <c r="W102" s="5"/>
    </row>
    <row r="103" spans="1:23" x14ac:dyDescent="0.2">
      <c r="A103" s="5">
        <v>50</v>
      </c>
      <c r="B103" s="5">
        <v>0</v>
      </c>
      <c r="C103" s="5">
        <v>0</v>
      </c>
      <c r="D103" s="5">
        <v>1</v>
      </c>
      <c r="E103" s="5">
        <v>215</v>
      </c>
      <c r="F103" s="5">
        <f>ROUND(Source!AT85,O103)</f>
        <v>0</v>
      </c>
      <c r="G103" s="5" t="s">
        <v>181</v>
      </c>
      <c r="H103" s="5" t="s">
        <v>182</v>
      </c>
      <c r="I103" s="5"/>
      <c r="J103" s="5"/>
      <c r="K103" s="5">
        <v>215</v>
      </c>
      <c r="L103" s="5">
        <v>17</v>
      </c>
      <c r="M103" s="5">
        <v>3</v>
      </c>
      <c r="N103" s="5" t="s">
        <v>6</v>
      </c>
      <c r="O103" s="5">
        <v>2</v>
      </c>
      <c r="P103" s="5">
        <f>ROUND(Source!EL85,O103)</f>
        <v>0</v>
      </c>
      <c r="Q103" s="5"/>
      <c r="R103" s="5"/>
      <c r="S103" s="5"/>
      <c r="T103" s="5"/>
      <c r="U103" s="5"/>
      <c r="V103" s="5"/>
      <c r="W103" s="5"/>
    </row>
    <row r="104" spans="1:23" x14ac:dyDescent="0.2">
      <c r="A104" s="5">
        <v>50</v>
      </c>
      <c r="B104" s="5">
        <v>0</v>
      </c>
      <c r="C104" s="5">
        <v>0</v>
      </c>
      <c r="D104" s="5">
        <v>1</v>
      </c>
      <c r="E104" s="5">
        <v>217</v>
      </c>
      <c r="F104" s="5">
        <f>ROUND(Source!AU85,O104)</f>
        <v>0</v>
      </c>
      <c r="G104" s="5" t="s">
        <v>183</v>
      </c>
      <c r="H104" s="5" t="s">
        <v>184</v>
      </c>
      <c r="I104" s="5"/>
      <c r="J104" s="5"/>
      <c r="K104" s="5">
        <v>217</v>
      </c>
      <c r="L104" s="5">
        <v>18</v>
      </c>
      <c r="M104" s="5">
        <v>3</v>
      </c>
      <c r="N104" s="5" t="s">
        <v>6</v>
      </c>
      <c r="O104" s="5">
        <v>2</v>
      </c>
      <c r="P104" s="5">
        <f>ROUND(Source!EM85,O104)</f>
        <v>0</v>
      </c>
      <c r="Q104" s="5"/>
      <c r="R104" s="5"/>
      <c r="S104" s="5"/>
      <c r="T104" s="5"/>
      <c r="U104" s="5"/>
      <c r="V104" s="5"/>
      <c r="W104" s="5"/>
    </row>
    <row r="105" spans="1:23" x14ac:dyDescent="0.2">
      <c r="A105" s="5">
        <v>50</v>
      </c>
      <c r="B105" s="5">
        <v>0</v>
      </c>
      <c r="C105" s="5">
        <v>0</v>
      </c>
      <c r="D105" s="5">
        <v>1</v>
      </c>
      <c r="E105" s="5">
        <v>230</v>
      </c>
      <c r="F105" s="5">
        <f>ROUND(Source!BA85,O105)</f>
        <v>0</v>
      </c>
      <c r="G105" s="5" t="s">
        <v>185</v>
      </c>
      <c r="H105" s="5" t="s">
        <v>186</v>
      </c>
      <c r="I105" s="5"/>
      <c r="J105" s="5"/>
      <c r="K105" s="5">
        <v>230</v>
      </c>
      <c r="L105" s="5">
        <v>19</v>
      </c>
      <c r="M105" s="5">
        <v>3</v>
      </c>
      <c r="N105" s="5" t="s">
        <v>6</v>
      </c>
      <c r="O105" s="5">
        <v>2</v>
      </c>
      <c r="P105" s="5">
        <f>ROUND(Source!ES85,O105)</f>
        <v>0</v>
      </c>
      <c r="Q105" s="5"/>
      <c r="R105" s="5"/>
      <c r="S105" s="5"/>
      <c r="T105" s="5"/>
      <c r="U105" s="5"/>
      <c r="V105" s="5"/>
      <c r="W105" s="5"/>
    </row>
    <row r="106" spans="1:23" x14ac:dyDescent="0.2">
      <c r="A106" s="5">
        <v>50</v>
      </c>
      <c r="B106" s="5">
        <v>0</v>
      </c>
      <c r="C106" s="5">
        <v>0</v>
      </c>
      <c r="D106" s="5">
        <v>1</v>
      </c>
      <c r="E106" s="5">
        <v>206</v>
      </c>
      <c r="F106" s="5">
        <f>ROUND(Source!T85,O106)</f>
        <v>0</v>
      </c>
      <c r="G106" s="5" t="s">
        <v>187</v>
      </c>
      <c r="H106" s="5" t="s">
        <v>188</v>
      </c>
      <c r="I106" s="5"/>
      <c r="J106" s="5"/>
      <c r="K106" s="5">
        <v>206</v>
      </c>
      <c r="L106" s="5">
        <v>20</v>
      </c>
      <c r="M106" s="5">
        <v>3</v>
      </c>
      <c r="N106" s="5" t="s">
        <v>6</v>
      </c>
      <c r="O106" s="5">
        <v>2</v>
      </c>
      <c r="P106" s="5">
        <f>ROUND(Source!DL85,O106)</f>
        <v>0</v>
      </c>
      <c r="Q106" s="5"/>
      <c r="R106" s="5"/>
      <c r="S106" s="5"/>
      <c r="T106" s="5"/>
      <c r="U106" s="5"/>
      <c r="V106" s="5"/>
      <c r="W106" s="5"/>
    </row>
    <row r="107" spans="1:23" x14ac:dyDescent="0.2">
      <c r="A107" s="5">
        <v>50</v>
      </c>
      <c r="B107" s="5">
        <v>0</v>
      </c>
      <c r="C107" s="5">
        <v>0</v>
      </c>
      <c r="D107" s="5">
        <v>1</v>
      </c>
      <c r="E107" s="5">
        <v>207</v>
      </c>
      <c r="F107" s="5">
        <f>Source!U85</f>
        <v>399.7512319999999</v>
      </c>
      <c r="G107" s="5" t="s">
        <v>189</v>
      </c>
      <c r="H107" s="5" t="s">
        <v>190</v>
      </c>
      <c r="I107" s="5"/>
      <c r="J107" s="5"/>
      <c r="K107" s="5">
        <v>207</v>
      </c>
      <c r="L107" s="5">
        <v>21</v>
      </c>
      <c r="M107" s="5">
        <v>3</v>
      </c>
      <c r="N107" s="5" t="s">
        <v>6</v>
      </c>
      <c r="O107" s="5">
        <v>-1</v>
      </c>
      <c r="P107" s="5">
        <f>Source!DM85</f>
        <v>399.7512319999999</v>
      </c>
      <c r="Q107" s="5"/>
      <c r="R107" s="5"/>
      <c r="S107" s="5"/>
      <c r="T107" s="5"/>
      <c r="U107" s="5"/>
      <c r="V107" s="5"/>
      <c r="W107" s="5"/>
    </row>
    <row r="108" spans="1:23" x14ac:dyDescent="0.2">
      <c r="A108" s="5">
        <v>50</v>
      </c>
      <c r="B108" s="5">
        <v>0</v>
      </c>
      <c r="C108" s="5">
        <v>0</v>
      </c>
      <c r="D108" s="5">
        <v>1</v>
      </c>
      <c r="E108" s="5">
        <v>208</v>
      </c>
      <c r="F108" s="5">
        <f>Source!V85</f>
        <v>11.497266000000002</v>
      </c>
      <c r="G108" s="5" t="s">
        <v>191</v>
      </c>
      <c r="H108" s="5" t="s">
        <v>192</v>
      </c>
      <c r="I108" s="5"/>
      <c r="J108" s="5"/>
      <c r="K108" s="5">
        <v>208</v>
      </c>
      <c r="L108" s="5">
        <v>22</v>
      </c>
      <c r="M108" s="5">
        <v>3</v>
      </c>
      <c r="N108" s="5" t="s">
        <v>6</v>
      </c>
      <c r="O108" s="5">
        <v>-1</v>
      </c>
      <c r="P108" s="5">
        <f>Source!DN85</f>
        <v>11.497266000000002</v>
      </c>
      <c r="Q108" s="5"/>
      <c r="R108" s="5"/>
      <c r="S108" s="5"/>
      <c r="T108" s="5"/>
      <c r="U108" s="5"/>
      <c r="V108" s="5"/>
      <c r="W108" s="5"/>
    </row>
    <row r="109" spans="1:23" x14ac:dyDescent="0.2">
      <c r="A109" s="5">
        <v>50</v>
      </c>
      <c r="B109" s="5">
        <v>0</v>
      </c>
      <c r="C109" s="5">
        <v>0</v>
      </c>
      <c r="D109" s="5">
        <v>1</v>
      </c>
      <c r="E109" s="5">
        <v>209</v>
      </c>
      <c r="F109" s="5">
        <f>ROUND(Source!W85,O109)</f>
        <v>0</v>
      </c>
      <c r="G109" s="5" t="s">
        <v>193</v>
      </c>
      <c r="H109" s="5" t="s">
        <v>194</v>
      </c>
      <c r="I109" s="5"/>
      <c r="J109" s="5"/>
      <c r="K109" s="5">
        <v>209</v>
      </c>
      <c r="L109" s="5">
        <v>23</v>
      </c>
      <c r="M109" s="5">
        <v>3</v>
      </c>
      <c r="N109" s="5" t="s">
        <v>6</v>
      </c>
      <c r="O109" s="5">
        <v>2</v>
      </c>
      <c r="P109" s="5">
        <f>ROUND(Source!DO85,O109)</f>
        <v>0</v>
      </c>
      <c r="Q109" s="5"/>
      <c r="R109" s="5"/>
      <c r="S109" s="5"/>
      <c r="T109" s="5"/>
      <c r="U109" s="5"/>
      <c r="V109" s="5"/>
      <c r="W109" s="5"/>
    </row>
    <row r="110" spans="1:23" x14ac:dyDescent="0.2">
      <c r="A110" s="5">
        <v>50</v>
      </c>
      <c r="B110" s="5">
        <v>0</v>
      </c>
      <c r="C110" s="5">
        <v>0</v>
      </c>
      <c r="D110" s="5">
        <v>1</v>
      </c>
      <c r="E110" s="5">
        <v>0</v>
      </c>
      <c r="F110" s="5">
        <f>ROUND(Source!X85,O110)</f>
        <v>3489.97</v>
      </c>
      <c r="G110" s="5" t="s">
        <v>195</v>
      </c>
      <c r="H110" s="5" t="s">
        <v>196</v>
      </c>
      <c r="I110" s="5"/>
      <c r="J110" s="5"/>
      <c r="K110" s="5">
        <v>210</v>
      </c>
      <c r="L110" s="5">
        <v>24</v>
      </c>
      <c r="M110" s="5">
        <v>3</v>
      </c>
      <c r="N110" s="5" t="s">
        <v>6</v>
      </c>
      <c r="O110" s="5">
        <v>2</v>
      </c>
      <c r="P110" s="5">
        <f>ROUND(Source!DP85,O110)</f>
        <v>20904.93</v>
      </c>
      <c r="Q110" s="5"/>
      <c r="R110" s="5"/>
      <c r="S110" s="5"/>
      <c r="T110" s="5"/>
      <c r="U110" s="5"/>
      <c r="V110" s="5"/>
      <c r="W110" s="5"/>
    </row>
    <row r="111" spans="1:23" x14ac:dyDescent="0.2">
      <c r="A111" s="5">
        <v>50</v>
      </c>
      <c r="B111" s="5">
        <v>0</v>
      </c>
      <c r="C111" s="5">
        <v>0</v>
      </c>
      <c r="D111" s="5">
        <v>1</v>
      </c>
      <c r="E111" s="5">
        <v>0</v>
      </c>
      <c r="F111" s="5">
        <f>ROUND(Source!Y85,O111)</f>
        <v>1977.34</v>
      </c>
      <c r="G111" s="5" t="s">
        <v>197</v>
      </c>
      <c r="H111" s="5" t="s">
        <v>198</v>
      </c>
      <c r="I111" s="5"/>
      <c r="J111" s="5"/>
      <c r="K111" s="5">
        <v>211</v>
      </c>
      <c r="L111" s="5">
        <v>25</v>
      </c>
      <c r="M111" s="5">
        <v>3</v>
      </c>
      <c r="N111" s="5" t="s">
        <v>6</v>
      </c>
      <c r="O111" s="5">
        <v>2</v>
      </c>
      <c r="P111" s="5">
        <f>ROUND(Source!DQ85,O111)</f>
        <v>11844.31</v>
      </c>
      <c r="Q111" s="5"/>
      <c r="R111" s="5"/>
      <c r="S111" s="5"/>
      <c r="T111" s="5"/>
      <c r="U111" s="5"/>
      <c r="V111" s="5"/>
      <c r="W111" s="5"/>
    </row>
    <row r="112" spans="1:23" x14ac:dyDescent="0.2">
      <c r="A112" s="5">
        <v>50</v>
      </c>
      <c r="B112" s="5">
        <v>0</v>
      </c>
      <c r="C112" s="5">
        <v>0</v>
      </c>
      <c r="D112" s="5">
        <v>1</v>
      </c>
      <c r="E112" s="5">
        <v>224</v>
      </c>
      <c r="F112" s="5">
        <f>ROUND(Source!AR85,O112)</f>
        <v>216065.42</v>
      </c>
      <c r="G112" s="5" t="s">
        <v>199</v>
      </c>
      <c r="H112" s="5" t="s">
        <v>200</v>
      </c>
      <c r="I112" s="5"/>
      <c r="J112" s="5"/>
      <c r="K112" s="5">
        <v>224</v>
      </c>
      <c r="L112" s="5">
        <v>26</v>
      </c>
      <c r="M112" s="5">
        <v>3</v>
      </c>
      <c r="N112" s="5" t="s">
        <v>6</v>
      </c>
      <c r="O112" s="5">
        <v>2</v>
      </c>
      <c r="P112" s="5">
        <f>ROUND(Source!EJ85,O112)</f>
        <v>1294232.01</v>
      </c>
      <c r="Q112" s="5"/>
      <c r="R112" s="5"/>
      <c r="S112" s="5"/>
      <c r="T112" s="5"/>
      <c r="U112" s="5"/>
      <c r="V112" s="5"/>
      <c r="W112" s="5"/>
    </row>
    <row r="113" spans="1:206" x14ac:dyDescent="0.2">
      <c r="A113" s="5">
        <v>50</v>
      </c>
      <c r="B113" s="5">
        <v>0</v>
      </c>
      <c r="C113" s="5">
        <v>0</v>
      </c>
      <c r="D113" s="5">
        <v>2</v>
      </c>
      <c r="E113" s="5">
        <v>201</v>
      </c>
      <c r="F113" s="5">
        <f>ROUND(ROUND(F87,2),O113)</f>
        <v>210423.39</v>
      </c>
      <c r="G113" s="5" t="s">
        <v>201</v>
      </c>
      <c r="H113" s="5" t="s">
        <v>202</v>
      </c>
      <c r="I113" s="5"/>
      <c r="J113" s="5"/>
      <c r="K113" s="5">
        <v>212</v>
      </c>
      <c r="L113" s="5">
        <v>27</v>
      </c>
      <c r="M113" s="5">
        <v>3</v>
      </c>
      <c r="N113" s="5" t="s">
        <v>6</v>
      </c>
      <c r="O113" s="5">
        <v>2</v>
      </c>
      <c r="P113" s="5">
        <f>ROUND(ROUND(P87,2),O113)</f>
        <v>1260436.22</v>
      </c>
      <c r="Q113" s="5"/>
      <c r="R113" s="5"/>
      <c r="S113" s="5"/>
      <c r="T113" s="5"/>
      <c r="U113" s="5"/>
      <c r="V113" s="5"/>
      <c r="W113" s="5"/>
    </row>
    <row r="114" spans="1:206" x14ac:dyDescent="0.2">
      <c r="A114" s="5">
        <v>50</v>
      </c>
      <c r="B114" s="5">
        <v>0</v>
      </c>
      <c r="C114" s="5">
        <v>0</v>
      </c>
      <c r="D114" s="5">
        <v>2</v>
      </c>
      <c r="E114" s="5">
        <v>210</v>
      </c>
      <c r="F114" s="5">
        <f>ROUND(ROUND(F110,2),O114)</f>
        <v>3489.97</v>
      </c>
      <c r="G114" s="5" t="s">
        <v>203</v>
      </c>
      <c r="H114" s="5" t="s">
        <v>196</v>
      </c>
      <c r="I114" s="5"/>
      <c r="J114" s="5"/>
      <c r="K114" s="5">
        <v>212</v>
      </c>
      <c r="L114" s="5">
        <v>28</v>
      </c>
      <c r="M114" s="5">
        <v>3</v>
      </c>
      <c r="N114" s="5" t="s">
        <v>6</v>
      </c>
      <c r="O114" s="5">
        <v>2</v>
      </c>
      <c r="P114" s="5">
        <f>ROUND(ROUND(P110,2),O114)</f>
        <v>20904.93</v>
      </c>
      <c r="Q114" s="5"/>
      <c r="R114" s="5"/>
      <c r="S114" s="5"/>
      <c r="T114" s="5"/>
      <c r="U114" s="5"/>
      <c r="V114" s="5"/>
      <c r="W114" s="5"/>
    </row>
    <row r="115" spans="1:206" x14ac:dyDescent="0.2">
      <c r="A115" s="5">
        <v>50</v>
      </c>
      <c r="B115" s="5">
        <v>0</v>
      </c>
      <c r="C115" s="5">
        <v>0</v>
      </c>
      <c r="D115" s="5">
        <v>2</v>
      </c>
      <c r="E115" s="5">
        <v>211</v>
      </c>
      <c r="F115" s="5">
        <f>ROUND(ROUND(F111,2),O115)</f>
        <v>1977.34</v>
      </c>
      <c r="G115" s="5" t="s">
        <v>204</v>
      </c>
      <c r="H115" s="5" t="s">
        <v>198</v>
      </c>
      <c r="I115" s="5"/>
      <c r="J115" s="5"/>
      <c r="K115" s="5">
        <v>212</v>
      </c>
      <c r="L115" s="5">
        <v>29</v>
      </c>
      <c r="M115" s="5">
        <v>3</v>
      </c>
      <c r="N115" s="5" t="s">
        <v>6</v>
      </c>
      <c r="O115" s="5">
        <v>2</v>
      </c>
      <c r="P115" s="5">
        <f>ROUND(ROUND(P111,2),O115)</f>
        <v>11844.31</v>
      </c>
      <c r="Q115" s="5"/>
      <c r="R115" s="5"/>
      <c r="S115" s="5"/>
      <c r="T115" s="5"/>
      <c r="U115" s="5"/>
      <c r="V115" s="5"/>
      <c r="W115" s="5"/>
    </row>
    <row r="116" spans="1:206" x14ac:dyDescent="0.2">
      <c r="A116" s="5">
        <v>50</v>
      </c>
      <c r="B116" s="5">
        <v>0</v>
      </c>
      <c r="C116" s="5">
        <v>0</v>
      </c>
      <c r="D116" s="5">
        <v>2</v>
      </c>
      <c r="E116" s="5">
        <v>0</v>
      </c>
      <c r="F116" s="5">
        <f>ROUND(F113+F114+F115,O116)</f>
        <v>215890.7</v>
      </c>
      <c r="G116" s="5" t="s">
        <v>205</v>
      </c>
      <c r="H116" s="5" t="s">
        <v>206</v>
      </c>
      <c r="I116" s="5"/>
      <c r="J116" s="5"/>
      <c r="K116" s="5">
        <v>212</v>
      </c>
      <c r="L116" s="5">
        <v>30</v>
      </c>
      <c r="M116" s="5">
        <v>3</v>
      </c>
      <c r="N116" s="5" t="s">
        <v>6</v>
      </c>
      <c r="O116" s="5">
        <v>2</v>
      </c>
      <c r="P116" s="5">
        <f>ROUND(P113+P114+P115,O116)</f>
        <v>1293185.46</v>
      </c>
      <c r="Q116" s="5"/>
      <c r="R116" s="5"/>
      <c r="S116" s="5"/>
      <c r="T116" s="5"/>
      <c r="U116" s="5"/>
      <c r="V116" s="5"/>
      <c r="W116" s="5"/>
    </row>
    <row r="117" spans="1:206" x14ac:dyDescent="0.2">
      <c r="A117" s="5">
        <v>50</v>
      </c>
      <c r="B117" s="5">
        <v>0</v>
      </c>
      <c r="C117" s="5">
        <v>0</v>
      </c>
      <c r="D117" s="5">
        <v>2</v>
      </c>
      <c r="E117" s="5">
        <v>0</v>
      </c>
      <c r="F117" s="5">
        <f>0</f>
        <v>0</v>
      </c>
      <c r="G117" s="5" t="s">
        <v>207</v>
      </c>
      <c r="H117" s="5" t="s">
        <v>208</v>
      </c>
      <c r="I117" s="5"/>
      <c r="J117" s="5"/>
      <c r="K117" s="5">
        <v>212</v>
      </c>
      <c r="L117" s="5">
        <v>31</v>
      </c>
      <c r="M117" s="5">
        <v>3</v>
      </c>
      <c r="N117" s="5" t="s">
        <v>6</v>
      </c>
      <c r="O117" s="5">
        <v>-1</v>
      </c>
      <c r="P117" s="5">
        <f>0</f>
        <v>0</v>
      </c>
      <c r="Q117" s="5"/>
      <c r="R117" s="5"/>
      <c r="S117" s="5"/>
      <c r="T117" s="5"/>
      <c r="U117" s="5"/>
      <c r="V117" s="5"/>
      <c r="W117" s="5"/>
    </row>
    <row r="118" spans="1:206" x14ac:dyDescent="0.2">
      <c r="A118" s="5">
        <v>50</v>
      </c>
      <c r="B118" s="5">
        <v>1</v>
      </c>
      <c r="C118" s="5">
        <v>0</v>
      </c>
      <c r="D118" s="5">
        <v>2</v>
      </c>
      <c r="E118" s="5">
        <v>0</v>
      </c>
      <c r="F118" s="5">
        <f>ROUND(F116+F117,O118)</f>
        <v>215890.7</v>
      </c>
      <c r="G118" s="5" t="s">
        <v>209</v>
      </c>
      <c r="H118" s="5" t="s">
        <v>206</v>
      </c>
      <c r="I118" s="5"/>
      <c r="J118" s="5"/>
      <c r="K118" s="5">
        <v>212</v>
      </c>
      <c r="L118" s="5">
        <v>32</v>
      </c>
      <c r="M118" s="5">
        <v>0</v>
      </c>
      <c r="N118" s="5" t="s">
        <v>6</v>
      </c>
      <c r="O118" s="5">
        <v>2</v>
      </c>
      <c r="P118" s="5">
        <f>ROUND(P116+P117,O118)</f>
        <v>1293185.46</v>
      </c>
      <c r="Q118" s="5"/>
      <c r="R118" s="5"/>
      <c r="S118" s="5"/>
      <c r="T118" s="5"/>
      <c r="U118" s="5"/>
      <c r="V118" s="5"/>
      <c r="W118" s="5"/>
    </row>
    <row r="119" spans="1:206" x14ac:dyDescent="0.2">
      <c r="A119" s="5">
        <v>50</v>
      </c>
      <c r="B119" s="5">
        <v>1</v>
      </c>
      <c r="C119" s="5">
        <v>0</v>
      </c>
      <c r="D119" s="5">
        <v>2</v>
      </c>
      <c r="E119" s="5">
        <v>0</v>
      </c>
      <c r="F119" s="5">
        <f>ROUND(ROUND(F118*0.18,2),O119)</f>
        <v>38860.33</v>
      </c>
      <c r="G119" s="5" t="s">
        <v>210</v>
      </c>
      <c r="H119" s="5" t="s">
        <v>211</v>
      </c>
      <c r="I119" s="5"/>
      <c r="J119" s="5"/>
      <c r="K119" s="5">
        <v>212</v>
      </c>
      <c r="L119" s="5">
        <v>33</v>
      </c>
      <c r="M119" s="5">
        <v>0</v>
      </c>
      <c r="N119" s="5" t="s">
        <v>6</v>
      </c>
      <c r="O119" s="5">
        <v>2</v>
      </c>
      <c r="P119" s="5">
        <f>ROUND(ROUND(P118*0.18,2),O119)</f>
        <v>232773.38</v>
      </c>
      <c r="Q119" s="5"/>
      <c r="R119" s="5"/>
      <c r="S119" s="5"/>
      <c r="T119" s="5"/>
      <c r="U119" s="5"/>
      <c r="V119" s="5"/>
      <c r="W119" s="5"/>
    </row>
    <row r="120" spans="1:206" x14ac:dyDescent="0.2">
      <c r="A120" s="5">
        <v>50</v>
      </c>
      <c r="B120" s="5">
        <v>1</v>
      </c>
      <c r="C120" s="5">
        <v>0</v>
      </c>
      <c r="D120" s="5">
        <v>2</v>
      </c>
      <c r="E120" s="5">
        <v>213</v>
      </c>
      <c r="F120" s="5">
        <f>ROUND(F118+F119,O120)</f>
        <v>254751.03</v>
      </c>
      <c r="G120" s="5" t="s">
        <v>212</v>
      </c>
      <c r="H120" s="5" t="s">
        <v>199</v>
      </c>
      <c r="I120" s="5"/>
      <c r="J120" s="5"/>
      <c r="K120" s="5">
        <v>212</v>
      </c>
      <c r="L120" s="5">
        <v>34</v>
      </c>
      <c r="M120" s="5">
        <v>0</v>
      </c>
      <c r="N120" s="5" t="s">
        <v>6</v>
      </c>
      <c r="O120" s="5">
        <v>2</v>
      </c>
      <c r="P120" s="5">
        <f>ROUND(P118+P119,O120)</f>
        <v>1525958.84</v>
      </c>
      <c r="Q120" s="5"/>
      <c r="R120" s="5"/>
      <c r="S120" s="5"/>
      <c r="T120" s="5"/>
      <c r="U120" s="5"/>
      <c r="V120" s="5"/>
      <c r="W120" s="5"/>
    </row>
    <row r="122" spans="1:206" x14ac:dyDescent="0.2">
      <c r="A122" s="3">
        <v>51</v>
      </c>
      <c r="B122" s="3">
        <f>B12</f>
        <v>188</v>
      </c>
      <c r="C122" s="3">
        <f>A12</f>
        <v>1</v>
      </c>
      <c r="D122" s="3">
        <f>ROW(A12)</f>
        <v>12</v>
      </c>
      <c r="E122" s="3"/>
      <c r="F122" s="3" t="str">
        <f>IF(F12&lt;&gt;"",F12,"")</f>
        <v>Новый объект_(Копия)</v>
      </c>
      <c r="G122" s="3" t="str">
        <f>IF(G12&lt;&gt;"",G12,"")</f>
        <v>Капитальный ремонт окооных проемов в актовом зале учебного корпуса общежития ДИТИ НИЯУ МИФИ_</v>
      </c>
      <c r="H122" s="3">
        <v>0</v>
      </c>
      <c r="I122" s="3"/>
      <c r="J122" s="3"/>
      <c r="K122" s="3"/>
      <c r="L122" s="3"/>
      <c r="M122" s="3"/>
      <c r="N122" s="3"/>
      <c r="O122" s="3">
        <f t="shared" ref="O122:T122" si="96">ROUND(O85,2)</f>
        <v>210423.39</v>
      </c>
      <c r="P122" s="3">
        <f t="shared" si="96"/>
        <v>206553.52</v>
      </c>
      <c r="Q122" s="3">
        <f t="shared" si="96"/>
        <v>479.73</v>
      </c>
      <c r="R122" s="3">
        <f t="shared" si="96"/>
        <v>148.58000000000001</v>
      </c>
      <c r="S122" s="3">
        <f t="shared" si="96"/>
        <v>3390.14</v>
      </c>
      <c r="T122" s="3">
        <f t="shared" si="96"/>
        <v>0</v>
      </c>
      <c r="U122" s="3">
        <f>U85</f>
        <v>399.7512319999999</v>
      </c>
      <c r="V122" s="3">
        <f>V85</f>
        <v>11.497266000000002</v>
      </c>
      <c r="W122" s="3">
        <f>ROUND(W85,2)</f>
        <v>0</v>
      </c>
      <c r="X122" s="3">
        <f>ROUND(X85,2)</f>
        <v>3489.97</v>
      </c>
      <c r="Y122" s="3">
        <f>ROUND(Y85,2)</f>
        <v>1977.34</v>
      </c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>
        <f t="shared" ref="AO122:BC122" si="97">ROUND(AO85,2)</f>
        <v>0</v>
      </c>
      <c r="AP122" s="3">
        <f t="shared" si="97"/>
        <v>0</v>
      </c>
      <c r="AQ122" s="3">
        <f t="shared" si="97"/>
        <v>0</v>
      </c>
      <c r="AR122" s="3">
        <f t="shared" si="97"/>
        <v>216065.42</v>
      </c>
      <c r="AS122" s="3">
        <f t="shared" si="97"/>
        <v>216065.42</v>
      </c>
      <c r="AT122" s="3">
        <f t="shared" si="97"/>
        <v>0</v>
      </c>
      <c r="AU122" s="3">
        <f t="shared" si="97"/>
        <v>0</v>
      </c>
      <c r="AV122" s="3">
        <f t="shared" si="97"/>
        <v>206553.52</v>
      </c>
      <c r="AW122" s="3">
        <f t="shared" si="97"/>
        <v>206553.52</v>
      </c>
      <c r="AX122" s="3">
        <f t="shared" si="97"/>
        <v>0</v>
      </c>
      <c r="AY122" s="3">
        <f t="shared" si="97"/>
        <v>206553.52</v>
      </c>
      <c r="AZ122" s="3">
        <f t="shared" si="97"/>
        <v>0</v>
      </c>
      <c r="BA122" s="3">
        <f t="shared" si="97"/>
        <v>0</v>
      </c>
      <c r="BB122" s="3">
        <f t="shared" si="97"/>
        <v>0</v>
      </c>
      <c r="BC122" s="3">
        <f t="shared" si="97"/>
        <v>0</v>
      </c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4">
        <f t="shared" ref="DG122:DL122" si="98">ROUND(DG85,2)</f>
        <v>1260436.22</v>
      </c>
      <c r="DH122" s="4">
        <f t="shared" si="98"/>
        <v>1237255.6399999999</v>
      </c>
      <c r="DI122" s="4">
        <f t="shared" si="98"/>
        <v>2873.58</v>
      </c>
      <c r="DJ122" s="4">
        <f t="shared" si="98"/>
        <v>890.01</v>
      </c>
      <c r="DK122" s="4">
        <f t="shared" si="98"/>
        <v>20307</v>
      </c>
      <c r="DL122" s="4">
        <f t="shared" si="98"/>
        <v>0</v>
      </c>
      <c r="DM122" s="4">
        <f>DM85</f>
        <v>399.7512319999999</v>
      </c>
      <c r="DN122" s="4">
        <f>DN85</f>
        <v>11.497266000000002</v>
      </c>
      <c r="DO122" s="4">
        <f>ROUND(DO85,2)</f>
        <v>0</v>
      </c>
      <c r="DP122" s="4">
        <f>ROUND(DP85,2)</f>
        <v>20904.93</v>
      </c>
      <c r="DQ122" s="4">
        <f>ROUND(DQ85,2)</f>
        <v>11844.31</v>
      </c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>
        <f t="shared" ref="EG122:EU122" si="99">ROUND(EG85,2)</f>
        <v>0</v>
      </c>
      <c r="EH122" s="4">
        <f t="shared" si="99"/>
        <v>0</v>
      </c>
      <c r="EI122" s="4">
        <f t="shared" si="99"/>
        <v>0</v>
      </c>
      <c r="EJ122" s="4">
        <f t="shared" si="99"/>
        <v>1294232.01</v>
      </c>
      <c r="EK122" s="4">
        <f t="shared" si="99"/>
        <v>1294232.01</v>
      </c>
      <c r="EL122" s="4">
        <f t="shared" si="99"/>
        <v>0</v>
      </c>
      <c r="EM122" s="4">
        <f t="shared" si="99"/>
        <v>0</v>
      </c>
      <c r="EN122" s="4">
        <f t="shared" si="99"/>
        <v>1237255.6399999999</v>
      </c>
      <c r="EO122" s="4">
        <f t="shared" si="99"/>
        <v>1237255.6399999999</v>
      </c>
      <c r="EP122" s="4">
        <f t="shared" si="99"/>
        <v>0</v>
      </c>
      <c r="EQ122" s="4">
        <f t="shared" si="99"/>
        <v>1237255.6399999999</v>
      </c>
      <c r="ER122" s="4">
        <f t="shared" si="99"/>
        <v>0</v>
      </c>
      <c r="ES122" s="4">
        <f t="shared" si="99"/>
        <v>0</v>
      </c>
      <c r="ET122" s="4">
        <f t="shared" si="99"/>
        <v>0</v>
      </c>
      <c r="EU122" s="4">
        <f t="shared" si="99"/>
        <v>0</v>
      </c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>
        <v>0</v>
      </c>
    </row>
    <row r="124" spans="1:206" x14ac:dyDescent="0.2">
      <c r="A124" s="5">
        <v>50</v>
      </c>
      <c r="B124" s="5">
        <v>0</v>
      </c>
      <c r="C124" s="5">
        <v>0</v>
      </c>
      <c r="D124" s="5">
        <v>1</v>
      </c>
      <c r="E124" s="5">
        <v>0</v>
      </c>
      <c r="F124" s="5">
        <f>ROUND(Source!O122,O124)</f>
        <v>210423.39</v>
      </c>
      <c r="G124" s="5" t="s">
        <v>149</v>
      </c>
      <c r="H124" s="5" t="s">
        <v>150</v>
      </c>
      <c r="I124" s="5"/>
      <c r="J124" s="5"/>
      <c r="K124" s="5">
        <v>201</v>
      </c>
      <c r="L124" s="5">
        <v>1</v>
      </c>
      <c r="M124" s="5">
        <v>3</v>
      </c>
      <c r="N124" s="5" t="s">
        <v>6</v>
      </c>
      <c r="O124" s="5">
        <v>2</v>
      </c>
      <c r="P124" s="5">
        <f>ROUND(Source!DG122,O124)</f>
        <v>1260436.22</v>
      </c>
      <c r="Q124" s="5"/>
      <c r="R124" s="5"/>
      <c r="S124" s="5"/>
      <c r="T124" s="5"/>
      <c r="U124" s="5"/>
      <c r="V124" s="5"/>
      <c r="W124" s="5"/>
    </row>
    <row r="125" spans="1:206" x14ac:dyDescent="0.2">
      <c r="A125" s="5">
        <v>50</v>
      </c>
      <c r="B125" s="5">
        <v>0</v>
      </c>
      <c r="C125" s="5">
        <v>0</v>
      </c>
      <c r="D125" s="5">
        <v>1</v>
      </c>
      <c r="E125" s="5">
        <v>202</v>
      </c>
      <c r="F125" s="5">
        <f>ROUND(Source!P122,O125)</f>
        <v>206553.52</v>
      </c>
      <c r="G125" s="5" t="s">
        <v>151</v>
      </c>
      <c r="H125" s="5" t="s">
        <v>152</v>
      </c>
      <c r="I125" s="5"/>
      <c r="J125" s="5"/>
      <c r="K125" s="5">
        <v>202</v>
      </c>
      <c r="L125" s="5">
        <v>2</v>
      </c>
      <c r="M125" s="5">
        <v>3</v>
      </c>
      <c r="N125" s="5" t="s">
        <v>6</v>
      </c>
      <c r="O125" s="5">
        <v>2</v>
      </c>
      <c r="P125" s="5">
        <f>ROUND(Source!DH122,O125)</f>
        <v>1237255.6399999999</v>
      </c>
      <c r="Q125" s="5"/>
      <c r="R125" s="5"/>
      <c r="S125" s="5"/>
      <c r="T125" s="5"/>
      <c r="U125" s="5"/>
      <c r="V125" s="5"/>
      <c r="W125" s="5"/>
    </row>
    <row r="126" spans="1:206" x14ac:dyDescent="0.2">
      <c r="A126" s="5">
        <v>50</v>
      </c>
      <c r="B126" s="5">
        <v>0</v>
      </c>
      <c r="C126" s="5">
        <v>0</v>
      </c>
      <c r="D126" s="5">
        <v>1</v>
      </c>
      <c r="E126" s="5">
        <v>222</v>
      </c>
      <c r="F126" s="5">
        <f>ROUND(Source!AO122,O126)</f>
        <v>0</v>
      </c>
      <c r="G126" s="5" t="s">
        <v>153</v>
      </c>
      <c r="H126" s="5" t="s">
        <v>154</v>
      </c>
      <c r="I126" s="5"/>
      <c r="J126" s="5"/>
      <c r="K126" s="5">
        <v>222</v>
      </c>
      <c r="L126" s="5">
        <v>3</v>
      </c>
      <c r="M126" s="5">
        <v>3</v>
      </c>
      <c r="N126" s="5" t="s">
        <v>6</v>
      </c>
      <c r="O126" s="5">
        <v>2</v>
      </c>
      <c r="P126" s="5">
        <f>ROUND(Source!EG122,O126)</f>
        <v>0</v>
      </c>
      <c r="Q126" s="5"/>
      <c r="R126" s="5"/>
      <c r="S126" s="5"/>
      <c r="T126" s="5"/>
      <c r="U126" s="5"/>
      <c r="V126" s="5"/>
      <c r="W126" s="5"/>
    </row>
    <row r="127" spans="1:206" x14ac:dyDescent="0.2">
      <c r="A127" s="5">
        <v>50</v>
      </c>
      <c r="B127" s="5">
        <v>0</v>
      </c>
      <c r="C127" s="5">
        <v>0</v>
      </c>
      <c r="D127" s="5">
        <v>1</v>
      </c>
      <c r="E127" s="5">
        <v>225</v>
      </c>
      <c r="F127" s="5">
        <f>ROUND(Source!AV122,O127)</f>
        <v>206553.52</v>
      </c>
      <c r="G127" s="5" t="s">
        <v>155</v>
      </c>
      <c r="H127" s="5" t="s">
        <v>156</v>
      </c>
      <c r="I127" s="5"/>
      <c r="J127" s="5"/>
      <c r="K127" s="5">
        <v>225</v>
      </c>
      <c r="L127" s="5">
        <v>4</v>
      </c>
      <c r="M127" s="5">
        <v>3</v>
      </c>
      <c r="N127" s="5" t="s">
        <v>6</v>
      </c>
      <c r="O127" s="5">
        <v>2</v>
      </c>
      <c r="P127" s="5">
        <f>ROUND(Source!EN122,O127)</f>
        <v>1237255.6399999999</v>
      </c>
      <c r="Q127" s="5"/>
      <c r="R127" s="5"/>
      <c r="S127" s="5"/>
      <c r="T127" s="5"/>
      <c r="U127" s="5"/>
      <c r="V127" s="5"/>
      <c r="W127" s="5"/>
    </row>
    <row r="128" spans="1:206" x14ac:dyDescent="0.2">
      <c r="A128" s="5">
        <v>50</v>
      </c>
      <c r="B128" s="5">
        <v>0</v>
      </c>
      <c r="C128" s="5">
        <v>0</v>
      </c>
      <c r="D128" s="5">
        <v>1</v>
      </c>
      <c r="E128" s="5">
        <v>226</v>
      </c>
      <c r="F128" s="5">
        <f>ROUND(Source!AW122,O128)</f>
        <v>206553.52</v>
      </c>
      <c r="G128" s="5" t="s">
        <v>157</v>
      </c>
      <c r="H128" s="5" t="s">
        <v>158</v>
      </c>
      <c r="I128" s="5"/>
      <c r="J128" s="5"/>
      <c r="K128" s="5">
        <v>226</v>
      </c>
      <c r="L128" s="5">
        <v>5</v>
      </c>
      <c r="M128" s="5">
        <v>3</v>
      </c>
      <c r="N128" s="5" t="s">
        <v>6</v>
      </c>
      <c r="O128" s="5">
        <v>2</v>
      </c>
      <c r="P128" s="5">
        <f>ROUND(Source!EO122,O128)</f>
        <v>1237255.6399999999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227</v>
      </c>
      <c r="F129" s="5">
        <f>ROUND(Source!AX122,O129)</f>
        <v>0</v>
      </c>
      <c r="G129" s="5" t="s">
        <v>159</v>
      </c>
      <c r="H129" s="5" t="s">
        <v>160</v>
      </c>
      <c r="I129" s="5"/>
      <c r="J129" s="5"/>
      <c r="K129" s="5">
        <v>227</v>
      </c>
      <c r="L129" s="5">
        <v>6</v>
      </c>
      <c r="M129" s="5">
        <v>3</v>
      </c>
      <c r="N129" s="5" t="s">
        <v>6</v>
      </c>
      <c r="O129" s="5">
        <v>2</v>
      </c>
      <c r="P129" s="5">
        <f>ROUND(Source!EP122,O129)</f>
        <v>0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228</v>
      </c>
      <c r="F130" s="5">
        <f>ROUND(Source!AY122,O130)</f>
        <v>206553.52</v>
      </c>
      <c r="G130" s="5" t="s">
        <v>161</v>
      </c>
      <c r="H130" s="5" t="s">
        <v>162</v>
      </c>
      <c r="I130" s="5"/>
      <c r="J130" s="5"/>
      <c r="K130" s="5">
        <v>228</v>
      </c>
      <c r="L130" s="5">
        <v>7</v>
      </c>
      <c r="M130" s="5">
        <v>3</v>
      </c>
      <c r="N130" s="5" t="s">
        <v>6</v>
      </c>
      <c r="O130" s="5">
        <v>2</v>
      </c>
      <c r="P130" s="5">
        <f>ROUND(Source!EQ122,O130)</f>
        <v>1237255.6399999999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216</v>
      </c>
      <c r="F131" s="5">
        <f>ROUND(Source!AP122,O131)</f>
        <v>0</v>
      </c>
      <c r="G131" s="5" t="s">
        <v>163</v>
      </c>
      <c r="H131" s="5" t="s">
        <v>164</v>
      </c>
      <c r="I131" s="5"/>
      <c r="J131" s="5"/>
      <c r="K131" s="5">
        <v>216</v>
      </c>
      <c r="L131" s="5">
        <v>8</v>
      </c>
      <c r="M131" s="5">
        <v>3</v>
      </c>
      <c r="N131" s="5" t="s">
        <v>6</v>
      </c>
      <c r="O131" s="5">
        <v>2</v>
      </c>
      <c r="P131" s="5">
        <f>ROUND(Source!EH122,O131)</f>
        <v>0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223</v>
      </c>
      <c r="F132" s="5">
        <f>ROUND(Source!AQ122,O132)</f>
        <v>0</v>
      </c>
      <c r="G132" s="5" t="s">
        <v>165</v>
      </c>
      <c r="H132" s="5" t="s">
        <v>166</v>
      </c>
      <c r="I132" s="5"/>
      <c r="J132" s="5"/>
      <c r="K132" s="5">
        <v>223</v>
      </c>
      <c r="L132" s="5">
        <v>9</v>
      </c>
      <c r="M132" s="5">
        <v>3</v>
      </c>
      <c r="N132" s="5" t="s">
        <v>6</v>
      </c>
      <c r="O132" s="5">
        <v>2</v>
      </c>
      <c r="P132" s="5">
        <f>ROUND(Source!EI122,O132)</f>
        <v>0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229</v>
      </c>
      <c r="F133" s="5">
        <f>ROUND(Source!AZ122,O133)</f>
        <v>0</v>
      </c>
      <c r="G133" s="5" t="s">
        <v>167</v>
      </c>
      <c r="H133" s="5" t="s">
        <v>168</v>
      </c>
      <c r="I133" s="5"/>
      <c r="J133" s="5"/>
      <c r="K133" s="5">
        <v>229</v>
      </c>
      <c r="L133" s="5">
        <v>10</v>
      </c>
      <c r="M133" s="5">
        <v>3</v>
      </c>
      <c r="N133" s="5" t="s">
        <v>6</v>
      </c>
      <c r="O133" s="5">
        <v>2</v>
      </c>
      <c r="P133" s="5">
        <f>ROUND(Source!ER122,O133)</f>
        <v>0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203</v>
      </c>
      <c r="F134" s="5">
        <f>ROUND(Source!Q122,O134)</f>
        <v>479.73</v>
      </c>
      <c r="G134" s="5" t="s">
        <v>169</v>
      </c>
      <c r="H134" s="5" t="s">
        <v>170</v>
      </c>
      <c r="I134" s="5"/>
      <c r="J134" s="5"/>
      <c r="K134" s="5">
        <v>203</v>
      </c>
      <c r="L134" s="5">
        <v>11</v>
      </c>
      <c r="M134" s="5">
        <v>3</v>
      </c>
      <c r="N134" s="5" t="s">
        <v>6</v>
      </c>
      <c r="O134" s="5">
        <v>2</v>
      </c>
      <c r="P134" s="5">
        <f>ROUND(Source!DI122,O134)</f>
        <v>2873.58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231</v>
      </c>
      <c r="F135" s="5">
        <f>ROUND(Source!BB122,O135)</f>
        <v>0</v>
      </c>
      <c r="G135" s="5" t="s">
        <v>171</v>
      </c>
      <c r="H135" s="5" t="s">
        <v>172</v>
      </c>
      <c r="I135" s="5"/>
      <c r="J135" s="5"/>
      <c r="K135" s="5">
        <v>231</v>
      </c>
      <c r="L135" s="5">
        <v>12</v>
      </c>
      <c r="M135" s="5">
        <v>3</v>
      </c>
      <c r="N135" s="5" t="s">
        <v>6</v>
      </c>
      <c r="O135" s="5">
        <v>2</v>
      </c>
      <c r="P135" s="5">
        <f>ROUND(Source!ET122,O135)</f>
        <v>0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1</v>
      </c>
      <c r="E136" s="5">
        <v>204</v>
      </c>
      <c r="F136" s="5">
        <f>ROUND(Source!R122,O136)</f>
        <v>148.58000000000001</v>
      </c>
      <c r="G136" s="5" t="s">
        <v>173</v>
      </c>
      <c r="H136" s="5" t="s">
        <v>174</v>
      </c>
      <c r="I136" s="5"/>
      <c r="J136" s="5"/>
      <c r="K136" s="5">
        <v>204</v>
      </c>
      <c r="L136" s="5">
        <v>13</v>
      </c>
      <c r="M136" s="5">
        <v>3</v>
      </c>
      <c r="N136" s="5" t="s">
        <v>6</v>
      </c>
      <c r="O136" s="5">
        <v>2</v>
      </c>
      <c r="P136" s="5">
        <f>ROUND(Source!DJ122,O136)</f>
        <v>890.01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0</v>
      </c>
      <c r="C137" s="5">
        <v>0</v>
      </c>
      <c r="D137" s="5">
        <v>1</v>
      </c>
      <c r="E137" s="5">
        <v>205</v>
      </c>
      <c r="F137" s="5">
        <f>ROUND(Source!S122,O137)</f>
        <v>3390.14</v>
      </c>
      <c r="G137" s="5" t="s">
        <v>175</v>
      </c>
      <c r="H137" s="5" t="s">
        <v>176</v>
      </c>
      <c r="I137" s="5"/>
      <c r="J137" s="5"/>
      <c r="K137" s="5">
        <v>205</v>
      </c>
      <c r="L137" s="5">
        <v>14</v>
      </c>
      <c r="M137" s="5">
        <v>3</v>
      </c>
      <c r="N137" s="5" t="s">
        <v>6</v>
      </c>
      <c r="O137" s="5">
        <v>2</v>
      </c>
      <c r="P137" s="5">
        <f>ROUND(Source!DK122,O137)</f>
        <v>20307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0</v>
      </c>
      <c r="C138" s="5">
        <v>0</v>
      </c>
      <c r="D138" s="5">
        <v>1</v>
      </c>
      <c r="E138" s="5">
        <v>232</v>
      </c>
      <c r="F138" s="5">
        <f>ROUND(Source!BC122,O138)</f>
        <v>0</v>
      </c>
      <c r="G138" s="5" t="s">
        <v>177</v>
      </c>
      <c r="H138" s="5" t="s">
        <v>178</v>
      </c>
      <c r="I138" s="5"/>
      <c r="J138" s="5"/>
      <c r="K138" s="5">
        <v>232</v>
      </c>
      <c r="L138" s="5">
        <v>15</v>
      </c>
      <c r="M138" s="5">
        <v>3</v>
      </c>
      <c r="N138" s="5" t="s">
        <v>6</v>
      </c>
      <c r="O138" s="5">
        <v>2</v>
      </c>
      <c r="P138" s="5">
        <f>ROUND(Source!EU122,O138)</f>
        <v>0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0</v>
      </c>
      <c r="C139" s="5">
        <v>0</v>
      </c>
      <c r="D139" s="5">
        <v>1</v>
      </c>
      <c r="E139" s="5">
        <v>214</v>
      </c>
      <c r="F139" s="5">
        <f>ROUND(Source!AS122,O139)</f>
        <v>216065.42</v>
      </c>
      <c r="G139" s="5" t="s">
        <v>179</v>
      </c>
      <c r="H139" s="5" t="s">
        <v>180</v>
      </c>
      <c r="I139" s="5"/>
      <c r="J139" s="5"/>
      <c r="K139" s="5">
        <v>214</v>
      </c>
      <c r="L139" s="5">
        <v>16</v>
      </c>
      <c r="M139" s="5">
        <v>3</v>
      </c>
      <c r="N139" s="5" t="s">
        <v>6</v>
      </c>
      <c r="O139" s="5">
        <v>2</v>
      </c>
      <c r="P139" s="5">
        <f>ROUND(Source!EK122,O139)</f>
        <v>1294232.01</v>
      </c>
      <c r="Q139" s="5"/>
      <c r="R139" s="5"/>
      <c r="S139" s="5"/>
      <c r="T139" s="5"/>
      <c r="U139" s="5"/>
      <c r="V139" s="5"/>
      <c r="W139" s="5"/>
    </row>
    <row r="140" spans="1:23" x14ac:dyDescent="0.2">
      <c r="A140" s="5">
        <v>50</v>
      </c>
      <c r="B140" s="5">
        <v>0</v>
      </c>
      <c r="C140" s="5">
        <v>0</v>
      </c>
      <c r="D140" s="5">
        <v>1</v>
      </c>
      <c r="E140" s="5">
        <v>215</v>
      </c>
      <c r="F140" s="5">
        <f>ROUND(Source!AT122,O140)</f>
        <v>0</v>
      </c>
      <c r="G140" s="5" t="s">
        <v>181</v>
      </c>
      <c r="H140" s="5" t="s">
        <v>182</v>
      </c>
      <c r="I140" s="5"/>
      <c r="J140" s="5"/>
      <c r="K140" s="5">
        <v>215</v>
      </c>
      <c r="L140" s="5">
        <v>17</v>
      </c>
      <c r="M140" s="5">
        <v>3</v>
      </c>
      <c r="N140" s="5" t="s">
        <v>6</v>
      </c>
      <c r="O140" s="5">
        <v>2</v>
      </c>
      <c r="P140" s="5">
        <f>ROUND(Source!EL122,O140)</f>
        <v>0</v>
      </c>
      <c r="Q140" s="5"/>
      <c r="R140" s="5"/>
      <c r="S140" s="5"/>
      <c r="T140" s="5"/>
      <c r="U140" s="5"/>
      <c r="V140" s="5"/>
      <c r="W140" s="5"/>
    </row>
    <row r="141" spans="1:23" x14ac:dyDescent="0.2">
      <c r="A141" s="5">
        <v>50</v>
      </c>
      <c r="B141" s="5">
        <v>0</v>
      </c>
      <c r="C141" s="5">
        <v>0</v>
      </c>
      <c r="D141" s="5">
        <v>1</v>
      </c>
      <c r="E141" s="5">
        <v>217</v>
      </c>
      <c r="F141" s="5">
        <f>ROUND(Source!AU122,O141)</f>
        <v>0</v>
      </c>
      <c r="G141" s="5" t="s">
        <v>183</v>
      </c>
      <c r="H141" s="5" t="s">
        <v>184</v>
      </c>
      <c r="I141" s="5"/>
      <c r="J141" s="5"/>
      <c r="K141" s="5">
        <v>217</v>
      </c>
      <c r="L141" s="5">
        <v>18</v>
      </c>
      <c r="M141" s="5">
        <v>3</v>
      </c>
      <c r="N141" s="5" t="s">
        <v>6</v>
      </c>
      <c r="O141" s="5">
        <v>2</v>
      </c>
      <c r="P141" s="5">
        <f>ROUND(Source!EM122,O141)</f>
        <v>0</v>
      </c>
      <c r="Q141" s="5"/>
      <c r="R141" s="5"/>
      <c r="S141" s="5"/>
      <c r="T141" s="5"/>
      <c r="U141" s="5"/>
      <c r="V141" s="5"/>
      <c r="W141" s="5"/>
    </row>
    <row r="142" spans="1:23" x14ac:dyDescent="0.2">
      <c r="A142" s="5">
        <v>50</v>
      </c>
      <c r="B142" s="5">
        <v>0</v>
      </c>
      <c r="C142" s="5">
        <v>0</v>
      </c>
      <c r="D142" s="5">
        <v>1</v>
      </c>
      <c r="E142" s="5">
        <v>230</v>
      </c>
      <c r="F142" s="5">
        <f>ROUND(Source!BA122,O142)</f>
        <v>0</v>
      </c>
      <c r="G142" s="5" t="s">
        <v>185</v>
      </c>
      <c r="H142" s="5" t="s">
        <v>186</v>
      </c>
      <c r="I142" s="5"/>
      <c r="J142" s="5"/>
      <c r="K142" s="5">
        <v>230</v>
      </c>
      <c r="L142" s="5">
        <v>19</v>
      </c>
      <c r="M142" s="5">
        <v>3</v>
      </c>
      <c r="N142" s="5" t="s">
        <v>6</v>
      </c>
      <c r="O142" s="5">
        <v>2</v>
      </c>
      <c r="P142" s="5">
        <f>ROUND(Source!ES122,O142)</f>
        <v>0</v>
      </c>
      <c r="Q142" s="5"/>
      <c r="R142" s="5"/>
      <c r="S142" s="5"/>
      <c r="T142" s="5"/>
      <c r="U142" s="5"/>
      <c r="V142" s="5"/>
      <c r="W142" s="5"/>
    </row>
    <row r="143" spans="1:23" x14ac:dyDescent="0.2">
      <c r="A143" s="5">
        <v>50</v>
      </c>
      <c r="B143" s="5">
        <v>0</v>
      </c>
      <c r="C143" s="5">
        <v>0</v>
      </c>
      <c r="D143" s="5">
        <v>1</v>
      </c>
      <c r="E143" s="5">
        <v>206</v>
      </c>
      <c r="F143" s="5">
        <f>ROUND(Source!T122,O143)</f>
        <v>0</v>
      </c>
      <c r="G143" s="5" t="s">
        <v>187</v>
      </c>
      <c r="H143" s="5" t="s">
        <v>188</v>
      </c>
      <c r="I143" s="5"/>
      <c r="J143" s="5"/>
      <c r="K143" s="5">
        <v>206</v>
      </c>
      <c r="L143" s="5">
        <v>20</v>
      </c>
      <c r="M143" s="5">
        <v>3</v>
      </c>
      <c r="N143" s="5" t="s">
        <v>6</v>
      </c>
      <c r="O143" s="5">
        <v>2</v>
      </c>
      <c r="P143" s="5">
        <f>ROUND(Source!DL122,O143)</f>
        <v>0</v>
      </c>
      <c r="Q143" s="5"/>
      <c r="R143" s="5"/>
      <c r="S143" s="5"/>
      <c r="T143" s="5"/>
      <c r="U143" s="5"/>
      <c r="V143" s="5"/>
      <c r="W143" s="5"/>
    </row>
    <row r="144" spans="1:23" x14ac:dyDescent="0.2">
      <c r="A144" s="5">
        <v>50</v>
      </c>
      <c r="B144" s="5">
        <v>0</v>
      </c>
      <c r="C144" s="5">
        <v>0</v>
      </c>
      <c r="D144" s="5">
        <v>1</v>
      </c>
      <c r="E144" s="5">
        <v>207</v>
      </c>
      <c r="F144" s="5">
        <f>Source!U122</f>
        <v>399.7512319999999</v>
      </c>
      <c r="G144" s="5" t="s">
        <v>189</v>
      </c>
      <c r="H144" s="5" t="s">
        <v>190</v>
      </c>
      <c r="I144" s="5"/>
      <c r="J144" s="5"/>
      <c r="K144" s="5">
        <v>207</v>
      </c>
      <c r="L144" s="5">
        <v>21</v>
      </c>
      <c r="M144" s="5">
        <v>3</v>
      </c>
      <c r="N144" s="5" t="s">
        <v>6</v>
      </c>
      <c r="O144" s="5">
        <v>-1</v>
      </c>
      <c r="P144" s="5">
        <f>Source!DM122</f>
        <v>399.7512319999999</v>
      </c>
      <c r="Q144" s="5"/>
      <c r="R144" s="5"/>
      <c r="S144" s="5"/>
      <c r="T144" s="5"/>
      <c r="U144" s="5"/>
      <c r="V144" s="5"/>
      <c r="W144" s="5"/>
    </row>
    <row r="145" spans="1:23" x14ac:dyDescent="0.2">
      <c r="A145" s="5">
        <v>50</v>
      </c>
      <c r="B145" s="5">
        <v>0</v>
      </c>
      <c r="C145" s="5">
        <v>0</v>
      </c>
      <c r="D145" s="5">
        <v>1</v>
      </c>
      <c r="E145" s="5">
        <v>208</v>
      </c>
      <c r="F145" s="5">
        <f>Source!V122</f>
        <v>11.497266000000002</v>
      </c>
      <c r="G145" s="5" t="s">
        <v>191</v>
      </c>
      <c r="H145" s="5" t="s">
        <v>192</v>
      </c>
      <c r="I145" s="5"/>
      <c r="J145" s="5"/>
      <c r="K145" s="5">
        <v>208</v>
      </c>
      <c r="L145" s="5">
        <v>22</v>
      </c>
      <c r="M145" s="5">
        <v>3</v>
      </c>
      <c r="N145" s="5" t="s">
        <v>6</v>
      </c>
      <c r="O145" s="5">
        <v>-1</v>
      </c>
      <c r="P145" s="5">
        <f>Source!DN122</f>
        <v>11.497266000000002</v>
      </c>
      <c r="Q145" s="5"/>
      <c r="R145" s="5"/>
      <c r="S145" s="5"/>
      <c r="T145" s="5"/>
      <c r="U145" s="5"/>
      <c r="V145" s="5"/>
      <c r="W145" s="5"/>
    </row>
    <row r="146" spans="1:23" x14ac:dyDescent="0.2">
      <c r="A146" s="5">
        <v>50</v>
      </c>
      <c r="B146" s="5">
        <v>0</v>
      </c>
      <c r="C146" s="5">
        <v>0</v>
      </c>
      <c r="D146" s="5">
        <v>1</v>
      </c>
      <c r="E146" s="5">
        <v>209</v>
      </c>
      <c r="F146" s="5">
        <f>ROUND(Source!W122,O146)</f>
        <v>0</v>
      </c>
      <c r="G146" s="5" t="s">
        <v>193</v>
      </c>
      <c r="H146" s="5" t="s">
        <v>194</v>
      </c>
      <c r="I146" s="5"/>
      <c r="J146" s="5"/>
      <c r="K146" s="5">
        <v>209</v>
      </c>
      <c r="L146" s="5">
        <v>23</v>
      </c>
      <c r="M146" s="5">
        <v>3</v>
      </c>
      <c r="N146" s="5" t="s">
        <v>6</v>
      </c>
      <c r="O146" s="5">
        <v>2</v>
      </c>
      <c r="P146" s="5">
        <f>ROUND(Source!DO122,O146)</f>
        <v>0</v>
      </c>
      <c r="Q146" s="5"/>
      <c r="R146" s="5"/>
      <c r="S146" s="5"/>
      <c r="T146" s="5"/>
      <c r="U146" s="5"/>
      <c r="V146" s="5"/>
      <c r="W146" s="5"/>
    </row>
    <row r="147" spans="1:23" x14ac:dyDescent="0.2">
      <c r="A147" s="5">
        <v>50</v>
      </c>
      <c r="B147" s="5">
        <v>0</v>
      </c>
      <c r="C147" s="5">
        <v>0</v>
      </c>
      <c r="D147" s="5">
        <v>1</v>
      </c>
      <c r="E147" s="5">
        <v>0</v>
      </c>
      <c r="F147" s="5">
        <f>ROUND(Source!X122,O147)</f>
        <v>3489.97</v>
      </c>
      <c r="G147" s="5" t="s">
        <v>195</v>
      </c>
      <c r="H147" s="5" t="s">
        <v>196</v>
      </c>
      <c r="I147" s="5"/>
      <c r="J147" s="5"/>
      <c r="K147" s="5">
        <v>210</v>
      </c>
      <c r="L147" s="5">
        <v>24</v>
      </c>
      <c r="M147" s="5">
        <v>3</v>
      </c>
      <c r="N147" s="5" t="s">
        <v>6</v>
      </c>
      <c r="O147" s="5">
        <v>2</v>
      </c>
      <c r="P147" s="5">
        <f>ROUND(Source!DP122,O147)</f>
        <v>20904.93</v>
      </c>
      <c r="Q147" s="5"/>
      <c r="R147" s="5"/>
      <c r="S147" s="5"/>
      <c r="T147" s="5"/>
      <c r="U147" s="5"/>
      <c r="V147" s="5"/>
      <c r="W147" s="5"/>
    </row>
    <row r="148" spans="1:23" x14ac:dyDescent="0.2">
      <c r="A148" s="5">
        <v>50</v>
      </c>
      <c r="B148" s="5">
        <v>0</v>
      </c>
      <c r="C148" s="5">
        <v>0</v>
      </c>
      <c r="D148" s="5">
        <v>1</v>
      </c>
      <c r="E148" s="5">
        <v>0</v>
      </c>
      <c r="F148" s="5">
        <f>ROUND(Source!Y122,O148)</f>
        <v>1977.34</v>
      </c>
      <c r="G148" s="5" t="s">
        <v>197</v>
      </c>
      <c r="H148" s="5" t="s">
        <v>198</v>
      </c>
      <c r="I148" s="5"/>
      <c r="J148" s="5"/>
      <c r="K148" s="5">
        <v>211</v>
      </c>
      <c r="L148" s="5">
        <v>25</v>
      </c>
      <c r="M148" s="5">
        <v>3</v>
      </c>
      <c r="N148" s="5" t="s">
        <v>6</v>
      </c>
      <c r="O148" s="5">
        <v>2</v>
      </c>
      <c r="P148" s="5">
        <f>ROUND(Source!DQ122,O148)</f>
        <v>11844.31</v>
      </c>
      <c r="Q148" s="5"/>
      <c r="R148" s="5"/>
      <c r="S148" s="5"/>
      <c r="T148" s="5"/>
      <c r="U148" s="5"/>
      <c r="V148" s="5"/>
      <c r="W148" s="5"/>
    </row>
    <row r="149" spans="1:23" x14ac:dyDescent="0.2">
      <c r="A149" s="5">
        <v>50</v>
      </c>
      <c r="B149" s="5">
        <v>0</v>
      </c>
      <c r="C149" s="5">
        <v>0</v>
      </c>
      <c r="D149" s="5">
        <v>1</v>
      </c>
      <c r="E149" s="5">
        <v>224</v>
      </c>
      <c r="F149" s="5">
        <f>ROUND(Source!AR122,O149)</f>
        <v>216065.42</v>
      </c>
      <c r="G149" s="5" t="s">
        <v>199</v>
      </c>
      <c r="H149" s="5" t="s">
        <v>200</v>
      </c>
      <c r="I149" s="5"/>
      <c r="J149" s="5"/>
      <c r="K149" s="5">
        <v>224</v>
      </c>
      <c r="L149" s="5">
        <v>26</v>
      </c>
      <c r="M149" s="5">
        <v>3</v>
      </c>
      <c r="N149" s="5" t="s">
        <v>6</v>
      </c>
      <c r="O149" s="5">
        <v>2</v>
      </c>
      <c r="P149" s="5">
        <f>ROUND(Source!EJ122,O149)</f>
        <v>1294232.01</v>
      </c>
      <c r="Q149" s="5"/>
      <c r="R149" s="5"/>
      <c r="S149" s="5"/>
      <c r="T149" s="5"/>
      <c r="U149" s="5"/>
      <c r="V149" s="5"/>
      <c r="W149" s="5"/>
    </row>
    <row r="150" spans="1:23" x14ac:dyDescent="0.2">
      <c r="A150" s="5">
        <v>50</v>
      </c>
      <c r="B150" s="5">
        <v>0</v>
      </c>
      <c r="C150" s="5">
        <v>0</v>
      </c>
      <c r="D150" s="5">
        <v>2</v>
      </c>
      <c r="E150" s="5">
        <v>201</v>
      </c>
      <c r="F150" s="5">
        <f>ROUND(ROUND(F124,2),O150)</f>
        <v>210423.39</v>
      </c>
      <c r="G150" s="5" t="s">
        <v>201</v>
      </c>
      <c r="H150" s="5" t="s">
        <v>202</v>
      </c>
      <c r="I150" s="5"/>
      <c r="J150" s="5"/>
      <c r="K150" s="5">
        <v>212</v>
      </c>
      <c r="L150" s="5">
        <v>27</v>
      </c>
      <c r="M150" s="5">
        <v>3</v>
      </c>
      <c r="N150" s="5" t="s">
        <v>6</v>
      </c>
      <c r="O150" s="5">
        <v>2</v>
      </c>
      <c r="P150" s="5">
        <f>ROUND(ROUND(P124,2),O150)</f>
        <v>1260436.22</v>
      </c>
      <c r="Q150" s="5"/>
      <c r="R150" s="5"/>
      <c r="S150" s="5"/>
      <c r="T150" s="5"/>
      <c r="U150" s="5"/>
      <c r="V150" s="5"/>
      <c r="W150" s="5"/>
    </row>
    <row r="151" spans="1:23" x14ac:dyDescent="0.2">
      <c r="A151" s="5">
        <v>50</v>
      </c>
      <c r="B151" s="5">
        <v>0</v>
      </c>
      <c r="C151" s="5">
        <v>0</v>
      </c>
      <c r="D151" s="5">
        <v>2</v>
      </c>
      <c r="E151" s="5">
        <v>210</v>
      </c>
      <c r="F151" s="5">
        <f>ROUND(ROUND(F147,2),O151)</f>
        <v>3489.97</v>
      </c>
      <c r="G151" s="5" t="s">
        <v>203</v>
      </c>
      <c r="H151" s="5" t="s">
        <v>196</v>
      </c>
      <c r="I151" s="5"/>
      <c r="J151" s="5"/>
      <c r="K151" s="5">
        <v>212</v>
      </c>
      <c r="L151" s="5">
        <v>28</v>
      </c>
      <c r="M151" s="5">
        <v>3</v>
      </c>
      <c r="N151" s="5" t="s">
        <v>6</v>
      </c>
      <c r="O151" s="5">
        <v>2</v>
      </c>
      <c r="P151" s="5">
        <f>ROUND(ROUND(P147,2),O151)</f>
        <v>20904.93</v>
      </c>
      <c r="Q151" s="5"/>
      <c r="R151" s="5"/>
      <c r="S151" s="5"/>
      <c r="T151" s="5"/>
      <c r="U151" s="5"/>
      <c r="V151" s="5"/>
      <c r="W151" s="5"/>
    </row>
    <row r="152" spans="1:23" x14ac:dyDescent="0.2">
      <c r="A152" s="5">
        <v>50</v>
      </c>
      <c r="B152" s="5">
        <v>0</v>
      </c>
      <c r="C152" s="5">
        <v>0</v>
      </c>
      <c r="D152" s="5">
        <v>2</v>
      </c>
      <c r="E152" s="5">
        <v>211</v>
      </c>
      <c r="F152" s="5">
        <f>ROUND(ROUND(F148,2),O152)</f>
        <v>1977.34</v>
      </c>
      <c r="G152" s="5" t="s">
        <v>204</v>
      </c>
      <c r="H152" s="5" t="s">
        <v>198</v>
      </c>
      <c r="I152" s="5"/>
      <c r="J152" s="5"/>
      <c r="K152" s="5">
        <v>212</v>
      </c>
      <c r="L152" s="5">
        <v>29</v>
      </c>
      <c r="M152" s="5">
        <v>3</v>
      </c>
      <c r="N152" s="5" t="s">
        <v>6</v>
      </c>
      <c r="O152" s="5">
        <v>2</v>
      </c>
      <c r="P152" s="5">
        <f>ROUND(ROUND(P148,2),O152)</f>
        <v>11844.31</v>
      </c>
      <c r="Q152" s="5"/>
      <c r="R152" s="5"/>
      <c r="S152" s="5"/>
      <c r="T152" s="5"/>
      <c r="U152" s="5"/>
      <c r="V152" s="5"/>
      <c r="W152" s="5"/>
    </row>
    <row r="153" spans="1:23" x14ac:dyDescent="0.2">
      <c r="A153" s="5">
        <v>50</v>
      </c>
      <c r="B153" s="5">
        <v>0</v>
      </c>
      <c r="C153" s="5">
        <v>0</v>
      </c>
      <c r="D153" s="5">
        <v>2</v>
      </c>
      <c r="E153" s="5">
        <v>0</v>
      </c>
      <c r="F153" s="5">
        <f>ROUND(F150+F151+F152,O153)</f>
        <v>215890.7</v>
      </c>
      <c r="G153" s="5" t="s">
        <v>205</v>
      </c>
      <c r="H153" s="5" t="s">
        <v>206</v>
      </c>
      <c r="I153" s="5"/>
      <c r="J153" s="5"/>
      <c r="K153" s="5">
        <v>212</v>
      </c>
      <c r="L153" s="5">
        <v>30</v>
      </c>
      <c r="M153" s="5">
        <v>3</v>
      </c>
      <c r="N153" s="5" t="s">
        <v>6</v>
      </c>
      <c r="O153" s="5">
        <v>2</v>
      </c>
      <c r="P153" s="5">
        <f>ROUND(P150+P151+P152,O153)</f>
        <v>1293185.46</v>
      </c>
      <c r="Q153" s="5"/>
      <c r="R153" s="5"/>
      <c r="S153" s="5"/>
      <c r="T153" s="5"/>
      <c r="U153" s="5"/>
      <c r="V153" s="5"/>
      <c r="W153" s="5"/>
    </row>
    <row r="154" spans="1:23" x14ac:dyDescent="0.2">
      <c r="A154" s="5">
        <v>50</v>
      </c>
      <c r="B154" s="5">
        <v>0</v>
      </c>
      <c r="C154" s="5">
        <v>0</v>
      </c>
      <c r="D154" s="5">
        <v>2</v>
      </c>
      <c r="E154" s="5">
        <v>0</v>
      </c>
      <c r="F154" s="5">
        <f>0</f>
        <v>0</v>
      </c>
      <c r="G154" s="5" t="s">
        <v>207</v>
      </c>
      <c r="H154" s="5" t="s">
        <v>208</v>
      </c>
      <c r="I154" s="5"/>
      <c r="J154" s="5"/>
      <c r="K154" s="5">
        <v>212</v>
      </c>
      <c r="L154" s="5">
        <v>31</v>
      </c>
      <c r="M154" s="5">
        <v>3</v>
      </c>
      <c r="N154" s="5" t="s">
        <v>6</v>
      </c>
      <c r="O154" s="5">
        <v>-1</v>
      </c>
      <c r="P154" s="5">
        <f>0</f>
        <v>0</v>
      </c>
      <c r="Q154" s="5"/>
      <c r="R154" s="5"/>
      <c r="S154" s="5"/>
      <c r="T154" s="5"/>
      <c r="U154" s="5"/>
      <c r="V154" s="5"/>
      <c r="W154" s="5"/>
    </row>
    <row r="155" spans="1:23" x14ac:dyDescent="0.2">
      <c r="A155" s="5">
        <v>50</v>
      </c>
      <c r="B155" s="5">
        <v>1</v>
      </c>
      <c r="C155" s="5">
        <v>0</v>
      </c>
      <c r="D155" s="5">
        <v>2</v>
      </c>
      <c r="E155" s="5">
        <v>0</v>
      </c>
      <c r="F155" s="5">
        <f>ROUND(F153+F154,O155)</f>
        <v>215890.7</v>
      </c>
      <c r="G155" s="5" t="s">
        <v>209</v>
      </c>
      <c r="H155" s="5" t="s">
        <v>206</v>
      </c>
      <c r="I155" s="5"/>
      <c r="J155" s="5"/>
      <c r="K155" s="5">
        <v>212</v>
      </c>
      <c r="L155" s="5">
        <v>32</v>
      </c>
      <c r="M155" s="5">
        <v>0</v>
      </c>
      <c r="N155" s="5" t="s">
        <v>6</v>
      </c>
      <c r="O155" s="5">
        <v>2</v>
      </c>
      <c r="P155" s="5">
        <f>ROUND(P153+P154,O155)</f>
        <v>1293185.46</v>
      </c>
      <c r="Q155" s="5"/>
      <c r="R155" s="5"/>
      <c r="S155" s="5"/>
      <c r="T155" s="5"/>
      <c r="U155" s="5"/>
      <c r="V155" s="5"/>
      <c r="W155" s="5"/>
    </row>
    <row r="156" spans="1:23" x14ac:dyDescent="0.2">
      <c r="A156" s="5">
        <v>50</v>
      </c>
      <c r="B156" s="5">
        <v>1</v>
      </c>
      <c r="C156" s="5">
        <v>0</v>
      </c>
      <c r="D156" s="5">
        <v>2</v>
      </c>
      <c r="E156" s="5">
        <v>0</v>
      </c>
      <c r="F156" s="5">
        <f>ROUND(ROUND(F155*0.18,2),O156)</f>
        <v>38860.33</v>
      </c>
      <c r="G156" s="5" t="s">
        <v>210</v>
      </c>
      <c r="H156" s="5" t="s">
        <v>211</v>
      </c>
      <c r="I156" s="5"/>
      <c r="J156" s="5"/>
      <c r="K156" s="5">
        <v>212</v>
      </c>
      <c r="L156" s="5">
        <v>33</v>
      </c>
      <c r="M156" s="5">
        <v>0</v>
      </c>
      <c r="N156" s="5" t="s">
        <v>6</v>
      </c>
      <c r="O156" s="5">
        <v>2</v>
      </c>
      <c r="P156" s="5">
        <f>ROUND(ROUND(P155*0.18,2),O156)</f>
        <v>232773.38</v>
      </c>
      <c r="Q156" s="5"/>
      <c r="R156" s="5"/>
      <c r="S156" s="5"/>
      <c r="T156" s="5"/>
      <c r="U156" s="5"/>
      <c r="V156" s="5"/>
      <c r="W156" s="5"/>
    </row>
    <row r="157" spans="1:23" x14ac:dyDescent="0.2">
      <c r="A157" s="5">
        <v>50</v>
      </c>
      <c r="B157" s="5">
        <v>1</v>
      </c>
      <c r="C157" s="5">
        <v>0</v>
      </c>
      <c r="D157" s="5">
        <v>2</v>
      </c>
      <c r="E157" s="5">
        <v>213</v>
      </c>
      <c r="F157" s="5">
        <f>ROUND(F155+F156,O157)</f>
        <v>254751.03</v>
      </c>
      <c r="G157" s="5" t="s">
        <v>212</v>
      </c>
      <c r="H157" s="5" t="s">
        <v>199</v>
      </c>
      <c r="I157" s="5"/>
      <c r="J157" s="5"/>
      <c r="K157" s="5">
        <v>212</v>
      </c>
      <c r="L157" s="5">
        <v>34</v>
      </c>
      <c r="M157" s="5">
        <v>0</v>
      </c>
      <c r="N157" s="5" t="s">
        <v>6</v>
      </c>
      <c r="O157" s="5">
        <v>2</v>
      </c>
      <c r="P157" s="5">
        <f>ROUND(P155+P156,O157)</f>
        <v>1525958.84</v>
      </c>
      <c r="Q157" s="5"/>
      <c r="R157" s="5"/>
      <c r="S157" s="5"/>
      <c r="T157" s="5"/>
      <c r="U157" s="5"/>
      <c r="V157" s="5"/>
      <c r="W157" s="5"/>
    </row>
    <row r="160" spans="1:23" x14ac:dyDescent="0.2">
      <c r="A160">
        <v>70</v>
      </c>
      <c r="B160">
        <v>1</v>
      </c>
      <c r="D160">
        <v>1</v>
      </c>
      <c r="E160" t="s">
        <v>213</v>
      </c>
      <c r="F160" t="s">
        <v>214</v>
      </c>
      <c r="G160">
        <v>0</v>
      </c>
      <c r="H160">
        <v>0</v>
      </c>
      <c r="I160" t="s">
        <v>6</v>
      </c>
      <c r="J160">
        <v>1</v>
      </c>
      <c r="K160">
        <v>0</v>
      </c>
      <c r="L160" t="s">
        <v>6</v>
      </c>
      <c r="M160" t="s">
        <v>6</v>
      </c>
      <c r="N160">
        <v>0</v>
      </c>
      <c r="O160">
        <v>0</v>
      </c>
    </row>
    <row r="161" spans="1:15" x14ac:dyDescent="0.2">
      <c r="A161">
        <v>70</v>
      </c>
      <c r="B161">
        <v>1</v>
      </c>
      <c r="D161">
        <v>2</v>
      </c>
      <c r="E161" t="s">
        <v>215</v>
      </c>
      <c r="F161" t="s">
        <v>216</v>
      </c>
      <c r="G161">
        <v>1</v>
      </c>
      <c r="H161">
        <v>0</v>
      </c>
      <c r="I161" t="s">
        <v>6</v>
      </c>
      <c r="J161">
        <v>1</v>
      </c>
      <c r="K161">
        <v>0</v>
      </c>
      <c r="L161" t="s">
        <v>6</v>
      </c>
      <c r="M161" t="s">
        <v>6</v>
      </c>
      <c r="N161">
        <v>0</v>
      </c>
      <c r="O161">
        <v>1</v>
      </c>
    </row>
    <row r="162" spans="1:15" x14ac:dyDescent="0.2">
      <c r="A162">
        <v>70</v>
      </c>
      <c r="B162">
        <v>1</v>
      </c>
      <c r="D162">
        <v>3</v>
      </c>
      <c r="E162" t="s">
        <v>217</v>
      </c>
      <c r="F162" t="s">
        <v>218</v>
      </c>
      <c r="G162">
        <v>0</v>
      </c>
      <c r="H162">
        <v>0</v>
      </c>
      <c r="I162" t="s">
        <v>6</v>
      </c>
      <c r="J162">
        <v>1</v>
      </c>
      <c r="K162">
        <v>0</v>
      </c>
      <c r="L162" t="s">
        <v>6</v>
      </c>
      <c r="M162" t="s">
        <v>6</v>
      </c>
      <c r="N162">
        <v>0</v>
      </c>
      <c r="O162">
        <v>0</v>
      </c>
    </row>
    <row r="163" spans="1:15" x14ac:dyDescent="0.2">
      <c r="A163">
        <v>70</v>
      </c>
      <c r="B163">
        <v>1</v>
      </c>
      <c r="D163">
        <v>4</v>
      </c>
      <c r="E163" t="s">
        <v>219</v>
      </c>
      <c r="F163" t="s">
        <v>220</v>
      </c>
      <c r="G163">
        <v>0</v>
      </c>
      <c r="H163">
        <v>0</v>
      </c>
      <c r="I163" t="s">
        <v>221</v>
      </c>
      <c r="J163">
        <v>0</v>
      </c>
      <c r="K163">
        <v>0</v>
      </c>
      <c r="L163" t="s">
        <v>6</v>
      </c>
      <c r="M163" t="s">
        <v>6</v>
      </c>
      <c r="N163">
        <v>0</v>
      </c>
      <c r="O163">
        <v>0</v>
      </c>
    </row>
    <row r="164" spans="1:15" x14ac:dyDescent="0.2">
      <c r="A164">
        <v>70</v>
      </c>
      <c r="B164">
        <v>1</v>
      </c>
      <c r="D164">
        <v>5</v>
      </c>
      <c r="E164" t="s">
        <v>222</v>
      </c>
      <c r="F164" t="s">
        <v>223</v>
      </c>
      <c r="G164">
        <v>0</v>
      </c>
      <c r="H164">
        <v>0</v>
      </c>
      <c r="I164" t="s">
        <v>224</v>
      </c>
      <c r="J164">
        <v>0</v>
      </c>
      <c r="K164">
        <v>0</v>
      </c>
      <c r="L164" t="s">
        <v>6</v>
      </c>
      <c r="M164" t="s">
        <v>6</v>
      </c>
      <c r="N164">
        <v>0</v>
      </c>
      <c r="O164">
        <v>0</v>
      </c>
    </row>
    <row r="165" spans="1:15" x14ac:dyDescent="0.2">
      <c r="A165">
        <v>70</v>
      </c>
      <c r="B165">
        <v>1</v>
      </c>
      <c r="D165">
        <v>6</v>
      </c>
      <c r="E165" t="s">
        <v>225</v>
      </c>
      <c r="F165" t="s">
        <v>226</v>
      </c>
      <c r="G165">
        <v>0</v>
      </c>
      <c r="H165">
        <v>0</v>
      </c>
      <c r="I165" t="s">
        <v>227</v>
      </c>
      <c r="J165">
        <v>0</v>
      </c>
      <c r="K165">
        <v>0</v>
      </c>
      <c r="L165" t="s">
        <v>6</v>
      </c>
      <c r="M165" t="s">
        <v>6</v>
      </c>
      <c r="N165">
        <v>0</v>
      </c>
      <c r="O165">
        <v>0</v>
      </c>
    </row>
    <row r="166" spans="1:15" x14ac:dyDescent="0.2">
      <c r="A166">
        <v>70</v>
      </c>
      <c r="B166">
        <v>1</v>
      </c>
      <c r="D166">
        <v>7</v>
      </c>
      <c r="E166" t="s">
        <v>228</v>
      </c>
      <c r="F166" t="s">
        <v>229</v>
      </c>
      <c r="G166">
        <v>0</v>
      </c>
      <c r="H166">
        <v>0</v>
      </c>
      <c r="I166" t="s">
        <v>6</v>
      </c>
      <c r="J166">
        <v>0</v>
      </c>
      <c r="K166">
        <v>0</v>
      </c>
      <c r="L166" t="s">
        <v>6</v>
      </c>
      <c r="M166" t="s">
        <v>6</v>
      </c>
      <c r="N166">
        <v>0</v>
      </c>
      <c r="O166">
        <v>0</v>
      </c>
    </row>
    <row r="167" spans="1:15" x14ac:dyDescent="0.2">
      <c r="A167">
        <v>70</v>
      </c>
      <c r="B167">
        <v>1</v>
      </c>
      <c r="D167">
        <v>8</v>
      </c>
      <c r="E167" t="s">
        <v>230</v>
      </c>
      <c r="F167" t="s">
        <v>231</v>
      </c>
      <c r="G167">
        <v>0</v>
      </c>
      <c r="H167">
        <v>0</v>
      </c>
      <c r="I167" t="s">
        <v>232</v>
      </c>
      <c r="J167">
        <v>0</v>
      </c>
      <c r="K167">
        <v>0</v>
      </c>
      <c r="L167" t="s">
        <v>6</v>
      </c>
      <c r="M167" t="s">
        <v>6</v>
      </c>
      <c r="N167">
        <v>0</v>
      </c>
      <c r="O167">
        <v>0</v>
      </c>
    </row>
    <row r="168" spans="1:15" x14ac:dyDescent="0.2">
      <c r="A168">
        <v>70</v>
      </c>
      <c r="B168">
        <v>1</v>
      </c>
      <c r="D168">
        <v>9</v>
      </c>
      <c r="E168" t="s">
        <v>233</v>
      </c>
      <c r="F168" t="s">
        <v>234</v>
      </c>
      <c r="G168">
        <v>0</v>
      </c>
      <c r="H168">
        <v>0</v>
      </c>
      <c r="I168" t="s">
        <v>235</v>
      </c>
      <c r="J168">
        <v>0</v>
      </c>
      <c r="K168">
        <v>0</v>
      </c>
      <c r="L168" t="s">
        <v>6</v>
      </c>
      <c r="M168" t="s">
        <v>6</v>
      </c>
      <c r="N168">
        <v>0</v>
      </c>
      <c r="O168">
        <v>0</v>
      </c>
    </row>
    <row r="169" spans="1:15" x14ac:dyDescent="0.2">
      <c r="A169">
        <v>70</v>
      </c>
      <c r="B169">
        <v>1</v>
      </c>
      <c r="D169">
        <v>10</v>
      </c>
      <c r="E169" t="s">
        <v>236</v>
      </c>
      <c r="F169" t="s">
        <v>237</v>
      </c>
      <c r="G169">
        <v>0</v>
      </c>
      <c r="H169">
        <v>0</v>
      </c>
      <c r="I169" t="s">
        <v>238</v>
      </c>
      <c r="J169">
        <v>0</v>
      </c>
      <c r="K169">
        <v>0</v>
      </c>
      <c r="L169" t="s">
        <v>6</v>
      </c>
      <c r="M169" t="s">
        <v>6</v>
      </c>
      <c r="N169">
        <v>0</v>
      </c>
      <c r="O169">
        <v>0</v>
      </c>
    </row>
    <row r="170" spans="1:15" x14ac:dyDescent="0.2">
      <c r="A170">
        <v>70</v>
      </c>
      <c r="B170">
        <v>1</v>
      </c>
      <c r="D170">
        <v>11</v>
      </c>
      <c r="E170" t="s">
        <v>239</v>
      </c>
      <c r="F170" t="s">
        <v>240</v>
      </c>
      <c r="G170">
        <v>0</v>
      </c>
      <c r="H170">
        <v>0</v>
      </c>
      <c r="I170" t="s">
        <v>241</v>
      </c>
      <c r="J170">
        <v>0</v>
      </c>
      <c r="K170">
        <v>0</v>
      </c>
      <c r="L170" t="s">
        <v>6</v>
      </c>
      <c r="M170" t="s">
        <v>6</v>
      </c>
      <c r="N170">
        <v>0</v>
      </c>
      <c r="O170">
        <v>0</v>
      </c>
    </row>
    <row r="171" spans="1:15" x14ac:dyDescent="0.2">
      <c r="A171">
        <v>70</v>
      </c>
      <c r="B171">
        <v>1</v>
      </c>
      <c r="D171">
        <v>12</v>
      </c>
      <c r="E171" t="s">
        <v>242</v>
      </c>
      <c r="F171" t="s">
        <v>243</v>
      </c>
      <c r="G171">
        <v>0</v>
      </c>
      <c r="H171">
        <v>0</v>
      </c>
      <c r="I171" t="s">
        <v>6</v>
      </c>
      <c r="J171">
        <v>0</v>
      </c>
      <c r="K171">
        <v>0</v>
      </c>
      <c r="L171" t="s">
        <v>6</v>
      </c>
      <c r="M171" t="s">
        <v>6</v>
      </c>
      <c r="N171">
        <v>0</v>
      </c>
      <c r="O171">
        <v>0</v>
      </c>
    </row>
    <row r="172" spans="1:15" x14ac:dyDescent="0.2">
      <c r="A172">
        <v>70</v>
      </c>
      <c r="B172">
        <v>1</v>
      </c>
      <c r="D172">
        <v>1</v>
      </c>
      <c r="E172" t="s">
        <v>244</v>
      </c>
      <c r="F172" t="s">
        <v>245</v>
      </c>
      <c r="G172">
        <v>0.9</v>
      </c>
      <c r="H172">
        <v>1</v>
      </c>
      <c r="I172" t="s">
        <v>246</v>
      </c>
      <c r="J172">
        <v>0</v>
      </c>
      <c r="K172">
        <v>0</v>
      </c>
      <c r="L172" t="s">
        <v>6</v>
      </c>
      <c r="M172" t="s">
        <v>6</v>
      </c>
      <c r="N172">
        <v>0</v>
      </c>
      <c r="O172">
        <v>0.9</v>
      </c>
    </row>
    <row r="173" spans="1:15" x14ac:dyDescent="0.2">
      <c r="A173">
        <v>70</v>
      </c>
      <c r="B173">
        <v>1</v>
      </c>
      <c r="D173">
        <v>2</v>
      </c>
      <c r="E173" t="s">
        <v>247</v>
      </c>
      <c r="F173" t="s">
        <v>248</v>
      </c>
      <c r="G173">
        <v>0.85</v>
      </c>
      <c r="H173">
        <v>1</v>
      </c>
      <c r="I173" t="s">
        <v>249</v>
      </c>
      <c r="J173">
        <v>0</v>
      </c>
      <c r="K173">
        <v>0</v>
      </c>
      <c r="L173" t="s">
        <v>6</v>
      </c>
      <c r="M173" t="s">
        <v>6</v>
      </c>
      <c r="N173">
        <v>0</v>
      </c>
      <c r="O173">
        <v>0.85</v>
      </c>
    </row>
    <row r="174" spans="1:15" x14ac:dyDescent="0.2">
      <c r="A174">
        <v>70</v>
      </c>
      <c r="B174">
        <v>1</v>
      </c>
      <c r="D174">
        <v>3</v>
      </c>
      <c r="E174" t="s">
        <v>250</v>
      </c>
      <c r="F174" t="s">
        <v>251</v>
      </c>
      <c r="G174">
        <v>1</v>
      </c>
      <c r="H174">
        <v>0.85</v>
      </c>
      <c r="I174" t="s">
        <v>252</v>
      </c>
      <c r="J174">
        <v>0</v>
      </c>
      <c r="K174">
        <v>0</v>
      </c>
      <c r="L174" t="s">
        <v>6</v>
      </c>
      <c r="M174" t="s">
        <v>6</v>
      </c>
      <c r="N174">
        <v>0</v>
      </c>
      <c r="O174">
        <v>1</v>
      </c>
    </row>
    <row r="175" spans="1:15" x14ac:dyDescent="0.2">
      <c r="A175">
        <v>70</v>
      </c>
      <c r="B175">
        <v>1</v>
      </c>
      <c r="D175">
        <v>4</v>
      </c>
      <c r="E175" t="s">
        <v>253</v>
      </c>
      <c r="F175" t="s">
        <v>254</v>
      </c>
      <c r="G175">
        <v>1</v>
      </c>
      <c r="H175">
        <v>0</v>
      </c>
      <c r="I175" t="s">
        <v>6</v>
      </c>
      <c r="J175">
        <v>0</v>
      </c>
      <c r="K175">
        <v>0</v>
      </c>
      <c r="L175" t="s">
        <v>6</v>
      </c>
      <c r="M175" t="s">
        <v>6</v>
      </c>
      <c r="N175">
        <v>0</v>
      </c>
      <c r="O175">
        <v>1</v>
      </c>
    </row>
    <row r="176" spans="1:15" x14ac:dyDescent="0.2">
      <c r="A176">
        <v>70</v>
      </c>
      <c r="B176">
        <v>1</v>
      </c>
      <c r="D176">
        <v>5</v>
      </c>
      <c r="E176" t="s">
        <v>255</v>
      </c>
      <c r="F176" t="s">
        <v>256</v>
      </c>
      <c r="G176">
        <v>1</v>
      </c>
      <c r="H176">
        <v>0.8</v>
      </c>
      <c r="I176" t="s">
        <v>257</v>
      </c>
      <c r="J176">
        <v>0</v>
      </c>
      <c r="K176">
        <v>0</v>
      </c>
      <c r="L176" t="s">
        <v>6</v>
      </c>
      <c r="M176" t="s">
        <v>6</v>
      </c>
      <c r="N176">
        <v>0</v>
      </c>
      <c r="O176">
        <v>1</v>
      </c>
    </row>
    <row r="177" spans="1:34" x14ac:dyDescent="0.2">
      <c r="A177">
        <v>70</v>
      </c>
      <c r="B177">
        <v>1</v>
      </c>
      <c r="D177">
        <v>6</v>
      </c>
      <c r="E177" t="s">
        <v>258</v>
      </c>
      <c r="F177" t="s">
        <v>259</v>
      </c>
      <c r="G177">
        <v>1</v>
      </c>
      <c r="H177">
        <v>0</v>
      </c>
      <c r="I177" t="s">
        <v>6</v>
      </c>
      <c r="J177">
        <v>0</v>
      </c>
      <c r="K177">
        <v>0</v>
      </c>
      <c r="L177" t="s">
        <v>6</v>
      </c>
      <c r="M177" t="s">
        <v>6</v>
      </c>
      <c r="N177">
        <v>0</v>
      </c>
      <c r="O177">
        <v>0.85</v>
      </c>
    </row>
    <row r="178" spans="1:34" x14ac:dyDescent="0.2">
      <c r="A178">
        <v>70</v>
      </c>
      <c r="B178">
        <v>1</v>
      </c>
      <c r="D178">
        <v>7</v>
      </c>
      <c r="E178" t="s">
        <v>260</v>
      </c>
      <c r="F178" t="s">
        <v>261</v>
      </c>
      <c r="G178">
        <v>1</v>
      </c>
      <c r="H178">
        <v>0</v>
      </c>
      <c r="I178" t="s">
        <v>6</v>
      </c>
      <c r="J178">
        <v>0</v>
      </c>
      <c r="K178">
        <v>0</v>
      </c>
      <c r="L178" t="s">
        <v>6</v>
      </c>
      <c r="M178" t="s">
        <v>6</v>
      </c>
      <c r="N178">
        <v>0</v>
      </c>
      <c r="O178">
        <v>0.8</v>
      </c>
    </row>
    <row r="179" spans="1:34" x14ac:dyDescent="0.2">
      <c r="A179">
        <v>70</v>
      </c>
      <c r="B179">
        <v>1</v>
      </c>
      <c r="D179">
        <v>8</v>
      </c>
      <c r="E179" t="s">
        <v>262</v>
      </c>
      <c r="F179" t="s">
        <v>263</v>
      </c>
      <c r="G179">
        <v>0.7</v>
      </c>
      <c r="H179">
        <v>0</v>
      </c>
      <c r="I179" t="s">
        <v>6</v>
      </c>
      <c r="J179">
        <v>0</v>
      </c>
      <c r="K179">
        <v>0</v>
      </c>
      <c r="L179" t="s">
        <v>6</v>
      </c>
      <c r="M179" t="s">
        <v>6</v>
      </c>
      <c r="N179">
        <v>0</v>
      </c>
      <c r="O179">
        <v>0.94</v>
      </c>
    </row>
    <row r="180" spans="1:34" x14ac:dyDescent="0.2">
      <c r="A180">
        <v>70</v>
      </c>
      <c r="B180">
        <v>1</v>
      </c>
      <c r="D180">
        <v>9</v>
      </c>
      <c r="E180" t="s">
        <v>264</v>
      </c>
      <c r="F180" t="s">
        <v>265</v>
      </c>
      <c r="G180">
        <v>0.9</v>
      </c>
      <c r="H180">
        <v>0</v>
      </c>
      <c r="I180" t="s">
        <v>6</v>
      </c>
      <c r="J180">
        <v>0</v>
      </c>
      <c r="K180">
        <v>0</v>
      </c>
      <c r="L180" t="s">
        <v>6</v>
      </c>
      <c r="M180" t="s">
        <v>6</v>
      </c>
      <c r="N180">
        <v>0</v>
      </c>
      <c r="O180">
        <v>0.9</v>
      </c>
    </row>
    <row r="181" spans="1:34" x14ac:dyDescent="0.2">
      <c r="A181">
        <v>70</v>
      </c>
      <c r="B181">
        <v>1</v>
      </c>
      <c r="D181">
        <v>10</v>
      </c>
      <c r="E181" t="s">
        <v>266</v>
      </c>
      <c r="F181" t="s">
        <v>267</v>
      </c>
      <c r="G181">
        <v>0.6</v>
      </c>
      <c r="H181">
        <v>0</v>
      </c>
      <c r="I181" t="s">
        <v>6</v>
      </c>
      <c r="J181">
        <v>0</v>
      </c>
      <c r="K181">
        <v>0</v>
      </c>
      <c r="L181" t="s">
        <v>6</v>
      </c>
      <c r="M181" t="s">
        <v>6</v>
      </c>
      <c r="N181">
        <v>0</v>
      </c>
      <c r="O181">
        <v>0.6</v>
      </c>
    </row>
    <row r="182" spans="1:34" x14ac:dyDescent="0.2">
      <c r="A182">
        <v>70</v>
      </c>
      <c r="B182">
        <v>1</v>
      </c>
      <c r="D182">
        <v>11</v>
      </c>
      <c r="E182" t="s">
        <v>268</v>
      </c>
      <c r="F182" t="s">
        <v>269</v>
      </c>
      <c r="G182">
        <v>1.2</v>
      </c>
      <c r="H182">
        <v>0</v>
      </c>
      <c r="I182" t="s">
        <v>6</v>
      </c>
      <c r="J182">
        <v>0</v>
      </c>
      <c r="K182">
        <v>0</v>
      </c>
      <c r="L182" t="s">
        <v>6</v>
      </c>
      <c r="M182" t="s">
        <v>6</v>
      </c>
      <c r="N182">
        <v>0</v>
      </c>
      <c r="O182">
        <v>1.2</v>
      </c>
    </row>
    <row r="183" spans="1:34" x14ac:dyDescent="0.2">
      <c r="A183">
        <v>70</v>
      </c>
      <c r="B183">
        <v>1</v>
      </c>
      <c r="D183">
        <v>12</v>
      </c>
      <c r="E183" t="s">
        <v>270</v>
      </c>
      <c r="F183" t="s">
        <v>271</v>
      </c>
      <c r="G183">
        <v>0</v>
      </c>
      <c r="H183">
        <v>0</v>
      </c>
      <c r="I183" t="s">
        <v>6</v>
      </c>
      <c r="J183">
        <v>0</v>
      </c>
      <c r="K183">
        <v>0</v>
      </c>
      <c r="L183" t="s">
        <v>6</v>
      </c>
      <c r="M183" t="s">
        <v>6</v>
      </c>
      <c r="N183">
        <v>0</v>
      </c>
      <c r="O183">
        <v>0</v>
      </c>
    </row>
    <row r="184" spans="1:34" x14ac:dyDescent="0.2">
      <c r="A184">
        <v>70</v>
      </c>
      <c r="B184">
        <v>1</v>
      </c>
      <c r="D184">
        <v>13</v>
      </c>
      <c r="E184" t="s">
        <v>272</v>
      </c>
      <c r="F184" t="s">
        <v>273</v>
      </c>
      <c r="G184">
        <v>1</v>
      </c>
      <c r="H184">
        <v>0</v>
      </c>
      <c r="I184" t="s">
        <v>6</v>
      </c>
      <c r="J184">
        <v>0</v>
      </c>
      <c r="K184">
        <v>0</v>
      </c>
      <c r="L184" t="s">
        <v>6</v>
      </c>
      <c r="M184" t="s">
        <v>6</v>
      </c>
      <c r="N184">
        <v>0</v>
      </c>
      <c r="O184">
        <v>0.94</v>
      </c>
    </row>
    <row r="186" spans="1:34" x14ac:dyDescent="0.2">
      <c r="A186">
        <v>-1</v>
      </c>
    </row>
    <row r="188" spans="1:34" x14ac:dyDescent="0.2">
      <c r="A188" s="4">
        <v>75</v>
      </c>
      <c r="B188" s="4" t="s">
        <v>274</v>
      </c>
      <c r="C188" s="4">
        <v>2000</v>
      </c>
      <c r="D188" s="4">
        <v>0</v>
      </c>
      <c r="E188" s="4">
        <v>1</v>
      </c>
      <c r="F188" s="4">
        <v>0</v>
      </c>
      <c r="G188" s="4">
        <v>0</v>
      </c>
      <c r="H188" s="4">
        <v>1</v>
      </c>
      <c r="I188" s="4">
        <v>0</v>
      </c>
      <c r="J188" s="4">
        <v>1</v>
      </c>
      <c r="K188" s="4">
        <v>0</v>
      </c>
      <c r="L188" s="4">
        <v>0</v>
      </c>
      <c r="M188" s="4">
        <v>0</v>
      </c>
      <c r="N188" s="4">
        <v>16481133</v>
      </c>
      <c r="O188" s="4">
        <v>1</v>
      </c>
    </row>
    <row r="189" spans="1:34" x14ac:dyDescent="0.2">
      <c r="A189" s="4">
        <v>75</v>
      </c>
      <c r="B189" s="4" t="s">
        <v>275</v>
      </c>
      <c r="C189" s="4">
        <v>2017</v>
      </c>
      <c r="D189" s="4">
        <v>0</v>
      </c>
      <c r="E189" s="4">
        <v>1</v>
      </c>
      <c r="F189" s="4"/>
      <c r="G189" s="4">
        <v>0</v>
      </c>
      <c r="H189" s="4">
        <v>1</v>
      </c>
      <c r="I189" s="4">
        <v>0</v>
      </c>
      <c r="J189" s="4">
        <v>1</v>
      </c>
      <c r="K189" s="4">
        <v>0</v>
      </c>
      <c r="L189" s="4">
        <v>0</v>
      </c>
      <c r="M189" s="4">
        <v>1</v>
      </c>
      <c r="N189" s="4">
        <v>16481134</v>
      </c>
      <c r="O189" s="4">
        <v>2</v>
      </c>
    </row>
    <row r="190" spans="1:34" x14ac:dyDescent="0.2">
      <c r="A190" s="6">
        <v>3</v>
      </c>
      <c r="B190" s="6" t="s">
        <v>276</v>
      </c>
      <c r="C190" s="6">
        <v>5.99</v>
      </c>
      <c r="D190" s="6">
        <v>1</v>
      </c>
      <c r="E190" s="6">
        <v>1</v>
      </c>
      <c r="F190" s="6">
        <v>1</v>
      </c>
      <c r="G190" s="6">
        <v>1</v>
      </c>
      <c r="H190" s="6">
        <v>1</v>
      </c>
      <c r="I190" s="6">
        <v>1</v>
      </c>
      <c r="J190" s="6">
        <v>1</v>
      </c>
      <c r="K190" s="6">
        <v>1</v>
      </c>
      <c r="L190" s="6">
        <v>1</v>
      </c>
      <c r="M190" s="6">
        <v>5.99</v>
      </c>
      <c r="N190" s="6">
        <v>1</v>
      </c>
      <c r="O190" s="6">
        <v>1</v>
      </c>
      <c r="P190" s="6">
        <v>1</v>
      </c>
      <c r="Q190" s="6">
        <v>1</v>
      </c>
      <c r="R190" s="6">
        <v>1</v>
      </c>
      <c r="S190" s="6" t="s">
        <v>6</v>
      </c>
      <c r="T190" s="6" t="s">
        <v>6</v>
      </c>
      <c r="U190" s="6" t="s">
        <v>6</v>
      </c>
      <c r="V190" s="6" t="s">
        <v>6</v>
      </c>
      <c r="W190" s="6" t="s">
        <v>6</v>
      </c>
      <c r="X190" s="6" t="s">
        <v>6</v>
      </c>
      <c r="Y190" s="6" t="s">
        <v>6</v>
      </c>
      <c r="Z190" s="6" t="s">
        <v>6</v>
      </c>
      <c r="AA190" s="6" t="s">
        <v>6</v>
      </c>
      <c r="AB190" s="6" t="s">
        <v>6</v>
      </c>
      <c r="AC190" s="6" t="s">
        <v>6</v>
      </c>
      <c r="AD190" s="6" t="s">
        <v>6</v>
      </c>
      <c r="AE190" s="6" t="s">
        <v>6</v>
      </c>
      <c r="AF190" s="6" t="s">
        <v>6</v>
      </c>
      <c r="AG190" s="6" t="s">
        <v>6</v>
      </c>
      <c r="AH190" s="6" t="s">
        <v>6</v>
      </c>
    </row>
    <row r="194" spans="1:5" x14ac:dyDescent="0.2">
      <c r="A194">
        <v>65</v>
      </c>
      <c r="C194">
        <v>1</v>
      </c>
      <c r="D194">
        <v>0</v>
      </c>
      <c r="E19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6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277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58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16481133</v>
      </c>
      <c r="E14" s="1">
        <v>16481134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(Source!F102)/1000</f>
        <v>216.06542000000002</v>
      </c>
      <c r="F16" s="8">
        <f>(Source!F103)/1000</f>
        <v>0</v>
      </c>
      <c r="G16" s="8">
        <f>(Source!F94)/1000</f>
        <v>0</v>
      </c>
      <c r="H16" s="8">
        <f>(Source!F104)/1000+(Source!F105)/1000</f>
        <v>0</v>
      </c>
      <c r="I16" s="8">
        <f>E16+F16+G16+H16</f>
        <v>216.06542000000002</v>
      </c>
      <c r="J16" s="8">
        <f>(Source!F100)/1000</f>
        <v>3.3901399999999997</v>
      </c>
      <c r="T16" s="9">
        <f>(Source!P102)/1000</f>
        <v>1294.2320099999999</v>
      </c>
      <c r="U16" s="9">
        <f>(Source!P103)/1000</f>
        <v>0</v>
      </c>
      <c r="V16" s="9">
        <f>(Source!P94)/1000</f>
        <v>0</v>
      </c>
      <c r="W16" s="9">
        <f>(Source!P104)/1000+(Source!P105)/1000</f>
        <v>0</v>
      </c>
      <c r="X16" s="9">
        <f>T16+U16+V16+W16</f>
        <v>1294.2320099999999</v>
      </c>
      <c r="Y16" s="9">
        <f>(Source!P100)/1000</f>
        <v>20.306999999999999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210423.39</v>
      </c>
      <c r="AU16" s="8">
        <v>206553.52</v>
      </c>
      <c r="AV16" s="8">
        <v>0</v>
      </c>
      <c r="AW16" s="8">
        <v>0</v>
      </c>
      <c r="AX16" s="8">
        <v>0</v>
      </c>
      <c r="AY16" s="8">
        <v>479.73</v>
      </c>
      <c r="AZ16" s="8">
        <v>148.58000000000001</v>
      </c>
      <c r="BA16" s="8">
        <v>3390.14</v>
      </c>
      <c r="BB16" s="8">
        <v>216065.42</v>
      </c>
      <c r="BC16" s="8">
        <v>0</v>
      </c>
      <c r="BD16" s="8">
        <v>0</v>
      </c>
      <c r="BE16" s="8">
        <v>0</v>
      </c>
      <c r="BF16" s="8">
        <v>399.7512319999999</v>
      </c>
      <c r="BG16" s="8">
        <v>11.497266</v>
      </c>
      <c r="BH16" s="8">
        <v>0</v>
      </c>
      <c r="BI16" s="8">
        <v>3489.97</v>
      </c>
      <c r="BJ16" s="8">
        <v>1977.34</v>
      </c>
      <c r="BK16" s="8">
        <v>216065.42</v>
      </c>
      <c r="BR16" s="9">
        <v>1260436.22</v>
      </c>
      <c r="BS16" s="9">
        <v>1237255.6399999999</v>
      </c>
      <c r="BT16" s="9">
        <v>0</v>
      </c>
      <c r="BU16" s="9">
        <v>0</v>
      </c>
      <c r="BV16" s="9">
        <v>0</v>
      </c>
      <c r="BW16" s="9">
        <v>2873.58</v>
      </c>
      <c r="BX16" s="9">
        <v>890.01</v>
      </c>
      <c r="BY16" s="9">
        <v>20307</v>
      </c>
      <c r="BZ16" s="9">
        <v>1294232.01</v>
      </c>
      <c r="CA16" s="9">
        <v>0</v>
      </c>
      <c r="CB16" s="9">
        <v>0</v>
      </c>
      <c r="CC16" s="9">
        <v>0</v>
      </c>
      <c r="CD16" s="9">
        <v>399.7512319999999</v>
      </c>
      <c r="CE16" s="9">
        <v>11.497266</v>
      </c>
      <c r="CF16" s="9">
        <v>0</v>
      </c>
      <c r="CG16" s="9">
        <v>20904.93</v>
      </c>
      <c r="CH16" s="9">
        <v>11844.31</v>
      </c>
      <c r="CI16" s="9">
        <v>1294232.01</v>
      </c>
    </row>
    <row r="18" spans="1:40" x14ac:dyDescent="0.2">
      <c r="A18">
        <v>51</v>
      </c>
      <c r="E18" s="10">
        <f>SUMIF(A16:A17,3,E16:E17)</f>
        <v>216.06542000000002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216.06542000000002</v>
      </c>
      <c r="J18" s="10">
        <f>SUMIF(A16:A17,3,J16:J17)</f>
        <v>3.3901399999999997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1294.2320099999999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1294.2320099999999</v>
      </c>
      <c r="Y18" s="3">
        <f>SUMIF(A16:A17,3,Y16:Y17)</f>
        <v>20.306999999999999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0</v>
      </c>
      <c r="F20" s="5">
        <v>210423.39</v>
      </c>
      <c r="G20" s="5" t="s">
        <v>149</v>
      </c>
      <c r="H20" s="5" t="s">
        <v>150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1260436.22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206553.52</v>
      </c>
      <c r="G21" s="5" t="s">
        <v>151</v>
      </c>
      <c r="H21" s="5" t="s">
        <v>152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1237255.6399999999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153</v>
      </c>
      <c r="H22" s="5" t="s">
        <v>154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206553.52</v>
      </c>
      <c r="G23" s="5" t="s">
        <v>155</v>
      </c>
      <c r="H23" s="5" t="s">
        <v>156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1237255.6399999999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206553.52</v>
      </c>
      <c r="G24" s="5" t="s">
        <v>157</v>
      </c>
      <c r="H24" s="5" t="s">
        <v>158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1237255.6399999999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159</v>
      </c>
      <c r="H25" s="5" t="s">
        <v>160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206553.52</v>
      </c>
      <c r="G26" s="5" t="s">
        <v>161</v>
      </c>
      <c r="H26" s="5" t="s">
        <v>162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1237255.6399999999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163</v>
      </c>
      <c r="H27" s="5" t="s">
        <v>164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165</v>
      </c>
      <c r="H28" s="5" t="s">
        <v>166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167</v>
      </c>
      <c r="H29" s="5" t="s">
        <v>168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479.73</v>
      </c>
      <c r="G30" s="5" t="s">
        <v>169</v>
      </c>
      <c r="H30" s="5" t="s">
        <v>170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2873.58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171</v>
      </c>
      <c r="H31" s="5" t="s">
        <v>172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148.58000000000001</v>
      </c>
      <c r="G32" s="5" t="s">
        <v>173</v>
      </c>
      <c r="H32" s="5" t="s">
        <v>174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890.01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3390.14</v>
      </c>
      <c r="G33" s="5" t="s">
        <v>175</v>
      </c>
      <c r="H33" s="5" t="s">
        <v>176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20307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177</v>
      </c>
      <c r="H34" s="5" t="s">
        <v>178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216065.42</v>
      </c>
      <c r="G35" s="5" t="s">
        <v>179</v>
      </c>
      <c r="H35" s="5" t="s">
        <v>180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1294232.01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181</v>
      </c>
      <c r="H36" s="5" t="s">
        <v>182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183</v>
      </c>
      <c r="H37" s="5" t="s">
        <v>184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185</v>
      </c>
      <c r="H38" s="5" t="s">
        <v>186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187</v>
      </c>
      <c r="H39" s="5" t="s">
        <v>188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399.7512319999999</v>
      </c>
      <c r="G40" s="5" t="s">
        <v>189</v>
      </c>
      <c r="H40" s="5" t="s">
        <v>190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399.7512319999999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11.497266</v>
      </c>
      <c r="G41" s="5" t="s">
        <v>191</v>
      </c>
      <c r="H41" s="5" t="s">
        <v>192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11.497266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193</v>
      </c>
      <c r="H42" s="5" t="s">
        <v>194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0</v>
      </c>
      <c r="F43" s="5">
        <v>3489.97</v>
      </c>
      <c r="G43" s="5" t="s">
        <v>195</v>
      </c>
      <c r="H43" s="5" t="s">
        <v>196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20904.93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0</v>
      </c>
      <c r="F44" s="5">
        <v>1977.34</v>
      </c>
      <c r="G44" s="5" t="s">
        <v>197</v>
      </c>
      <c r="H44" s="5" t="s">
        <v>198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11844.31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216065.42</v>
      </c>
      <c r="G45" s="5" t="s">
        <v>199</v>
      </c>
      <c r="H45" s="5" t="s">
        <v>200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1294232.01</v>
      </c>
    </row>
    <row r="46" spans="1:16" x14ac:dyDescent="0.2">
      <c r="A46" s="5">
        <v>50</v>
      </c>
      <c r="B46" s="5">
        <v>0</v>
      </c>
      <c r="C46" s="5">
        <v>0</v>
      </c>
      <c r="D46" s="5">
        <v>2</v>
      </c>
      <c r="E46" s="5">
        <v>201</v>
      </c>
      <c r="F46" s="5">
        <v>210423.39</v>
      </c>
      <c r="G46" s="5" t="s">
        <v>201</v>
      </c>
      <c r="H46" s="5" t="s">
        <v>202</v>
      </c>
      <c r="I46" s="5"/>
      <c r="J46" s="5"/>
      <c r="K46" s="5">
        <v>212</v>
      </c>
      <c r="L46" s="5">
        <v>27</v>
      </c>
      <c r="M46" s="5">
        <v>3</v>
      </c>
      <c r="N46" s="5" t="s">
        <v>6</v>
      </c>
      <c r="O46" s="5">
        <v>2</v>
      </c>
      <c r="P46" s="5">
        <v>1260436.22</v>
      </c>
    </row>
    <row r="47" spans="1:16" x14ac:dyDescent="0.2">
      <c r="A47" s="5">
        <v>50</v>
      </c>
      <c r="B47" s="5">
        <v>0</v>
      </c>
      <c r="C47" s="5">
        <v>0</v>
      </c>
      <c r="D47" s="5">
        <v>2</v>
      </c>
      <c r="E47" s="5">
        <v>210</v>
      </c>
      <c r="F47" s="5">
        <v>3489.97</v>
      </c>
      <c r="G47" s="5" t="s">
        <v>203</v>
      </c>
      <c r="H47" s="5" t="s">
        <v>196</v>
      </c>
      <c r="I47" s="5"/>
      <c r="J47" s="5"/>
      <c r="K47" s="5">
        <v>212</v>
      </c>
      <c r="L47" s="5">
        <v>28</v>
      </c>
      <c r="M47" s="5">
        <v>3</v>
      </c>
      <c r="N47" s="5" t="s">
        <v>6</v>
      </c>
      <c r="O47" s="5">
        <v>2</v>
      </c>
      <c r="P47" s="5">
        <v>20904.93</v>
      </c>
    </row>
    <row r="48" spans="1:16" x14ac:dyDescent="0.2">
      <c r="A48" s="5">
        <v>50</v>
      </c>
      <c r="B48" s="5">
        <v>0</v>
      </c>
      <c r="C48" s="5">
        <v>0</v>
      </c>
      <c r="D48" s="5">
        <v>2</v>
      </c>
      <c r="E48" s="5">
        <v>211</v>
      </c>
      <c r="F48" s="5">
        <v>1977.34</v>
      </c>
      <c r="G48" s="5" t="s">
        <v>204</v>
      </c>
      <c r="H48" s="5" t="s">
        <v>198</v>
      </c>
      <c r="I48" s="5"/>
      <c r="J48" s="5"/>
      <c r="K48" s="5">
        <v>212</v>
      </c>
      <c r="L48" s="5">
        <v>29</v>
      </c>
      <c r="M48" s="5">
        <v>3</v>
      </c>
      <c r="N48" s="5" t="s">
        <v>6</v>
      </c>
      <c r="O48" s="5">
        <v>2</v>
      </c>
      <c r="P48" s="5">
        <v>11844.31</v>
      </c>
    </row>
    <row r="49" spans="1:34" x14ac:dyDescent="0.2">
      <c r="A49" s="5">
        <v>50</v>
      </c>
      <c r="B49" s="5">
        <v>0</v>
      </c>
      <c r="C49" s="5">
        <v>0</v>
      </c>
      <c r="D49" s="5">
        <v>2</v>
      </c>
      <c r="E49" s="5">
        <v>0</v>
      </c>
      <c r="F49" s="5">
        <v>215890.7</v>
      </c>
      <c r="G49" s="5" t="s">
        <v>205</v>
      </c>
      <c r="H49" s="5" t="s">
        <v>206</v>
      </c>
      <c r="I49" s="5"/>
      <c r="J49" s="5"/>
      <c r="K49" s="5">
        <v>212</v>
      </c>
      <c r="L49" s="5">
        <v>30</v>
      </c>
      <c r="M49" s="5">
        <v>3</v>
      </c>
      <c r="N49" s="5" t="s">
        <v>6</v>
      </c>
      <c r="O49" s="5">
        <v>2</v>
      </c>
      <c r="P49" s="5">
        <v>1293185.46</v>
      </c>
    </row>
    <row r="50" spans="1:34" x14ac:dyDescent="0.2">
      <c r="A50" s="5">
        <v>50</v>
      </c>
      <c r="B50" s="5">
        <v>0</v>
      </c>
      <c r="C50" s="5">
        <v>0</v>
      </c>
      <c r="D50" s="5">
        <v>2</v>
      </c>
      <c r="E50" s="5">
        <v>0</v>
      </c>
      <c r="F50" s="5">
        <v>0</v>
      </c>
      <c r="G50" s="5" t="s">
        <v>207</v>
      </c>
      <c r="H50" s="5" t="s">
        <v>208</v>
      </c>
      <c r="I50" s="5"/>
      <c r="J50" s="5"/>
      <c r="K50" s="5">
        <v>212</v>
      </c>
      <c r="L50" s="5">
        <v>31</v>
      </c>
      <c r="M50" s="5">
        <v>3</v>
      </c>
      <c r="N50" s="5" t="s">
        <v>6</v>
      </c>
      <c r="O50" s="5">
        <v>-1</v>
      </c>
      <c r="P50" s="5">
        <v>0</v>
      </c>
    </row>
    <row r="51" spans="1:34" x14ac:dyDescent="0.2">
      <c r="A51" s="5">
        <v>50</v>
      </c>
      <c r="B51" s="5">
        <v>1</v>
      </c>
      <c r="C51" s="5">
        <v>0</v>
      </c>
      <c r="D51" s="5">
        <v>2</v>
      </c>
      <c r="E51" s="5">
        <v>0</v>
      </c>
      <c r="F51" s="5">
        <v>215890.7</v>
      </c>
      <c r="G51" s="5" t="s">
        <v>209</v>
      </c>
      <c r="H51" s="5" t="s">
        <v>206</v>
      </c>
      <c r="I51" s="5"/>
      <c r="J51" s="5"/>
      <c r="K51" s="5">
        <v>212</v>
      </c>
      <c r="L51" s="5">
        <v>32</v>
      </c>
      <c r="M51" s="5">
        <v>0</v>
      </c>
      <c r="N51" s="5" t="s">
        <v>6</v>
      </c>
      <c r="O51" s="5">
        <v>2</v>
      </c>
      <c r="P51" s="5">
        <v>1293185.46</v>
      </c>
    </row>
    <row r="52" spans="1:34" x14ac:dyDescent="0.2">
      <c r="A52" s="5">
        <v>50</v>
      </c>
      <c r="B52" s="5">
        <v>1</v>
      </c>
      <c r="C52" s="5">
        <v>0</v>
      </c>
      <c r="D52" s="5">
        <v>2</v>
      </c>
      <c r="E52" s="5">
        <v>0</v>
      </c>
      <c r="F52" s="5">
        <v>38860.33</v>
      </c>
      <c r="G52" s="5" t="s">
        <v>210</v>
      </c>
      <c r="H52" s="5" t="s">
        <v>211</v>
      </c>
      <c r="I52" s="5"/>
      <c r="J52" s="5"/>
      <c r="K52" s="5">
        <v>212</v>
      </c>
      <c r="L52" s="5">
        <v>33</v>
      </c>
      <c r="M52" s="5">
        <v>0</v>
      </c>
      <c r="N52" s="5" t="s">
        <v>6</v>
      </c>
      <c r="O52" s="5">
        <v>2</v>
      </c>
      <c r="P52" s="5">
        <v>232773.38</v>
      </c>
    </row>
    <row r="53" spans="1:34" x14ac:dyDescent="0.2">
      <c r="A53" s="5">
        <v>50</v>
      </c>
      <c r="B53" s="5">
        <v>1</v>
      </c>
      <c r="C53" s="5">
        <v>0</v>
      </c>
      <c r="D53" s="5">
        <v>2</v>
      </c>
      <c r="E53" s="5">
        <v>213</v>
      </c>
      <c r="F53" s="5">
        <v>254751.03</v>
      </c>
      <c r="G53" s="5" t="s">
        <v>212</v>
      </c>
      <c r="H53" s="5" t="s">
        <v>199</v>
      </c>
      <c r="I53" s="5"/>
      <c r="J53" s="5"/>
      <c r="K53" s="5">
        <v>212</v>
      </c>
      <c r="L53" s="5">
        <v>34</v>
      </c>
      <c r="M53" s="5">
        <v>0</v>
      </c>
      <c r="N53" s="5" t="s">
        <v>6</v>
      </c>
      <c r="O53" s="5">
        <v>2</v>
      </c>
      <c r="P53" s="5">
        <v>1525958.84</v>
      </c>
    </row>
    <row r="55" spans="1:34" x14ac:dyDescent="0.2">
      <c r="A55">
        <v>-1</v>
      </c>
    </row>
    <row r="58" spans="1:34" x14ac:dyDescent="0.2">
      <c r="A58" s="4">
        <v>75</v>
      </c>
      <c r="B58" s="4" t="s">
        <v>274</v>
      </c>
      <c r="C58" s="4">
        <v>2000</v>
      </c>
      <c r="D58" s="4">
        <v>0</v>
      </c>
      <c r="E58" s="4">
        <v>1</v>
      </c>
      <c r="F58" s="4">
        <v>0</v>
      </c>
      <c r="G58" s="4">
        <v>0</v>
      </c>
      <c r="H58" s="4">
        <v>1</v>
      </c>
      <c r="I58" s="4">
        <v>0</v>
      </c>
      <c r="J58" s="4">
        <v>1</v>
      </c>
      <c r="K58" s="4">
        <v>0</v>
      </c>
      <c r="L58" s="4">
        <v>0</v>
      </c>
      <c r="M58" s="4">
        <v>0</v>
      </c>
      <c r="N58" s="4">
        <v>16481133</v>
      </c>
      <c r="O58" s="4">
        <v>1</v>
      </c>
    </row>
    <row r="59" spans="1:34" x14ac:dyDescent="0.2">
      <c r="A59" s="4">
        <v>75</v>
      </c>
      <c r="B59" s="4" t="s">
        <v>275</v>
      </c>
      <c r="C59" s="4">
        <v>2017</v>
      </c>
      <c r="D59" s="4">
        <v>0</v>
      </c>
      <c r="E59" s="4">
        <v>1</v>
      </c>
      <c r="F59" s="4"/>
      <c r="G59" s="4">
        <v>0</v>
      </c>
      <c r="H59" s="4">
        <v>1</v>
      </c>
      <c r="I59" s="4">
        <v>0</v>
      </c>
      <c r="J59" s="4">
        <v>1</v>
      </c>
      <c r="K59" s="4">
        <v>0</v>
      </c>
      <c r="L59" s="4">
        <v>0</v>
      </c>
      <c r="M59" s="4">
        <v>1</v>
      </c>
      <c r="N59" s="4">
        <v>16481134</v>
      </c>
      <c r="O59" s="4">
        <v>2</v>
      </c>
    </row>
    <row r="60" spans="1:34" x14ac:dyDescent="0.2">
      <c r="A60" s="6">
        <v>3</v>
      </c>
      <c r="B60" s="6" t="s">
        <v>276</v>
      </c>
      <c r="C60" s="6">
        <v>5.99</v>
      </c>
      <c r="D60" s="6">
        <v>1</v>
      </c>
      <c r="E60" s="6">
        <v>1</v>
      </c>
      <c r="F60" s="6">
        <v>1</v>
      </c>
      <c r="G60" s="6">
        <v>1</v>
      </c>
      <c r="H60" s="6">
        <v>1</v>
      </c>
      <c r="I60" s="6">
        <v>1</v>
      </c>
      <c r="J60" s="6">
        <v>1</v>
      </c>
      <c r="K60" s="6">
        <v>1</v>
      </c>
      <c r="L60" s="6">
        <v>1</v>
      </c>
      <c r="M60" s="6">
        <v>5.99</v>
      </c>
      <c r="N60" s="6">
        <v>1</v>
      </c>
      <c r="O60" s="6">
        <v>1</v>
      </c>
      <c r="P60" s="6">
        <v>1</v>
      </c>
      <c r="Q60" s="6">
        <v>1</v>
      </c>
      <c r="R60" s="6">
        <v>1</v>
      </c>
      <c r="S60" s="6" t="s">
        <v>6</v>
      </c>
      <c r="T60" s="6" t="s">
        <v>6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 t="s">
        <v>6</v>
      </c>
      <c r="AB60" s="6" t="s">
        <v>6</v>
      </c>
      <c r="AC60" s="6" t="s">
        <v>6</v>
      </c>
      <c r="AD60" s="6" t="s">
        <v>6</v>
      </c>
      <c r="AE60" s="6" t="s">
        <v>6</v>
      </c>
      <c r="AF60" s="6" t="s">
        <v>6</v>
      </c>
      <c r="AG60" s="6" t="s">
        <v>6</v>
      </c>
      <c r="AH60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5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16481133</v>
      </c>
      <c r="C1">
        <v>16481196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278</v>
      </c>
      <c r="J1" t="s">
        <v>6</v>
      </c>
      <c r="K1" t="s">
        <v>279</v>
      </c>
      <c r="L1">
        <v>1191</v>
      </c>
      <c r="N1">
        <v>1013</v>
      </c>
      <c r="O1" t="s">
        <v>280</v>
      </c>
      <c r="P1" t="s">
        <v>280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16481200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176.548856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ROW(Source!A24)</f>
        <v>24</v>
      </c>
      <c r="B2">
        <v>16481133</v>
      </c>
      <c r="C2">
        <v>16481196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281</v>
      </c>
      <c r="J2" t="s">
        <v>6</v>
      </c>
      <c r="K2" t="s">
        <v>282</v>
      </c>
      <c r="L2">
        <v>1191</v>
      </c>
      <c r="N2">
        <v>1013</v>
      </c>
      <c r="O2" t="s">
        <v>280</v>
      </c>
      <c r="P2" t="s">
        <v>280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16481201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7.2477360000000006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16481133</v>
      </c>
      <c r="C3">
        <v>16481196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283</v>
      </c>
      <c r="J3" t="s">
        <v>284</v>
      </c>
      <c r="K3" t="s">
        <v>285</v>
      </c>
      <c r="L3">
        <v>1368</v>
      </c>
      <c r="N3">
        <v>1011</v>
      </c>
      <c r="O3" t="s">
        <v>286</v>
      </c>
      <c r="P3" t="s">
        <v>286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16481202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7.2477360000000006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ROW(Source!A25)</f>
        <v>25</v>
      </c>
      <c r="B4">
        <v>16481134</v>
      </c>
      <c r="C4">
        <v>16481196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278</v>
      </c>
      <c r="J4" t="s">
        <v>6</v>
      </c>
      <c r="K4" t="s">
        <v>279</v>
      </c>
      <c r="L4">
        <v>1191</v>
      </c>
      <c r="N4">
        <v>1013</v>
      </c>
      <c r="O4" t="s">
        <v>280</v>
      </c>
      <c r="P4" t="s">
        <v>280</v>
      </c>
      <c r="Q4">
        <v>1</v>
      </c>
      <c r="W4">
        <v>0</v>
      </c>
      <c r="X4">
        <v>371339561</v>
      </c>
      <c r="Y4">
        <v>188.54</v>
      </c>
      <c r="AA4">
        <v>0</v>
      </c>
      <c r="AB4">
        <v>0</v>
      </c>
      <c r="AC4">
        <v>0</v>
      </c>
      <c r="AD4">
        <v>48.46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5.99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188.54</v>
      </c>
      <c r="AU4" t="s">
        <v>6</v>
      </c>
      <c r="AV4">
        <v>1</v>
      </c>
      <c r="AW4">
        <v>2</v>
      </c>
      <c r="AX4">
        <v>16481200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176.548856</v>
      </c>
      <c r="CY4">
        <f>AD4</f>
        <v>48.46</v>
      </c>
      <c r="CZ4">
        <f>AH4</f>
        <v>8.09</v>
      </c>
      <c r="DA4">
        <f>AL4</f>
        <v>5.99</v>
      </c>
      <c r="DB4">
        <v>0</v>
      </c>
    </row>
    <row r="5" spans="1:106" x14ac:dyDescent="0.2">
      <c r="A5">
        <f>ROW(Source!A25)</f>
        <v>25</v>
      </c>
      <c r="B5">
        <v>16481134</v>
      </c>
      <c r="C5">
        <v>16481196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281</v>
      </c>
      <c r="J5" t="s">
        <v>6</v>
      </c>
      <c r="K5" t="s">
        <v>282</v>
      </c>
      <c r="L5">
        <v>1191</v>
      </c>
      <c r="N5">
        <v>1013</v>
      </c>
      <c r="O5" t="s">
        <v>280</v>
      </c>
      <c r="P5" t="s">
        <v>280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5.99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16481201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7.2477360000000006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ROW(Source!A25)</f>
        <v>25</v>
      </c>
      <c r="B6">
        <v>16481134</v>
      </c>
      <c r="C6">
        <v>16481196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283</v>
      </c>
      <c r="J6" t="s">
        <v>284</v>
      </c>
      <c r="K6" t="s">
        <v>285</v>
      </c>
      <c r="L6">
        <v>1368</v>
      </c>
      <c r="N6">
        <v>1011</v>
      </c>
      <c r="O6" t="s">
        <v>286</v>
      </c>
      <c r="P6" t="s">
        <v>286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187.25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5.99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16481202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7.2477360000000006</v>
      </c>
      <c r="CY6">
        <f>AB6</f>
        <v>187.25</v>
      </c>
      <c r="CZ6">
        <f>AF6</f>
        <v>31.26</v>
      </c>
      <c r="DA6">
        <f>AJ6</f>
        <v>5.99</v>
      </c>
      <c r="DB6">
        <v>0</v>
      </c>
    </row>
    <row r="7" spans="1:106" x14ac:dyDescent="0.2">
      <c r="A7">
        <f>ROW(Source!A26)</f>
        <v>26</v>
      </c>
      <c r="B7">
        <v>16481133</v>
      </c>
      <c r="C7">
        <v>16481203</v>
      </c>
      <c r="D7">
        <v>15436014</v>
      </c>
      <c r="E7">
        <v>1</v>
      </c>
      <c r="F7">
        <v>1</v>
      </c>
      <c r="G7">
        <v>1</v>
      </c>
      <c r="H7">
        <v>1</v>
      </c>
      <c r="I7" t="s">
        <v>287</v>
      </c>
      <c r="J7" t="s">
        <v>6</v>
      </c>
      <c r="K7" t="s">
        <v>288</v>
      </c>
      <c r="L7">
        <v>1191</v>
      </c>
      <c r="N7">
        <v>1013</v>
      </c>
      <c r="O7" t="s">
        <v>280</v>
      </c>
      <c r="P7" t="s">
        <v>280</v>
      </c>
      <c r="Q7">
        <v>1</v>
      </c>
      <c r="W7">
        <v>0</v>
      </c>
      <c r="X7">
        <v>-784637506</v>
      </c>
      <c r="Y7">
        <v>149.16</v>
      </c>
      <c r="AA7">
        <v>0</v>
      </c>
      <c r="AB7">
        <v>0</v>
      </c>
      <c r="AC7">
        <v>0</v>
      </c>
      <c r="AD7">
        <v>8.74</v>
      </c>
      <c r="AE7">
        <v>0</v>
      </c>
      <c r="AF7">
        <v>0</v>
      </c>
      <c r="AG7">
        <v>0</v>
      </c>
      <c r="AH7">
        <v>8.74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149.16</v>
      </c>
      <c r="AU7" t="s">
        <v>6</v>
      </c>
      <c r="AV7">
        <v>1</v>
      </c>
      <c r="AW7">
        <v>2</v>
      </c>
      <c r="AX7">
        <v>16481216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139.67342400000001</v>
      </c>
      <c r="CY7">
        <f>AD7</f>
        <v>8.74</v>
      </c>
      <c r="CZ7">
        <f>AH7</f>
        <v>8.74</v>
      </c>
      <c r="DA7">
        <f>AL7</f>
        <v>1</v>
      </c>
      <c r="DB7">
        <v>0</v>
      </c>
    </row>
    <row r="8" spans="1:106" x14ac:dyDescent="0.2">
      <c r="A8">
        <f>ROW(Source!A26)</f>
        <v>26</v>
      </c>
      <c r="B8">
        <v>16481133</v>
      </c>
      <c r="C8">
        <v>16481203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281</v>
      </c>
      <c r="J8" t="s">
        <v>6</v>
      </c>
      <c r="K8" t="s">
        <v>282</v>
      </c>
      <c r="L8">
        <v>1191</v>
      </c>
      <c r="N8">
        <v>1013</v>
      </c>
      <c r="O8" t="s">
        <v>280</v>
      </c>
      <c r="P8" t="s">
        <v>280</v>
      </c>
      <c r="Q8">
        <v>1</v>
      </c>
      <c r="W8">
        <v>0</v>
      </c>
      <c r="X8">
        <v>-1417349443</v>
      </c>
      <c r="Y8">
        <v>4.2300000000000004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4.2300000000000004</v>
      </c>
      <c r="AU8" t="s">
        <v>6</v>
      </c>
      <c r="AV8">
        <v>2</v>
      </c>
      <c r="AW8">
        <v>2</v>
      </c>
      <c r="AX8">
        <v>16481217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3.9609720000000004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ROW(Source!A26)</f>
        <v>26</v>
      </c>
      <c r="B9">
        <v>16481133</v>
      </c>
      <c r="C9">
        <v>16481203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283</v>
      </c>
      <c r="J9" t="s">
        <v>284</v>
      </c>
      <c r="K9" t="s">
        <v>285</v>
      </c>
      <c r="L9">
        <v>1368</v>
      </c>
      <c r="N9">
        <v>1011</v>
      </c>
      <c r="O9" t="s">
        <v>286</v>
      </c>
      <c r="P9" t="s">
        <v>286</v>
      </c>
      <c r="Q9">
        <v>1</v>
      </c>
      <c r="W9">
        <v>0</v>
      </c>
      <c r="X9">
        <v>1188625873</v>
      </c>
      <c r="Y9">
        <v>0.66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0.66</v>
      </c>
      <c r="AU9" t="s">
        <v>6</v>
      </c>
      <c r="AV9">
        <v>0</v>
      </c>
      <c r="AW9">
        <v>2</v>
      </c>
      <c r="AX9">
        <v>16481218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0.61802400000000002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ROW(Source!A26)</f>
        <v>26</v>
      </c>
      <c r="B10">
        <v>16481133</v>
      </c>
      <c r="C10">
        <v>16481203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289</v>
      </c>
      <c r="J10" t="s">
        <v>290</v>
      </c>
      <c r="K10" t="s">
        <v>291</v>
      </c>
      <c r="L10">
        <v>1368</v>
      </c>
      <c r="N10">
        <v>1011</v>
      </c>
      <c r="O10" t="s">
        <v>286</v>
      </c>
      <c r="P10" t="s">
        <v>286</v>
      </c>
      <c r="Q10">
        <v>1</v>
      </c>
      <c r="W10">
        <v>0</v>
      </c>
      <c r="X10">
        <v>1372534845</v>
      </c>
      <c r="Y10">
        <v>3.57</v>
      </c>
      <c r="AA10">
        <v>0</v>
      </c>
      <c r="AB10">
        <v>65.709999999999994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3.57</v>
      </c>
      <c r="AU10" t="s">
        <v>6</v>
      </c>
      <c r="AV10">
        <v>0</v>
      </c>
      <c r="AW10">
        <v>2</v>
      </c>
      <c r="AX10">
        <v>16481219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3.3429479999999998</v>
      </c>
      <c r="CY10">
        <f>AB10</f>
        <v>65.709999999999994</v>
      </c>
      <c r="CZ10">
        <f>AF10</f>
        <v>65.709999999999994</v>
      </c>
      <c r="DA10">
        <f>AJ10</f>
        <v>1</v>
      </c>
      <c r="DB10">
        <v>0</v>
      </c>
    </row>
    <row r="11" spans="1:106" x14ac:dyDescent="0.2">
      <c r="A11">
        <f>ROW(Source!A26)</f>
        <v>26</v>
      </c>
      <c r="B11">
        <v>16481133</v>
      </c>
      <c r="C11">
        <v>16481203</v>
      </c>
      <c r="D11">
        <v>15167551</v>
      </c>
      <c r="E11">
        <v>1</v>
      </c>
      <c r="F11">
        <v>1</v>
      </c>
      <c r="G11">
        <v>1</v>
      </c>
      <c r="H11">
        <v>3</v>
      </c>
      <c r="I11" t="s">
        <v>292</v>
      </c>
      <c r="J11" t="s">
        <v>293</v>
      </c>
      <c r="K11" t="s">
        <v>294</v>
      </c>
      <c r="L11">
        <v>1301</v>
      </c>
      <c r="N11">
        <v>1003</v>
      </c>
      <c r="O11" t="s">
        <v>45</v>
      </c>
      <c r="P11" t="s">
        <v>45</v>
      </c>
      <c r="Q11">
        <v>1</v>
      </c>
      <c r="W11">
        <v>0</v>
      </c>
      <c r="X11">
        <v>751777312</v>
      </c>
      <c r="Y11">
        <v>253</v>
      </c>
      <c r="AA11">
        <v>6.38</v>
      </c>
      <c r="AB11">
        <v>0</v>
      </c>
      <c r="AC11">
        <v>0</v>
      </c>
      <c r="AD11">
        <v>0</v>
      </c>
      <c r="AE11">
        <v>6.38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253</v>
      </c>
      <c r="AU11" t="s">
        <v>6</v>
      </c>
      <c r="AV11">
        <v>0</v>
      </c>
      <c r="AW11">
        <v>2</v>
      </c>
      <c r="AX11">
        <v>16481220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236.9092</v>
      </c>
      <c r="CY11">
        <f t="shared" ref="CY11:CY18" si="0">AA11</f>
        <v>6.38</v>
      </c>
      <c r="CZ11">
        <f t="shared" ref="CZ11:CZ18" si="1">AE11</f>
        <v>6.38</v>
      </c>
      <c r="DA11">
        <f t="shared" ref="DA11:DA18" si="2">AI11</f>
        <v>1</v>
      </c>
      <c r="DB11">
        <v>0</v>
      </c>
    </row>
    <row r="12" spans="1:106" x14ac:dyDescent="0.2">
      <c r="A12">
        <f>ROW(Source!A26)</f>
        <v>26</v>
      </c>
      <c r="B12">
        <v>16481133</v>
      </c>
      <c r="C12">
        <v>16481203</v>
      </c>
      <c r="D12">
        <v>15167552</v>
      </c>
      <c r="E12">
        <v>1</v>
      </c>
      <c r="F12">
        <v>1</v>
      </c>
      <c r="G12">
        <v>1</v>
      </c>
      <c r="H12">
        <v>3</v>
      </c>
      <c r="I12" t="s">
        <v>295</v>
      </c>
      <c r="J12" t="s">
        <v>296</v>
      </c>
      <c r="K12" t="s">
        <v>297</v>
      </c>
      <c r="L12">
        <v>1301</v>
      </c>
      <c r="N12">
        <v>1003</v>
      </c>
      <c r="O12" t="s">
        <v>45</v>
      </c>
      <c r="P12" t="s">
        <v>45</v>
      </c>
      <c r="Q12">
        <v>1</v>
      </c>
      <c r="W12">
        <v>0</v>
      </c>
      <c r="X12">
        <v>1744203244</v>
      </c>
      <c r="Y12">
        <v>59</v>
      </c>
      <c r="AA12">
        <v>7.95</v>
      </c>
      <c r="AB12">
        <v>0</v>
      </c>
      <c r="AC12">
        <v>0</v>
      </c>
      <c r="AD12">
        <v>0</v>
      </c>
      <c r="AE12">
        <v>7.95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59</v>
      </c>
      <c r="AU12" t="s">
        <v>6</v>
      </c>
      <c r="AV12">
        <v>0</v>
      </c>
      <c r="AW12">
        <v>2</v>
      </c>
      <c r="AX12">
        <v>16481221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Y12*Source!I26</f>
        <v>55.247599999999998</v>
      </c>
      <c r="CY12">
        <f t="shared" si="0"/>
        <v>7.95</v>
      </c>
      <c r="CZ12">
        <f t="shared" si="1"/>
        <v>7.95</v>
      </c>
      <c r="DA12">
        <f t="shared" si="2"/>
        <v>1</v>
      </c>
      <c r="DB12">
        <v>0</v>
      </c>
    </row>
    <row r="13" spans="1:106" x14ac:dyDescent="0.2">
      <c r="A13">
        <f>ROW(Source!A26)</f>
        <v>26</v>
      </c>
      <c r="B13">
        <v>16481133</v>
      </c>
      <c r="C13">
        <v>16481203</v>
      </c>
      <c r="D13">
        <v>15167640</v>
      </c>
      <c r="E13">
        <v>1</v>
      </c>
      <c r="F13">
        <v>1</v>
      </c>
      <c r="G13">
        <v>1</v>
      </c>
      <c r="H13">
        <v>3</v>
      </c>
      <c r="I13" t="s">
        <v>298</v>
      </c>
      <c r="J13" t="s">
        <v>299</v>
      </c>
      <c r="K13" t="s">
        <v>300</v>
      </c>
      <c r="L13">
        <v>1302</v>
      </c>
      <c r="N13">
        <v>1003</v>
      </c>
      <c r="O13" t="s">
        <v>301</v>
      </c>
      <c r="P13" t="s">
        <v>301</v>
      </c>
      <c r="Q13">
        <v>10</v>
      </c>
      <c r="W13">
        <v>0</v>
      </c>
      <c r="X13">
        <v>-405326455</v>
      </c>
      <c r="Y13">
        <v>15.9</v>
      </c>
      <c r="AA13">
        <v>64.099999999999994</v>
      </c>
      <c r="AB13">
        <v>0</v>
      </c>
      <c r="AC13">
        <v>0</v>
      </c>
      <c r="AD13">
        <v>0</v>
      </c>
      <c r="AE13">
        <v>64.099999999999994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15.9</v>
      </c>
      <c r="AU13" t="s">
        <v>6</v>
      </c>
      <c r="AV13">
        <v>0</v>
      </c>
      <c r="AW13">
        <v>2</v>
      </c>
      <c r="AX13">
        <v>16481222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Y13*Source!I26</f>
        <v>14.888760000000001</v>
      </c>
      <c r="CY13">
        <f t="shared" si="0"/>
        <v>64.099999999999994</v>
      </c>
      <c r="CZ13">
        <f t="shared" si="1"/>
        <v>64.099999999999994</v>
      </c>
      <c r="DA13">
        <f t="shared" si="2"/>
        <v>1</v>
      </c>
      <c r="DB13">
        <v>0</v>
      </c>
    </row>
    <row r="14" spans="1:106" x14ac:dyDescent="0.2">
      <c r="A14">
        <f>ROW(Source!A26)</f>
        <v>26</v>
      </c>
      <c r="B14">
        <v>16481133</v>
      </c>
      <c r="C14">
        <v>16481203</v>
      </c>
      <c r="D14">
        <v>15170065</v>
      </c>
      <c r="E14">
        <v>1</v>
      </c>
      <c r="F14">
        <v>1</v>
      </c>
      <c r="G14">
        <v>1</v>
      </c>
      <c r="H14">
        <v>3</v>
      </c>
      <c r="I14" t="s">
        <v>302</v>
      </c>
      <c r="J14" t="s">
        <v>303</v>
      </c>
      <c r="K14" t="s">
        <v>304</v>
      </c>
      <c r="L14">
        <v>1358</v>
      </c>
      <c r="N14">
        <v>1010</v>
      </c>
      <c r="O14" t="s">
        <v>305</v>
      </c>
      <c r="P14" t="s">
        <v>305</v>
      </c>
      <c r="Q14">
        <v>10</v>
      </c>
      <c r="W14">
        <v>0</v>
      </c>
      <c r="X14">
        <v>-858120743</v>
      </c>
      <c r="Y14">
        <v>41.2</v>
      </c>
      <c r="AA14">
        <v>7.03</v>
      </c>
      <c r="AB14">
        <v>0</v>
      </c>
      <c r="AC14">
        <v>0</v>
      </c>
      <c r="AD14">
        <v>0</v>
      </c>
      <c r="AE14">
        <v>7.03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41.2</v>
      </c>
      <c r="AU14" t="s">
        <v>6</v>
      </c>
      <c r="AV14">
        <v>0</v>
      </c>
      <c r="AW14">
        <v>2</v>
      </c>
      <c r="AX14">
        <v>16481223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Y14*Source!I26</f>
        <v>38.579680000000003</v>
      </c>
      <c r="CY14">
        <f t="shared" si="0"/>
        <v>7.03</v>
      </c>
      <c r="CZ14">
        <f t="shared" si="1"/>
        <v>7.03</v>
      </c>
      <c r="DA14">
        <f t="shared" si="2"/>
        <v>1</v>
      </c>
      <c r="DB14">
        <v>0</v>
      </c>
    </row>
    <row r="15" spans="1:106" x14ac:dyDescent="0.2">
      <c r="A15">
        <f>ROW(Source!A26)</f>
        <v>26</v>
      </c>
      <c r="B15">
        <v>16481133</v>
      </c>
      <c r="C15">
        <v>16481203</v>
      </c>
      <c r="D15">
        <v>15197465</v>
      </c>
      <c r="E15">
        <v>1</v>
      </c>
      <c r="F15">
        <v>1</v>
      </c>
      <c r="G15">
        <v>1</v>
      </c>
      <c r="H15">
        <v>3</v>
      </c>
      <c r="I15" t="s">
        <v>34</v>
      </c>
      <c r="J15" t="s">
        <v>36</v>
      </c>
      <c r="K15" t="s">
        <v>35</v>
      </c>
      <c r="L15">
        <v>1327</v>
      </c>
      <c r="N15">
        <v>1005</v>
      </c>
      <c r="O15" t="s">
        <v>32</v>
      </c>
      <c r="P15" t="s">
        <v>32</v>
      </c>
      <c r="Q15">
        <v>1</v>
      </c>
      <c r="W15">
        <v>0</v>
      </c>
      <c r="X15">
        <v>2097510584</v>
      </c>
      <c r="Y15">
        <v>100</v>
      </c>
      <c r="AA15">
        <v>2074.38</v>
      </c>
      <c r="AB15">
        <v>0</v>
      </c>
      <c r="AC15">
        <v>0</v>
      </c>
      <c r="AD15">
        <v>0</v>
      </c>
      <c r="AE15">
        <v>2074.38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6</v>
      </c>
      <c r="AT15">
        <v>100</v>
      </c>
      <c r="AU15" t="s">
        <v>6</v>
      </c>
      <c r="AV15">
        <v>0</v>
      </c>
      <c r="AW15">
        <v>1</v>
      </c>
      <c r="AX15">
        <v>-1</v>
      </c>
      <c r="AY15">
        <v>0</v>
      </c>
      <c r="AZ15">
        <v>0</v>
      </c>
      <c r="BA15" t="s">
        <v>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Y15*Source!I26</f>
        <v>93.64</v>
      </c>
      <c r="CY15">
        <f t="shared" si="0"/>
        <v>2074.38</v>
      </c>
      <c r="CZ15">
        <f t="shared" si="1"/>
        <v>2074.38</v>
      </c>
      <c r="DA15">
        <f t="shared" si="2"/>
        <v>1</v>
      </c>
      <c r="DB15">
        <v>0</v>
      </c>
    </row>
    <row r="16" spans="1:106" x14ac:dyDescent="0.2">
      <c r="A16">
        <f>ROW(Source!A26)</f>
        <v>26</v>
      </c>
      <c r="B16">
        <v>16481133</v>
      </c>
      <c r="C16">
        <v>16481203</v>
      </c>
      <c r="D16">
        <v>15162466</v>
      </c>
      <c r="E16">
        <v>17</v>
      </c>
      <c r="F16">
        <v>1</v>
      </c>
      <c r="G16">
        <v>1</v>
      </c>
      <c r="H16">
        <v>3</v>
      </c>
      <c r="I16" t="s">
        <v>30</v>
      </c>
      <c r="J16" t="s">
        <v>6</v>
      </c>
      <c r="K16" t="s">
        <v>31</v>
      </c>
      <c r="L16">
        <v>1327</v>
      </c>
      <c r="N16">
        <v>1005</v>
      </c>
      <c r="O16" t="s">
        <v>32</v>
      </c>
      <c r="P16" t="s">
        <v>32</v>
      </c>
      <c r="Q16">
        <v>1</v>
      </c>
      <c r="W16">
        <v>0</v>
      </c>
      <c r="X16">
        <v>1219964505</v>
      </c>
      <c r="Y16">
        <v>100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6</v>
      </c>
      <c r="AT16">
        <v>100</v>
      </c>
      <c r="AU16" t="s">
        <v>6</v>
      </c>
      <c r="AV16">
        <v>0</v>
      </c>
      <c r="AW16">
        <v>2</v>
      </c>
      <c r="AX16">
        <v>16481224</v>
      </c>
      <c r="AY16">
        <v>1</v>
      </c>
      <c r="AZ16">
        <v>0</v>
      </c>
      <c r="BA16">
        <v>15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Y16*Source!I26</f>
        <v>93.64</v>
      </c>
      <c r="CY16">
        <f t="shared" si="0"/>
        <v>0</v>
      </c>
      <c r="CZ16">
        <f t="shared" si="1"/>
        <v>0</v>
      </c>
      <c r="DA16">
        <f t="shared" si="2"/>
        <v>1</v>
      </c>
      <c r="DB16">
        <v>0</v>
      </c>
    </row>
    <row r="17" spans="1:106" x14ac:dyDescent="0.2">
      <c r="A17">
        <f>ROW(Source!A26)</f>
        <v>26</v>
      </c>
      <c r="B17">
        <v>16481133</v>
      </c>
      <c r="C17">
        <v>16481203</v>
      </c>
      <c r="D17">
        <v>15197780</v>
      </c>
      <c r="E17">
        <v>1</v>
      </c>
      <c r="F17">
        <v>1</v>
      </c>
      <c r="G17">
        <v>1</v>
      </c>
      <c r="H17">
        <v>3</v>
      </c>
      <c r="I17" t="s">
        <v>306</v>
      </c>
      <c r="J17" t="s">
        <v>307</v>
      </c>
      <c r="K17" t="s">
        <v>308</v>
      </c>
      <c r="L17">
        <v>1355</v>
      </c>
      <c r="N17">
        <v>1010</v>
      </c>
      <c r="O17" t="s">
        <v>309</v>
      </c>
      <c r="P17" t="s">
        <v>309</v>
      </c>
      <c r="Q17">
        <v>100</v>
      </c>
      <c r="W17">
        <v>0</v>
      </c>
      <c r="X17">
        <v>1709713925</v>
      </c>
      <c r="Y17">
        <v>8</v>
      </c>
      <c r="AA17">
        <v>50</v>
      </c>
      <c r="AB17">
        <v>0</v>
      </c>
      <c r="AC17">
        <v>0</v>
      </c>
      <c r="AD17">
        <v>0</v>
      </c>
      <c r="AE17">
        <v>50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8</v>
      </c>
      <c r="AU17" t="s">
        <v>6</v>
      </c>
      <c r="AV17">
        <v>0</v>
      </c>
      <c r="AW17">
        <v>2</v>
      </c>
      <c r="AX17">
        <v>16481225</v>
      </c>
      <c r="AY17">
        <v>1</v>
      </c>
      <c r="AZ17">
        <v>0</v>
      </c>
      <c r="BA17">
        <v>16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Y17*Source!I26</f>
        <v>7.4912000000000001</v>
      </c>
      <c r="CY17">
        <f t="shared" si="0"/>
        <v>50</v>
      </c>
      <c r="CZ17">
        <f t="shared" si="1"/>
        <v>50</v>
      </c>
      <c r="DA17">
        <f t="shared" si="2"/>
        <v>1</v>
      </c>
      <c r="DB17">
        <v>0</v>
      </c>
    </row>
    <row r="18" spans="1:106" x14ac:dyDescent="0.2">
      <c r="A18">
        <f>ROW(Source!A26)</f>
        <v>26</v>
      </c>
      <c r="B18">
        <v>16481133</v>
      </c>
      <c r="C18">
        <v>16481203</v>
      </c>
      <c r="D18">
        <v>15204239</v>
      </c>
      <c r="E18">
        <v>1</v>
      </c>
      <c r="F18">
        <v>1</v>
      </c>
      <c r="G18">
        <v>1</v>
      </c>
      <c r="H18">
        <v>3</v>
      </c>
      <c r="I18" t="s">
        <v>310</v>
      </c>
      <c r="J18" t="s">
        <v>311</v>
      </c>
      <c r="K18" t="s">
        <v>312</v>
      </c>
      <c r="L18">
        <v>1354</v>
      </c>
      <c r="N18">
        <v>1010</v>
      </c>
      <c r="O18" t="s">
        <v>313</v>
      </c>
      <c r="P18" t="s">
        <v>313</v>
      </c>
      <c r="Q18">
        <v>1</v>
      </c>
      <c r="W18">
        <v>0</v>
      </c>
      <c r="X18">
        <v>-1018551266</v>
      </c>
      <c r="Y18">
        <v>71</v>
      </c>
      <c r="AA18">
        <v>67</v>
      </c>
      <c r="AB18">
        <v>0</v>
      </c>
      <c r="AC18">
        <v>0</v>
      </c>
      <c r="AD18">
        <v>0</v>
      </c>
      <c r="AE18">
        <v>67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71</v>
      </c>
      <c r="AU18" t="s">
        <v>6</v>
      </c>
      <c r="AV18">
        <v>0</v>
      </c>
      <c r="AW18">
        <v>2</v>
      </c>
      <c r="AX18">
        <v>16481226</v>
      </c>
      <c r="AY18">
        <v>1</v>
      </c>
      <c r="AZ18">
        <v>0</v>
      </c>
      <c r="BA18">
        <v>17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Y18*Source!I26</f>
        <v>66.484399999999994</v>
      </c>
      <c r="CY18">
        <f t="shared" si="0"/>
        <v>67</v>
      </c>
      <c r="CZ18">
        <f t="shared" si="1"/>
        <v>67</v>
      </c>
      <c r="DA18">
        <f t="shared" si="2"/>
        <v>1</v>
      </c>
      <c r="DB18">
        <v>0</v>
      </c>
    </row>
    <row r="19" spans="1:106" x14ac:dyDescent="0.2">
      <c r="A19">
        <f>ROW(Source!A27)</f>
        <v>27</v>
      </c>
      <c r="B19">
        <v>16481134</v>
      </c>
      <c r="C19">
        <v>16481203</v>
      </c>
      <c r="D19">
        <v>15436014</v>
      </c>
      <c r="E19">
        <v>1</v>
      </c>
      <c r="F19">
        <v>1</v>
      </c>
      <c r="G19">
        <v>1</v>
      </c>
      <c r="H19">
        <v>1</v>
      </c>
      <c r="I19" t="s">
        <v>287</v>
      </c>
      <c r="J19" t="s">
        <v>6</v>
      </c>
      <c r="K19" t="s">
        <v>288</v>
      </c>
      <c r="L19">
        <v>1191</v>
      </c>
      <c r="N19">
        <v>1013</v>
      </c>
      <c r="O19" t="s">
        <v>280</v>
      </c>
      <c r="P19" t="s">
        <v>280</v>
      </c>
      <c r="Q19">
        <v>1</v>
      </c>
      <c r="W19">
        <v>0</v>
      </c>
      <c r="X19">
        <v>-784637506</v>
      </c>
      <c r="Y19">
        <v>149.16</v>
      </c>
      <c r="AA19">
        <v>0</v>
      </c>
      <c r="AB19">
        <v>0</v>
      </c>
      <c r="AC19">
        <v>0</v>
      </c>
      <c r="AD19">
        <v>52.35</v>
      </c>
      <c r="AE19">
        <v>0</v>
      </c>
      <c r="AF19">
        <v>0</v>
      </c>
      <c r="AG19">
        <v>0</v>
      </c>
      <c r="AH19">
        <v>8.74</v>
      </c>
      <c r="AI19">
        <v>1</v>
      </c>
      <c r="AJ19">
        <v>1</v>
      </c>
      <c r="AK19">
        <v>1</v>
      </c>
      <c r="AL19">
        <v>5.99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149.16</v>
      </c>
      <c r="AU19" t="s">
        <v>6</v>
      </c>
      <c r="AV19">
        <v>1</v>
      </c>
      <c r="AW19">
        <v>2</v>
      </c>
      <c r="AX19">
        <v>16481216</v>
      </c>
      <c r="AY19">
        <v>1</v>
      </c>
      <c r="AZ19">
        <v>0</v>
      </c>
      <c r="BA19">
        <v>18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139.67342400000001</v>
      </c>
      <c r="CY19">
        <f>AD19</f>
        <v>52.35</v>
      </c>
      <c r="CZ19">
        <f>AH19</f>
        <v>8.74</v>
      </c>
      <c r="DA19">
        <f>AL19</f>
        <v>5.99</v>
      </c>
      <c r="DB19">
        <v>0</v>
      </c>
    </row>
    <row r="20" spans="1:106" x14ac:dyDescent="0.2">
      <c r="A20">
        <f>ROW(Source!A27)</f>
        <v>27</v>
      </c>
      <c r="B20">
        <v>16481134</v>
      </c>
      <c r="C20">
        <v>16481203</v>
      </c>
      <c r="D20">
        <v>15430395</v>
      </c>
      <c r="E20">
        <v>1</v>
      </c>
      <c r="F20">
        <v>1</v>
      </c>
      <c r="G20">
        <v>1</v>
      </c>
      <c r="H20">
        <v>1</v>
      </c>
      <c r="I20" t="s">
        <v>281</v>
      </c>
      <c r="J20" t="s">
        <v>6</v>
      </c>
      <c r="K20" t="s">
        <v>282</v>
      </c>
      <c r="L20">
        <v>1191</v>
      </c>
      <c r="N20">
        <v>1013</v>
      </c>
      <c r="O20" t="s">
        <v>280</v>
      </c>
      <c r="P20" t="s">
        <v>280</v>
      </c>
      <c r="Q20">
        <v>1</v>
      </c>
      <c r="W20">
        <v>0</v>
      </c>
      <c r="X20">
        <v>-1417349443</v>
      </c>
      <c r="Y20">
        <v>4.2300000000000004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5.99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4.2300000000000004</v>
      </c>
      <c r="AU20" t="s">
        <v>6</v>
      </c>
      <c r="AV20">
        <v>2</v>
      </c>
      <c r="AW20">
        <v>2</v>
      </c>
      <c r="AX20">
        <v>16481217</v>
      </c>
      <c r="AY20">
        <v>1</v>
      </c>
      <c r="AZ20">
        <v>0</v>
      </c>
      <c r="BA20">
        <v>19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3.9609720000000004</v>
      </c>
      <c r="CY20">
        <f>AD20</f>
        <v>0</v>
      </c>
      <c r="CZ20">
        <f>AH20</f>
        <v>0</v>
      </c>
      <c r="DA20">
        <f>AL20</f>
        <v>1</v>
      </c>
      <c r="DB20">
        <v>0</v>
      </c>
    </row>
    <row r="21" spans="1:106" x14ac:dyDescent="0.2">
      <c r="A21">
        <f>ROW(Source!A27)</f>
        <v>27</v>
      </c>
      <c r="B21">
        <v>16481134</v>
      </c>
      <c r="C21">
        <v>16481203</v>
      </c>
      <c r="D21">
        <v>15247974</v>
      </c>
      <c r="E21">
        <v>1</v>
      </c>
      <c r="F21">
        <v>1</v>
      </c>
      <c r="G21">
        <v>1</v>
      </c>
      <c r="H21">
        <v>2</v>
      </c>
      <c r="I21" t="s">
        <v>283</v>
      </c>
      <c r="J21" t="s">
        <v>284</v>
      </c>
      <c r="K21" t="s">
        <v>285</v>
      </c>
      <c r="L21">
        <v>1368</v>
      </c>
      <c r="N21">
        <v>1011</v>
      </c>
      <c r="O21" t="s">
        <v>286</v>
      </c>
      <c r="P21" t="s">
        <v>286</v>
      </c>
      <c r="Q21">
        <v>1</v>
      </c>
      <c r="W21">
        <v>0</v>
      </c>
      <c r="X21">
        <v>1188625873</v>
      </c>
      <c r="Y21">
        <v>0.66</v>
      </c>
      <c r="AA21">
        <v>0</v>
      </c>
      <c r="AB21">
        <v>187.25</v>
      </c>
      <c r="AC21">
        <v>13.5</v>
      </c>
      <c r="AD21">
        <v>0</v>
      </c>
      <c r="AE21">
        <v>0</v>
      </c>
      <c r="AF21">
        <v>31.26</v>
      </c>
      <c r="AG21">
        <v>13.5</v>
      </c>
      <c r="AH21">
        <v>0</v>
      </c>
      <c r="AI21">
        <v>1</v>
      </c>
      <c r="AJ21">
        <v>5.99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0.66</v>
      </c>
      <c r="AU21" t="s">
        <v>6</v>
      </c>
      <c r="AV21">
        <v>0</v>
      </c>
      <c r="AW21">
        <v>2</v>
      </c>
      <c r="AX21">
        <v>16481218</v>
      </c>
      <c r="AY21">
        <v>1</v>
      </c>
      <c r="AZ21">
        <v>0</v>
      </c>
      <c r="BA21">
        <v>20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0.61802400000000002</v>
      </c>
      <c r="CY21">
        <f>AB21</f>
        <v>187.25</v>
      </c>
      <c r="CZ21">
        <f>AF21</f>
        <v>31.26</v>
      </c>
      <c r="DA21">
        <f>AJ21</f>
        <v>5.99</v>
      </c>
      <c r="DB21">
        <v>0</v>
      </c>
    </row>
    <row r="22" spans="1:106" x14ac:dyDescent="0.2">
      <c r="A22">
        <f>ROW(Source!A27)</f>
        <v>27</v>
      </c>
      <c r="B22">
        <v>16481134</v>
      </c>
      <c r="C22">
        <v>16481203</v>
      </c>
      <c r="D22">
        <v>15249073</v>
      </c>
      <c r="E22">
        <v>1</v>
      </c>
      <c r="F22">
        <v>1</v>
      </c>
      <c r="G22">
        <v>1</v>
      </c>
      <c r="H22">
        <v>2</v>
      </c>
      <c r="I22" t="s">
        <v>289</v>
      </c>
      <c r="J22" t="s">
        <v>290</v>
      </c>
      <c r="K22" t="s">
        <v>291</v>
      </c>
      <c r="L22">
        <v>1368</v>
      </c>
      <c r="N22">
        <v>1011</v>
      </c>
      <c r="O22" t="s">
        <v>286</v>
      </c>
      <c r="P22" t="s">
        <v>286</v>
      </c>
      <c r="Q22">
        <v>1</v>
      </c>
      <c r="W22">
        <v>0</v>
      </c>
      <c r="X22">
        <v>1372534845</v>
      </c>
      <c r="Y22">
        <v>3.57</v>
      </c>
      <c r="AA22">
        <v>0</v>
      </c>
      <c r="AB22">
        <v>393.6</v>
      </c>
      <c r="AC22">
        <v>11.6</v>
      </c>
      <c r="AD22">
        <v>0</v>
      </c>
      <c r="AE22">
        <v>0</v>
      </c>
      <c r="AF22">
        <v>65.709999999999994</v>
      </c>
      <c r="AG22">
        <v>11.6</v>
      </c>
      <c r="AH22">
        <v>0</v>
      </c>
      <c r="AI22">
        <v>1</v>
      </c>
      <c r="AJ22">
        <v>5.99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3.57</v>
      </c>
      <c r="AU22" t="s">
        <v>6</v>
      </c>
      <c r="AV22">
        <v>0</v>
      </c>
      <c r="AW22">
        <v>2</v>
      </c>
      <c r="AX22">
        <v>16481219</v>
      </c>
      <c r="AY22">
        <v>1</v>
      </c>
      <c r="AZ22">
        <v>0</v>
      </c>
      <c r="BA22">
        <v>21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Y22*Source!I27</f>
        <v>3.3429479999999998</v>
      </c>
      <c r="CY22">
        <f>AB22</f>
        <v>393.6</v>
      </c>
      <c r="CZ22">
        <f>AF22</f>
        <v>65.709999999999994</v>
      </c>
      <c r="DA22">
        <f>AJ22</f>
        <v>5.99</v>
      </c>
      <c r="DB22">
        <v>0</v>
      </c>
    </row>
    <row r="23" spans="1:106" x14ac:dyDescent="0.2">
      <c r="A23">
        <f>ROW(Source!A27)</f>
        <v>27</v>
      </c>
      <c r="B23">
        <v>16481134</v>
      </c>
      <c r="C23">
        <v>16481203</v>
      </c>
      <c r="D23">
        <v>15167551</v>
      </c>
      <c r="E23">
        <v>1</v>
      </c>
      <c r="F23">
        <v>1</v>
      </c>
      <c r="G23">
        <v>1</v>
      </c>
      <c r="H23">
        <v>3</v>
      </c>
      <c r="I23" t="s">
        <v>292</v>
      </c>
      <c r="J23" t="s">
        <v>293</v>
      </c>
      <c r="K23" t="s">
        <v>294</v>
      </c>
      <c r="L23">
        <v>1301</v>
      </c>
      <c r="N23">
        <v>1003</v>
      </c>
      <c r="O23" t="s">
        <v>45</v>
      </c>
      <c r="P23" t="s">
        <v>45</v>
      </c>
      <c r="Q23">
        <v>1</v>
      </c>
      <c r="W23">
        <v>0</v>
      </c>
      <c r="X23">
        <v>751777312</v>
      </c>
      <c r="Y23">
        <v>253</v>
      </c>
      <c r="AA23">
        <v>38.22</v>
      </c>
      <c r="AB23">
        <v>0</v>
      </c>
      <c r="AC23">
        <v>0</v>
      </c>
      <c r="AD23">
        <v>0</v>
      </c>
      <c r="AE23">
        <v>6.38</v>
      </c>
      <c r="AF23">
        <v>0</v>
      </c>
      <c r="AG23">
        <v>0</v>
      </c>
      <c r="AH23">
        <v>0</v>
      </c>
      <c r="AI23">
        <v>5.99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253</v>
      </c>
      <c r="AU23" t="s">
        <v>6</v>
      </c>
      <c r="AV23">
        <v>0</v>
      </c>
      <c r="AW23">
        <v>2</v>
      </c>
      <c r="AX23">
        <v>16481220</v>
      </c>
      <c r="AY23">
        <v>1</v>
      </c>
      <c r="AZ23">
        <v>0</v>
      </c>
      <c r="BA23">
        <v>22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Y23*Source!I27</f>
        <v>236.9092</v>
      </c>
      <c r="CY23">
        <f t="shared" ref="CY23:CY30" si="3">AA23</f>
        <v>38.22</v>
      </c>
      <c r="CZ23">
        <f t="shared" ref="CZ23:CZ30" si="4">AE23</f>
        <v>6.38</v>
      </c>
      <c r="DA23">
        <f t="shared" ref="DA23:DA30" si="5">AI23</f>
        <v>5.99</v>
      </c>
      <c r="DB23">
        <v>0</v>
      </c>
    </row>
    <row r="24" spans="1:106" x14ac:dyDescent="0.2">
      <c r="A24">
        <f>ROW(Source!A27)</f>
        <v>27</v>
      </c>
      <c r="B24">
        <v>16481134</v>
      </c>
      <c r="C24">
        <v>16481203</v>
      </c>
      <c r="D24">
        <v>15167552</v>
      </c>
      <c r="E24">
        <v>1</v>
      </c>
      <c r="F24">
        <v>1</v>
      </c>
      <c r="G24">
        <v>1</v>
      </c>
      <c r="H24">
        <v>3</v>
      </c>
      <c r="I24" t="s">
        <v>295</v>
      </c>
      <c r="J24" t="s">
        <v>296</v>
      </c>
      <c r="K24" t="s">
        <v>297</v>
      </c>
      <c r="L24">
        <v>1301</v>
      </c>
      <c r="N24">
        <v>1003</v>
      </c>
      <c r="O24" t="s">
        <v>45</v>
      </c>
      <c r="P24" t="s">
        <v>45</v>
      </c>
      <c r="Q24">
        <v>1</v>
      </c>
      <c r="W24">
        <v>0</v>
      </c>
      <c r="X24">
        <v>1744203244</v>
      </c>
      <c r="Y24">
        <v>59</v>
      </c>
      <c r="AA24">
        <v>47.62</v>
      </c>
      <c r="AB24">
        <v>0</v>
      </c>
      <c r="AC24">
        <v>0</v>
      </c>
      <c r="AD24">
        <v>0</v>
      </c>
      <c r="AE24">
        <v>7.95</v>
      </c>
      <c r="AF24">
        <v>0</v>
      </c>
      <c r="AG24">
        <v>0</v>
      </c>
      <c r="AH24">
        <v>0</v>
      </c>
      <c r="AI24">
        <v>5.99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59</v>
      </c>
      <c r="AU24" t="s">
        <v>6</v>
      </c>
      <c r="AV24">
        <v>0</v>
      </c>
      <c r="AW24">
        <v>2</v>
      </c>
      <c r="AX24">
        <v>16481221</v>
      </c>
      <c r="AY24">
        <v>1</v>
      </c>
      <c r="AZ24">
        <v>0</v>
      </c>
      <c r="BA24">
        <v>23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Y24*Source!I27</f>
        <v>55.247599999999998</v>
      </c>
      <c r="CY24">
        <f t="shared" si="3"/>
        <v>47.62</v>
      </c>
      <c r="CZ24">
        <f t="shared" si="4"/>
        <v>7.95</v>
      </c>
      <c r="DA24">
        <f t="shared" si="5"/>
        <v>5.99</v>
      </c>
      <c r="DB24">
        <v>0</v>
      </c>
    </row>
    <row r="25" spans="1:106" x14ac:dyDescent="0.2">
      <c r="A25">
        <f>ROW(Source!A27)</f>
        <v>27</v>
      </c>
      <c r="B25">
        <v>16481134</v>
      </c>
      <c r="C25">
        <v>16481203</v>
      </c>
      <c r="D25">
        <v>15167640</v>
      </c>
      <c r="E25">
        <v>1</v>
      </c>
      <c r="F25">
        <v>1</v>
      </c>
      <c r="G25">
        <v>1</v>
      </c>
      <c r="H25">
        <v>3</v>
      </c>
      <c r="I25" t="s">
        <v>298</v>
      </c>
      <c r="J25" t="s">
        <v>299</v>
      </c>
      <c r="K25" t="s">
        <v>300</v>
      </c>
      <c r="L25">
        <v>1302</v>
      </c>
      <c r="N25">
        <v>1003</v>
      </c>
      <c r="O25" t="s">
        <v>301</v>
      </c>
      <c r="P25" t="s">
        <v>301</v>
      </c>
      <c r="Q25">
        <v>10</v>
      </c>
      <c r="W25">
        <v>0</v>
      </c>
      <c r="X25">
        <v>-405326455</v>
      </c>
      <c r="Y25">
        <v>15.9</v>
      </c>
      <c r="AA25">
        <v>383.96</v>
      </c>
      <c r="AB25">
        <v>0</v>
      </c>
      <c r="AC25">
        <v>0</v>
      </c>
      <c r="AD25">
        <v>0</v>
      </c>
      <c r="AE25">
        <v>64.099999999999994</v>
      </c>
      <c r="AF25">
        <v>0</v>
      </c>
      <c r="AG25">
        <v>0</v>
      </c>
      <c r="AH25">
        <v>0</v>
      </c>
      <c r="AI25">
        <v>5.99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15.9</v>
      </c>
      <c r="AU25" t="s">
        <v>6</v>
      </c>
      <c r="AV25">
        <v>0</v>
      </c>
      <c r="AW25">
        <v>2</v>
      </c>
      <c r="AX25">
        <v>16481222</v>
      </c>
      <c r="AY25">
        <v>1</v>
      </c>
      <c r="AZ25">
        <v>0</v>
      </c>
      <c r="BA25">
        <v>24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Y25*Source!I27</f>
        <v>14.888760000000001</v>
      </c>
      <c r="CY25">
        <f t="shared" si="3"/>
        <v>383.96</v>
      </c>
      <c r="CZ25">
        <f t="shared" si="4"/>
        <v>64.099999999999994</v>
      </c>
      <c r="DA25">
        <f t="shared" si="5"/>
        <v>5.99</v>
      </c>
      <c r="DB25">
        <v>0</v>
      </c>
    </row>
    <row r="26" spans="1:106" x14ac:dyDescent="0.2">
      <c r="A26">
        <f>ROW(Source!A27)</f>
        <v>27</v>
      </c>
      <c r="B26">
        <v>16481134</v>
      </c>
      <c r="C26">
        <v>16481203</v>
      </c>
      <c r="D26">
        <v>15170065</v>
      </c>
      <c r="E26">
        <v>1</v>
      </c>
      <c r="F26">
        <v>1</v>
      </c>
      <c r="G26">
        <v>1</v>
      </c>
      <c r="H26">
        <v>3</v>
      </c>
      <c r="I26" t="s">
        <v>302</v>
      </c>
      <c r="J26" t="s">
        <v>303</v>
      </c>
      <c r="K26" t="s">
        <v>304</v>
      </c>
      <c r="L26">
        <v>1358</v>
      </c>
      <c r="N26">
        <v>1010</v>
      </c>
      <c r="O26" t="s">
        <v>305</v>
      </c>
      <c r="P26" t="s">
        <v>305</v>
      </c>
      <c r="Q26">
        <v>10</v>
      </c>
      <c r="W26">
        <v>0</v>
      </c>
      <c r="X26">
        <v>-858120743</v>
      </c>
      <c r="Y26">
        <v>41.2</v>
      </c>
      <c r="AA26">
        <v>42.11</v>
      </c>
      <c r="AB26">
        <v>0</v>
      </c>
      <c r="AC26">
        <v>0</v>
      </c>
      <c r="AD26">
        <v>0</v>
      </c>
      <c r="AE26">
        <v>7.03</v>
      </c>
      <c r="AF26">
        <v>0</v>
      </c>
      <c r="AG26">
        <v>0</v>
      </c>
      <c r="AH26">
        <v>0</v>
      </c>
      <c r="AI26">
        <v>5.99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41.2</v>
      </c>
      <c r="AU26" t="s">
        <v>6</v>
      </c>
      <c r="AV26">
        <v>0</v>
      </c>
      <c r="AW26">
        <v>2</v>
      </c>
      <c r="AX26">
        <v>16481223</v>
      </c>
      <c r="AY26">
        <v>1</v>
      </c>
      <c r="AZ26">
        <v>0</v>
      </c>
      <c r="BA26">
        <v>25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Y26*Source!I27</f>
        <v>38.579680000000003</v>
      </c>
      <c r="CY26">
        <f t="shared" si="3"/>
        <v>42.11</v>
      </c>
      <c r="CZ26">
        <f t="shared" si="4"/>
        <v>7.03</v>
      </c>
      <c r="DA26">
        <f t="shared" si="5"/>
        <v>5.99</v>
      </c>
      <c r="DB26">
        <v>0</v>
      </c>
    </row>
    <row r="27" spans="1:106" x14ac:dyDescent="0.2">
      <c r="A27">
        <f>ROW(Source!A27)</f>
        <v>27</v>
      </c>
      <c r="B27">
        <v>16481134</v>
      </c>
      <c r="C27">
        <v>16481203</v>
      </c>
      <c r="D27">
        <v>15197465</v>
      </c>
      <c r="E27">
        <v>1</v>
      </c>
      <c r="F27">
        <v>1</v>
      </c>
      <c r="G27">
        <v>1</v>
      </c>
      <c r="H27">
        <v>3</v>
      </c>
      <c r="I27" t="s">
        <v>34</v>
      </c>
      <c r="J27" t="s">
        <v>36</v>
      </c>
      <c r="K27" t="s">
        <v>35</v>
      </c>
      <c r="L27">
        <v>1327</v>
      </c>
      <c r="N27">
        <v>1005</v>
      </c>
      <c r="O27" t="s">
        <v>32</v>
      </c>
      <c r="P27" t="s">
        <v>32</v>
      </c>
      <c r="Q27">
        <v>1</v>
      </c>
      <c r="W27">
        <v>0</v>
      </c>
      <c r="X27">
        <v>2097510584</v>
      </c>
      <c r="Y27">
        <v>100</v>
      </c>
      <c r="AA27">
        <v>12425.54</v>
      </c>
      <c r="AB27">
        <v>0</v>
      </c>
      <c r="AC27">
        <v>0</v>
      </c>
      <c r="AD27">
        <v>0</v>
      </c>
      <c r="AE27">
        <v>2074.38</v>
      </c>
      <c r="AF27">
        <v>0</v>
      </c>
      <c r="AG27">
        <v>0</v>
      </c>
      <c r="AH27">
        <v>0</v>
      </c>
      <c r="AI27">
        <v>5.99</v>
      </c>
      <c r="AJ27">
        <v>1</v>
      </c>
      <c r="AK27">
        <v>1</v>
      </c>
      <c r="AL27">
        <v>1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6</v>
      </c>
      <c r="AT27">
        <v>100</v>
      </c>
      <c r="AU27" t="s">
        <v>6</v>
      </c>
      <c r="AV27">
        <v>0</v>
      </c>
      <c r="AW27">
        <v>1</v>
      </c>
      <c r="AX27">
        <v>-1</v>
      </c>
      <c r="AY27">
        <v>0</v>
      </c>
      <c r="AZ27">
        <v>0</v>
      </c>
      <c r="BA27" t="s">
        <v>6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Y27*Source!I27</f>
        <v>93.64</v>
      </c>
      <c r="CY27">
        <f t="shared" si="3"/>
        <v>12425.54</v>
      </c>
      <c r="CZ27">
        <f t="shared" si="4"/>
        <v>2074.38</v>
      </c>
      <c r="DA27">
        <f t="shared" si="5"/>
        <v>5.99</v>
      </c>
      <c r="DB27">
        <v>0</v>
      </c>
    </row>
    <row r="28" spans="1:106" x14ac:dyDescent="0.2">
      <c r="A28">
        <f>ROW(Source!A27)</f>
        <v>27</v>
      </c>
      <c r="B28">
        <v>16481134</v>
      </c>
      <c r="C28">
        <v>16481203</v>
      </c>
      <c r="D28">
        <v>15162466</v>
      </c>
      <c r="E28">
        <v>17</v>
      </c>
      <c r="F28">
        <v>1</v>
      </c>
      <c r="G28">
        <v>1</v>
      </c>
      <c r="H28">
        <v>3</v>
      </c>
      <c r="I28" t="s">
        <v>30</v>
      </c>
      <c r="J28" t="s">
        <v>6</v>
      </c>
      <c r="K28" t="s">
        <v>31</v>
      </c>
      <c r="L28">
        <v>1327</v>
      </c>
      <c r="N28">
        <v>1005</v>
      </c>
      <c r="O28" t="s">
        <v>32</v>
      </c>
      <c r="P28" t="s">
        <v>32</v>
      </c>
      <c r="Q28">
        <v>1</v>
      </c>
      <c r="W28">
        <v>0</v>
      </c>
      <c r="X28">
        <v>1219964505</v>
      </c>
      <c r="Y28">
        <v>100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5.99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100</v>
      </c>
      <c r="AU28" t="s">
        <v>6</v>
      </c>
      <c r="AV28">
        <v>0</v>
      </c>
      <c r="AW28">
        <v>2</v>
      </c>
      <c r="AX28">
        <v>16481224</v>
      </c>
      <c r="AY28">
        <v>1</v>
      </c>
      <c r="AZ28">
        <v>0</v>
      </c>
      <c r="BA28">
        <v>26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Y28*Source!I27</f>
        <v>93.64</v>
      </c>
      <c r="CY28">
        <f t="shared" si="3"/>
        <v>0</v>
      </c>
      <c r="CZ28">
        <f t="shared" si="4"/>
        <v>0</v>
      </c>
      <c r="DA28">
        <f t="shared" si="5"/>
        <v>5.99</v>
      </c>
      <c r="DB28">
        <v>0</v>
      </c>
    </row>
    <row r="29" spans="1:106" x14ac:dyDescent="0.2">
      <c r="A29">
        <f>ROW(Source!A27)</f>
        <v>27</v>
      </c>
      <c r="B29">
        <v>16481134</v>
      </c>
      <c r="C29">
        <v>16481203</v>
      </c>
      <c r="D29">
        <v>15197780</v>
      </c>
      <c r="E29">
        <v>1</v>
      </c>
      <c r="F29">
        <v>1</v>
      </c>
      <c r="G29">
        <v>1</v>
      </c>
      <c r="H29">
        <v>3</v>
      </c>
      <c r="I29" t="s">
        <v>306</v>
      </c>
      <c r="J29" t="s">
        <v>307</v>
      </c>
      <c r="K29" t="s">
        <v>308</v>
      </c>
      <c r="L29">
        <v>1355</v>
      </c>
      <c r="N29">
        <v>1010</v>
      </c>
      <c r="O29" t="s">
        <v>309</v>
      </c>
      <c r="P29" t="s">
        <v>309</v>
      </c>
      <c r="Q29">
        <v>100</v>
      </c>
      <c r="W29">
        <v>0</v>
      </c>
      <c r="X29">
        <v>1709713925</v>
      </c>
      <c r="Y29">
        <v>8</v>
      </c>
      <c r="AA29">
        <v>299.5</v>
      </c>
      <c r="AB29">
        <v>0</v>
      </c>
      <c r="AC29">
        <v>0</v>
      </c>
      <c r="AD29">
        <v>0</v>
      </c>
      <c r="AE29">
        <v>50</v>
      </c>
      <c r="AF29">
        <v>0</v>
      </c>
      <c r="AG29">
        <v>0</v>
      </c>
      <c r="AH29">
        <v>0</v>
      </c>
      <c r="AI29">
        <v>5.99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8</v>
      </c>
      <c r="AU29" t="s">
        <v>6</v>
      </c>
      <c r="AV29">
        <v>0</v>
      </c>
      <c r="AW29">
        <v>2</v>
      </c>
      <c r="AX29">
        <v>16481225</v>
      </c>
      <c r="AY29">
        <v>1</v>
      </c>
      <c r="AZ29">
        <v>0</v>
      </c>
      <c r="BA29">
        <v>27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Y29*Source!I27</f>
        <v>7.4912000000000001</v>
      </c>
      <c r="CY29">
        <f t="shared" si="3"/>
        <v>299.5</v>
      </c>
      <c r="CZ29">
        <f t="shared" si="4"/>
        <v>50</v>
      </c>
      <c r="DA29">
        <f t="shared" si="5"/>
        <v>5.99</v>
      </c>
      <c r="DB29">
        <v>0</v>
      </c>
    </row>
    <row r="30" spans="1:106" x14ac:dyDescent="0.2">
      <c r="A30">
        <f>ROW(Source!A27)</f>
        <v>27</v>
      </c>
      <c r="B30">
        <v>16481134</v>
      </c>
      <c r="C30">
        <v>16481203</v>
      </c>
      <c r="D30">
        <v>15204239</v>
      </c>
      <c r="E30">
        <v>1</v>
      </c>
      <c r="F30">
        <v>1</v>
      </c>
      <c r="G30">
        <v>1</v>
      </c>
      <c r="H30">
        <v>3</v>
      </c>
      <c r="I30" t="s">
        <v>310</v>
      </c>
      <c r="J30" t="s">
        <v>311</v>
      </c>
      <c r="K30" t="s">
        <v>312</v>
      </c>
      <c r="L30">
        <v>1354</v>
      </c>
      <c r="N30">
        <v>1010</v>
      </c>
      <c r="O30" t="s">
        <v>313</v>
      </c>
      <c r="P30" t="s">
        <v>313</v>
      </c>
      <c r="Q30">
        <v>1</v>
      </c>
      <c r="W30">
        <v>0</v>
      </c>
      <c r="X30">
        <v>-1018551266</v>
      </c>
      <c r="Y30">
        <v>71</v>
      </c>
      <c r="AA30">
        <v>401.33</v>
      </c>
      <c r="AB30">
        <v>0</v>
      </c>
      <c r="AC30">
        <v>0</v>
      </c>
      <c r="AD30">
        <v>0</v>
      </c>
      <c r="AE30">
        <v>67</v>
      </c>
      <c r="AF30">
        <v>0</v>
      </c>
      <c r="AG30">
        <v>0</v>
      </c>
      <c r="AH30">
        <v>0</v>
      </c>
      <c r="AI30">
        <v>5.99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71</v>
      </c>
      <c r="AU30" t="s">
        <v>6</v>
      </c>
      <c r="AV30">
        <v>0</v>
      </c>
      <c r="AW30">
        <v>2</v>
      </c>
      <c r="AX30">
        <v>16481226</v>
      </c>
      <c r="AY30">
        <v>1</v>
      </c>
      <c r="AZ30">
        <v>0</v>
      </c>
      <c r="BA30">
        <v>28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Y30*Source!I27</f>
        <v>66.484399999999994</v>
      </c>
      <c r="CY30">
        <f t="shared" si="3"/>
        <v>401.33</v>
      </c>
      <c r="CZ30">
        <f t="shared" si="4"/>
        <v>67</v>
      </c>
      <c r="DA30">
        <f t="shared" si="5"/>
        <v>5.99</v>
      </c>
      <c r="DB30">
        <v>0</v>
      </c>
    </row>
    <row r="31" spans="1:106" x14ac:dyDescent="0.2">
      <c r="A31">
        <f>ROW(Source!A32)</f>
        <v>32</v>
      </c>
      <c r="B31">
        <v>16481133</v>
      </c>
      <c r="C31">
        <v>16481229</v>
      </c>
      <c r="D31">
        <v>15430767</v>
      </c>
      <c r="E31">
        <v>1</v>
      </c>
      <c r="F31">
        <v>1</v>
      </c>
      <c r="G31">
        <v>1</v>
      </c>
      <c r="H31">
        <v>1</v>
      </c>
      <c r="I31" t="s">
        <v>314</v>
      </c>
      <c r="J31" t="s">
        <v>6</v>
      </c>
      <c r="K31" t="s">
        <v>315</v>
      </c>
      <c r="L31">
        <v>1191</v>
      </c>
      <c r="N31">
        <v>1013</v>
      </c>
      <c r="O31" t="s">
        <v>280</v>
      </c>
      <c r="P31" t="s">
        <v>280</v>
      </c>
      <c r="Q31">
        <v>1</v>
      </c>
      <c r="W31">
        <v>0</v>
      </c>
      <c r="X31">
        <v>-400197608</v>
      </c>
      <c r="Y31">
        <v>21.38</v>
      </c>
      <c r="AA31">
        <v>0</v>
      </c>
      <c r="AB31">
        <v>0</v>
      </c>
      <c r="AC31">
        <v>0</v>
      </c>
      <c r="AD31">
        <v>8.5299999999999994</v>
      </c>
      <c r="AE31">
        <v>0</v>
      </c>
      <c r="AF31">
        <v>0</v>
      </c>
      <c r="AG31">
        <v>0</v>
      </c>
      <c r="AH31">
        <v>8.5299999999999994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21.38</v>
      </c>
      <c r="AU31" t="s">
        <v>6</v>
      </c>
      <c r="AV31">
        <v>1</v>
      </c>
      <c r="AW31">
        <v>2</v>
      </c>
      <c r="AX31">
        <v>16481237</v>
      </c>
      <c r="AY31">
        <v>1</v>
      </c>
      <c r="AZ31">
        <v>0</v>
      </c>
      <c r="BA31">
        <v>29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Y31*Source!I32</f>
        <v>3.9253680000000002</v>
      </c>
      <c r="CY31">
        <f>AD31</f>
        <v>8.5299999999999994</v>
      </c>
      <c r="CZ31">
        <f>AH31</f>
        <v>8.5299999999999994</v>
      </c>
      <c r="DA31">
        <f>AL31</f>
        <v>1</v>
      </c>
      <c r="DB31">
        <v>0</v>
      </c>
    </row>
    <row r="32" spans="1:106" x14ac:dyDescent="0.2">
      <c r="A32">
        <f>ROW(Source!A32)</f>
        <v>32</v>
      </c>
      <c r="B32">
        <v>16481133</v>
      </c>
      <c r="C32">
        <v>16481229</v>
      </c>
      <c r="D32">
        <v>15430395</v>
      </c>
      <c r="E32">
        <v>1</v>
      </c>
      <c r="F32">
        <v>1</v>
      </c>
      <c r="G32">
        <v>1</v>
      </c>
      <c r="H32">
        <v>1</v>
      </c>
      <c r="I32" t="s">
        <v>281</v>
      </c>
      <c r="J32" t="s">
        <v>6</v>
      </c>
      <c r="K32" t="s">
        <v>282</v>
      </c>
      <c r="L32">
        <v>1191</v>
      </c>
      <c r="N32">
        <v>1013</v>
      </c>
      <c r="O32" t="s">
        <v>280</v>
      </c>
      <c r="P32" t="s">
        <v>280</v>
      </c>
      <c r="Q32">
        <v>1</v>
      </c>
      <c r="W32">
        <v>0</v>
      </c>
      <c r="X32">
        <v>-1417349443</v>
      </c>
      <c r="Y32">
        <v>0.37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0.37</v>
      </c>
      <c r="AU32" t="s">
        <v>6</v>
      </c>
      <c r="AV32">
        <v>2</v>
      </c>
      <c r="AW32">
        <v>2</v>
      </c>
      <c r="AX32">
        <v>16481238</v>
      </c>
      <c r="AY32">
        <v>1</v>
      </c>
      <c r="AZ32">
        <v>0</v>
      </c>
      <c r="BA32">
        <v>30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Y32*Source!I32</f>
        <v>6.7932000000000006E-2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ROW(Source!A32)</f>
        <v>32</v>
      </c>
      <c r="B33">
        <v>16481133</v>
      </c>
      <c r="C33">
        <v>16481229</v>
      </c>
      <c r="D33">
        <v>15247974</v>
      </c>
      <c r="E33">
        <v>1</v>
      </c>
      <c r="F33">
        <v>1</v>
      </c>
      <c r="G33">
        <v>1</v>
      </c>
      <c r="H33">
        <v>2</v>
      </c>
      <c r="I33" t="s">
        <v>283</v>
      </c>
      <c r="J33" t="s">
        <v>284</v>
      </c>
      <c r="K33" t="s">
        <v>285</v>
      </c>
      <c r="L33">
        <v>1368</v>
      </c>
      <c r="N33">
        <v>1011</v>
      </c>
      <c r="O33" t="s">
        <v>286</v>
      </c>
      <c r="P33" t="s">
        <v>286</v>
      </c>
      <c r="Q33">
        <v>1</v>
      </c>
      <c r="W33">
        <v>0</v>
      </c>
      <c r="X33">
        <v>1188625873</v>
      </c>
      <c r="Y33">
        <v>7.0000000000000007E-2</v>
      </c>
      <c r="AA33">
        <v>0</v>
      </c>
      <c r="AB33">
        <v>31.26</v>
      </c>
      <c r="AC33">
        <v>13.5</v>
      </c>
      <c r="AD33">
        <v>0</v>
      </c>
      <c r="AE33">
        <v>0</v>
      </c>
      <c r="AF33">
        <v>31.26</v>
      </c>
      <c r="AG33">
        <v>13.5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7.0000000000000007E-2</v>
      </c>
      <c r="AU33" t="s">
        <v>6</v>
      </c>
      <c r="AV33">
        <v>0</v>
      </c>
      <c r="AW33">
        <v>2</v>
      </c>
      <c r="AX33">
        <v>16481239</v>
      </c>
      <c r="AY33">
        <v>1</v>
      </c>
      <c r="AZ33">
        <v>0</v>
      </c>
      <c r="BA33">
        <v>31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Y33*Source!I32</f>
        <v>1.2852000000000002E-2</v>
      </c>
      <c r="CY33">
        <f>AB33</f>
        <v>31.26</v>
      </c>
      <c r="CZ33">
        <f>AF33</f>
        <v>31.26</v>
      </c>
      <c r="DA33">
        <f>AJ33</f>
        <v>1</v>
      </c>
      <c r="DB33">
        <v>0</v>
      </c>
    </row>
    <row r="34" spans="1:106" x14ac:dyDescent="0.2">
      <c r="A34">
        <f>ROW(Source!A32)</f>
        <v>32</v>
      </c>
      <c r="B34">
        <v>16481133</v>
      </c>
      <c r="C34">
        <v>16481229</v>
      </c>
      <c r="D34">
        <v>15249073</v>
      </c>
      <c r="E34">
        <v>1</v>
      </c>
      <c r="F34">
        <v>1</v>
      </c>
      <c r="G34">
        <v>1</v>
      </c>
      <c r="H34">
        <v>2</v>
      </c>
      <c r="I34" t="s">
        <v>289</v>
      </c>
      <c r="J34" t="s">
        <v>290</v>
      </c>
      <c r="K34" t="s">
        <v>291</v>
      </c>
      <c r="L34">
        <v>1368</v>
      </c>
      <c r="N34">
        <v>1011</v>
      </c>
      <c r="O34" t="s">
        <v>286</v>
      </c>
      <c r="P34" t="s">
        <v>286</v>
      </c>
      <c r="Q34">
        <v>1</v>
      </c>
      <c r="W34">
        <v>0</v>
      </c>
      <c r="X34">
        <v>1372534845</v>
      </c>
      <c r="Y34">
        <v>0.3</v>
      </c>
      <c r="AA34">
        <v>0</v>
      </c>
      <c r="AB34">
        <v>65.709999999999994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0.3</v>
      </c>
      <c r="AU34" t="s">
        <v>6</v>
      </c>
      <c r="AV34">
        <v>0</v>
      </c>
      <c r="AW34">
        <v>2</v>
      </c>
      <c r="AX34">
        <v>16481240</v>
      </c>
      <c r="AY34">
        <v>1</v>
      </c>
      <c r="AZ34">
        <v>0</v>
      </c>
      <c r="BA34">
        <v>32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Y34*Source!I32</f>
        <v>5.5080000000000004E-2</v>
      </c>
      <c r="CY34">
        <f>AB34</f>
        <v>65.709999999999994</v>
      </c>
      <c r="CZ34">
        <f>AF34</f>
        <v>65.709999999999994</v>
      </c>
      <c r="DA34">
        <f>AJ34</f>
        <v>1</v>
      </c>
      <c r="DB34">
        <v>0</v>
      </c>
    </row>
    <row r="35" spans="1:106" x14ac:dyDescent="0.2">
      <c r="A35">
        <f>ROW(Source!A32)</f>
        <v>32</v>
      </c>
      <c r="B35">
        <v>16481133</v>
      </c>
      <c r="C35">
        <v>16481229</v>
      </c>
      <c r="D35">
        <v>15197630</v>
      </c>
      <c r="E35">
        <v>1</v>
      </c>
      <c r="F35">
        <v>1</v>
      </c>
      <c r="G35">
        <v>1</v>
      </c>
      <c r="H35">
        <v>3</v>
      </c>
      <c r="I35" t="s">
        <v>43</v>
      </c>
      <c r="J35" t="s">
        <v>46</v>
      </c>
      <c r="K35" t="s">
        <v>44</v>
      </c>
      <c r="L35">
        <v>1301</v>
      </c>
      <c r="N35">
        <v>1003</v>
      </c>
      <c r="O35" t="s">
        <v>45</v>
      </c>
      <c r="P35" t="s">
        <v>45</v>
      </c>
      <c r="Q35">
        <v>1</v>
      </c>
      <c r="W35">
        <v>0</v>
      </c>
      <c r="X35">
        <v>1369221803</v>
      </c>
      <c r="Y35">
        <v>100</v>
      </c>
      <c r="AA35">
        <v>64.349999999999994</v>
      </c>
      <c r="AB35">
        <v>0</v>
      </c>
      <c r="AC35">
        <v>0</v>
      </c>
      <c r="AD35">
        <v>0</v>
      </c>
      <c r="AE35">
        <v>64.349999999999994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6</v>
      </c>
      <c r="AT35">
        <v>100</v>
      </c>
      <c r="AU35" t="s">
        <v>6</v>
      </c>
      <c r="AV35">
        <v>0</v>
      </c>
      <c r="AW35">
        <v>1</v>
      </c>
      <c r="AX35">
        <v>-1</v>
      </c>
      <c r="AY35">
        <v>0</v>
      </c>
      <c r="AZ35">
        <v>0</v>
      </c>
      <c r="BA35" t="s">
        <v>6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Y35*Source!I32</f>
        <v>18.360000000000003</v>
      </c>
      <c r="CY35">
        <f>AA35</f>
        <v>64.349999999999994</v>
      </c>
      <c r="CZ35">
        <f>AE35</f>
        <v>64.349999999999994</v>
      </c>
      <c r="DA35">
        <f>AI35</f>
        <v>1</v>
      </c>
      <c r="DB35">
        <v>0</v>
      </c>
    </row>
    <row r="36" spans="1:106" x14ac:dyDescent="0.2">
      <c r="A36">
        <f>ROW(Source!A32)</f>
        <v>32</v>
      </c>
      <c r="B36">
        <v>16481133</v>
      </c>
      <c r="C36">
        <v>16481229</v>
      </c>
      <c r="D36">
        <v>15197780</v>
      </c>
      <c r="E36">
        <v>1</v>
      </c>
      <c r="F36">
        <v>1</v>
      </c>
      <c r="G36">
        <v>1</v>
      </c>
      <c r="H36">
        <v>3</v>
      </c>
      <c r="I36" t="s">
        <v>306</v>
      </c>
      <c r="J36" t="s">
        <v>307</v>
      </c>
      <c r="K36" t="s">
        <v>308</v>
      </c>
      <c r="L36">
        <v>1355</v>
      </c>
      <c r="N36">
        <v>1010</v>
      </c>
      <c r="O36" t="s">
        <v>309</v>
      </c>
      <c r="P36" t="s">
        <v>309</v>
      </c>
      <c r="Q36">
        <v>100</v>
      </c>
      <c r="W36">
        <v>0</v>
      </c>
      <c r="X36">
        <v>1709713925</v>
      </c>
      <c r="Y36">
        <v>4</v>
      </c>
      <c r="AA36">
        <v>50</v>
      </c>
      <c r="AB36">
        <v>0</v>
      </c>
      <c r="AC36">
        <v>0</v>
      </c>
      <c r="AD36">
        <v>0</v>
      </c>
      <c r="AE36">
        <v>50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4</v>
      </c>
      <c r="AU36" t="s">
        <v>6</v>
      </c>
      <c r="AV36">
        <v>0</v>
      </c>
      <c r="AW36">
        <v>2</v>
      </c>
      <c r="AX36">
        <v>16481242</v>
      </c>
      <c r="AY36">
        <v>1</v>
      </c>
      <c r="AZ36">
        <v>0</v>
      </c>
      <c r="BA36">
        <v>34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Y36*Source!I32</f>
        <v>0.73440000000000005</v>
      </c>
      <c r="CY36">
        <f>AA36</f>
        <v>50</v>
      </c>
      <c r="CZ36">
        <f>AE36</f>
        <v>50</v>
      </c>
      <c r="DA36">
        <f>AI36</f>
        <v>1</v>
      </c>
      <c r="DB36">
        <v>0</v>
      </c>
    </row>
    <row r="37" spans="1:106" x14ac:dyDescent="0.2">
      <c r="A37">
        <f>ROW(Source!A32)</f>
        <v>32</v>
      </c>
      <c r="B37">
        <v>16481133</v>
      </c>
      <c r="C37">
        <v>16481229</v>
      </c>
      <c r="D37">
        <v>15204239</v>
      </c>
      <c r="E37">
        <v>1</v>
      </c>
      <c r="F37">
        <v>1</v>
      </c>
      <c r="G37">
        <v>1</v>
      </c>
      <c r="H37">
        <v>3</v>
      </c>
      <c r="I37" t="s">
        <v>310</v>
      </c>
      <c r="J37" t="s">
        <v>311</v>
      </c>
      <c r="K37" t="s">
        <v>312</v>
      </c>
      <c r="L37">
        <v>1354</v>
      </c>
      <c r="N37">
        <v>1010</v>
      </c>
      <c r="O37" t="s">
        <v>313</v>
      </c>
      <c r="P37" t="s">
        <v>313</v>
      </c>
      <c r="Q37">
        <v>1</v>
      </c>
      <c r="W37">
        <v>0</v>
      </c>
      <c r="X37">
        <v>-1018551266</v>
      </c>
      <c r="Y37">
        <v>90.7</v>
      </c>
      <c r="AA37">
        <v>67</v>
      </c>
      <c r="AB37">
        <v>0</v>
      </c>
      <c r="AC37">
        <v>0</v>
      </c>
      <c r="AD37">
        <v>0</v>
      </c>
      <c r="AE37">
        <v>67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90.7</v>
      </c>
      <c r="AU37" t="s">
        <v>6</v>
      </c>
      <c r="AV37">
        <v>0</v>
      </c>
      <c r="AW37">
        <v>2</v>
      </c>
      <c r="AX37">
        <v>16481243</v>
      </c>
      <c r="AY37">
        <v>1</v>
      </c>
      <c r="AZ37">
        <v>0</v>
      </c>
      <c r="BA37">
        <v>35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Y37*Source!I32</f>
        <v>16.652520000000003</v>
      </c>
      <c r="CY37">
        <f>AA37</f>
        <v>67</v>
      </c>
      <c r="CZ37">
        <f>AE37</f>
        <v>67</v>
      </c>
      <c r="DA37">
        <f>AI37</f>
        <v>1</v>
      </c>
      <c r="DB37">
        <v>0</v>
      </c>
    </row>
    <row r="38" spans="1:106" x14ac:dyDescent="0.2">
      <c r="A38">
        <f>ROW(Source!A33)</f>
        <v>33</v>
      </c>
      <c r="B38">
        <v>16481134</v>
      </c>
      <c r="C38">
        <v>16481229</v>
      </c>
      <c r="D38">
        <v>15430767</v>
      </c>
      <c r="E38">
        <v>1</v>
      </c>
      <c r="F38">
        <v>1</v>
      </c>
      <c r="G38">
        <v>1</v>
      </c>
      <c r="H38">
        <v>1</v>
      </c>
      <c r="I38" t="s">
        <v>314</v>
      </c>
      <c r="J38" t="s">
        <v>6</v>
      </c>
      <c r="K38" t="s">
        <v>315</v>
      </c>
      <c r="L38">
        <v>1191</v>
      </c>
      <c r="N38">
        <v>1013</v>
      </c>
      <c r="O38" t="s">
        <v>280</v>
      </c>
      <c r="P38" t="s">
        <v>280</v>
      </c>
      <c r="Q38">
        <v>1</v>
      </c>
      <c r="W38">
        <v>0</v>
      </c>
      <c r="X38">
        <v>-400197608</v>
      </c>
      <c r="Y38">
        <v>21.38</v>
      </c>
      <c r="AA38">
        <v>0</v>
      </c>
      <c r="AB38">
        <v>0</v>
      </c>
      <c r="AC38">
        <v>0</v>
      </c>
      <c r="AD38">
        <v>51.09</v>
      </c>
      <c r="AE38">
        <v>0</v>
      </c>
      <c r="AF38">
        <v>0</v>
      </c>
      <c r="AG38">
        <v>0</v>
      </c>
      <c r="AH38">
        <v>8.5299999999999994</v>
      </c>
      <c r="AI38">
        <v>1</v>
      </c>
      <c r="AJ38">
        <v>1</v>
      </c>
      <c r="AK38">
        <v>1</v>
      </c>
      <c r="AL38">
        <v>5.99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21.38</v>
      </c>
      <c r="AU38" t="s">
        <v>6</v>
      </c>
      <c r="AV38">
        <v>1</v>
      </c>
      <c r="AW38">
        <v>2</v>
      </c>
      <c r="AX38">
        <v>16481237</v>
      </c>
      <c r="AY38">
        <v>1</v>
      </c>
      <c r="AZ38">
        <v>0</v>
      </c>
      <c r="BA38">
        <v>36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Y38*Source!I33</f>
        <v>3.9253680000000002</v>
      </c>
      <c r="CY38">
        <f>AD38</f>
        <v>51.09</v>
      </c>
      <c r="CZ38">
        <f>AH38</f>
        <v>8.5299999999999994</v>
      </c>
      <c r="DA38">
        <f>AL38</f>
        <v>5.99</v>
      </c>
      <c r="DB38">
        <v>0</v>
      </c>
    </row>
    <row r="39" spans="1:106" x14ac:dyDescent="0.2">
      <c r="A39">
        <f>ROW(Source!A33)</f>
        <v>33</v>
      </c>
      <c r="B39">
        <v>16481134</v>
      </c>
      <c r="C39">
        <v>16481229</v>
      </c>
      <c r="D39">
        <v>15430395</v>
      </c>
      <c r="E39">
        <v>1</v>
      </c>
      <c r="F39">
        <v>1</v>
      </c>
      <c r="G39">
        <v>1</v>
      </c>
      <c r="H39">
        <v>1</v>
      </c>
      <c r="I39" t="s">
        <v>281</v>
      </c>
      <c r="J39" t="s">
        <v>6</v>
      </c>
      <c r="K39" t="s">
        <v>282</v>
      </c>
      <c r="L39">
        <v>1191</v>
      </c>
      <c r="N39">
        <v>1013</v>
      </c>
      <c r="O39" t="s">
        <v>280</v>
      </c>
      <c r="P39" t="s">
        <v>280</v>
      </c>
      <c r="Q39">
        <v>1</v>
      </c>
      <c r="W39">
        <v>0</v>
      </c>
      <c r="X39">
        <v>-1417349443</v>
      </c>
      <c r="Y39">
        <v>0.37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5.99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0.37</v>
      </c>
      <c r="AU39" t="s">
        <v>6</v>
      </c>
      <c r="AV39">
        <v>2</v>
      </c>
      <c r="AW39">
        <v>2</v>
      </c>
      <c r="AX39">
        <v>16481238</v>
      </c>
      <c r="AY39">
        <v>1</v>
      </c>
      <c r="AZ39">
        <v>0</v>
      </c>
      <c r="BA39">
        <v>37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Y39*Source!I33</f>
        <v>6.7932000000000006E-2</v>
      </c>
      <c r="CY39">
        <f>AD39</f>
        <v>0</v>
      </c>
      <c r="CZ39">
        <f>AH39</f>
        <v>0</v>
      </c>
      <c r="DA39">
        <f>AL39</f>
        <v>1</v>
      </c>
      <c r="DB39">
        <v>0</v>
      </c>
    </row>
    <row r="40" spans="1:106" x14ac:dyDescent="0.2">
      <c r="A40">
        <f>ROW(Source!A33)</f>
        <v>33</v>
      </c>
      <c r="B40">
        <v>16481134</v>
      </c>
      <c r="C40">
        <v>16481229</v>
      </c>
      <c r="D40">
        <v>15247974</v>
      </c>
      <c r="E40">
        <v>1</v>
      </c>
      <c r="F40">
        <v>1</v>
      </c>
      <c r="G40">
        <v>1</v>
      </c>
      <c r="H40">
        <v>2</v>
      </c>
      <c r="I40" t="s">
        <v>283</v>
      </c>
      <c r="J40" t="s">
        <v>284</v>
      </c>
      <c r="K40" t="s">
        <v>285</v>
      </c>
      <c r="L40">
        <v>1368</v>
      </c>
      <c r="N40">
        <v>1011</v>
      </c>
      <c r="O40" t="s">
        <v>286</v>
      </c>
      <c r="P40" t="s">
        <v>286</v>
      </c>
      <c r="Q40">
        <v>1</v>
      </c>
      <c r="W40">
        <v>0</v>
      </c>
      <c r="X40">
        <v>1188625873</v>
      </c>
      <c r="Y40">
        <v>7.0000000000000007E-2</v>
      </c>
      <c r="AA40">
        <v>0</v>
      </c>
      <c r="AB40">
        <v>187.25</v>
      </c>
      <c r="AC40">
        <v>13.5</v>
      </c>
      <c r="AD40">
        <v>0</v>
      </c>
      <c r="AE40">
        <v>0</v>
      </c>
      <c r="AF40">
        <v>31.26</v>
      </c>
      <c r="AG40">
        <v>13.5</v>
      </c>
      <c r="AH40">
        <v>0</v>
      </c>
      <c r="AI40">
        <v>1</v>
      </c>
      <c r="AJ40">
        <v>5.99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7.0000000000000007E-2</v>
      </c>
      <c r="AU40" t="s">
        <v>6</v>
      </c>
      <c r="AV40">
        <v>0</v>
      </c>
      <c r="AW40">
        <v>2</v>
      </c>
      <c r="AX40">
        <v>16481239</v>
      </c>
      <c r="AY40">
        <v>1</v>
      </c>
      <c r="AZ40">
        <v>0</v>
      </c>
      <c r="BA40">
        <v>38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Y40*Source!I33</f>
        <v>1.2852000000000002E-2</v>
      </c>
      <c r="CY40">
        <f>AB40</f>
        <v>187.25</v>
      </c>
      <c r="CZ40">
        <f>AF40</f>
        <v>31.26</v>
      </c>
      <c r="DA40">
        <f>AJ40</f>
        <v>5.99</v>
      </c>
      <c r="DB40">
        <v>0</v>
      </c>
    </row>
    <row r="41" spans="1:106" x14ac:dyDescent="0.2">
      <c r="A41">
        <f>ROW(Source!A33)</f>
        <v>33</v>
      </c>
      <c r="B41">
        <v>16481134</v>
      </c>
      <c r="C41">
        <v>16481229</v>
      </c>
      <c r="D41">
        <v>15249073</v>
      </c>
      <c r="E41">
        <v>1</v>
      </c>
      <c r="F41">
        <v>1</v>
      </c>
      <c r="G41">
        <v>1</v>
      </c>
      <c r="H41">
        <v>2</v>
      </c>
      <c r="I41" t="s">
        <v>289</v>
      </c>
      <c r="J41" t="s">
        <v>290</v>
      </c>
      <c r="K41" t="s">
        <v>291</v>
      </c>
      <c r="L41">
        <v>1368</v>
      </c>
      <c r="N41">
        <v>1011</v>
      </c>
      <c r="O41" t="s">
        <v>286</v>
      </c>
      <c r="P41" t="s">
        <v>286</v>
      </c>
      <c r="Q41">
        <v>1</v>
      </c>
      <c r="W41">
        <v>0</v>
      </c>
      <c r="X41">
        <v>1372534845</v>
      </c>
      <c r="Y41">
        <v>0.3</v>
      </c>
      <c r="AA41">
        <v>0</v>
      </c>
      <c r="AB41">
        <v>393.6</v>
      </c>
      <c r="AC41">
        <v>11.6</v>
      </c>
      <c r="AD41">
        <v>0</v>
      </c>
      <c r="AE41">
        <v>0</v>
      </c>
      <c r="AF41">
        <v>65.709999999999994</v>
      </c>
      <c r="AG41">
        <v>11.6</v>
      </c>
      <c r="AH41">
        <v>0</v>
      </c>
      <c r="AI41">
        <v>1</v>
      </c>
      <c r="AJ41">
        <v>5.99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0.3</v>
      </c>
      <c r="AU41" t="s">
        <v>6</v>
      </c>
      <c r="AV41">
        <v>0</v>
      </c>
      <c r="AW41">
        <v>2</v>
      </c>
      <c r="AX41">
        <v>16481240</v>
      </c>
      <c r="AY41">
        <v>1</v>
      </c>
      <c r="AZ41">
        <v>0</v>
      </c>
      <c r="BA41">
        <v>39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Y41*Source!I33</f>
        <v>5.5080000000000004E-2</v>
      </c>
      <c r="CY41">
        <f>AB41</f>
        <v>393.6</v>
      </c>
      <c r="CZ41">
        <f>AF41</f>
        <v>65.709999999999994</v>
      </c>
      <c r="DA41">
        <f>AJ41</f>
        <v>5.99</v>
      </c>
      <c r="DB41">
        <v>0</v>
      </c>
    </row>
    <row r="42" spans="1:106" x14ac:dyDescent="0.2">
      <c r="A42">
        <f>ROW(Source!A33)</f>
        <v>33</v>
      </c>
      <c r="B42">
        <v>16481134</v>
      </c>
      <c r="C42">
        <v>16481229</v>
      </c>
      <c r="D42">
        <v>15197630</v>
      </c>
      <c r="E42">
        <v>1</v>
      </c>
      <c r="F42">
        <v>1</v>
      </c>
      <c r="G42">
        <v>1</v>
      </c>
      <c r="H42">
        <v>3</v>
      </c>
      <c r="I42" t="s">
        <v>43</v>
      </c>
      <c r="J42" t="s">
        <v>46</v>
      </c>
      <c r="K42" t="s">
        <v>44</v>
      </c>
      <c r="L42">
        <v>1301</v>
      </c>
      <c r="N42">
        <v>1003</v>
      </c>
      <c r="O42" t="s">
        <v>45</v>
      </c>
      <c r="P42" t="s">
        <v>45</v>
      </c>
      <c r="Q42">
        <v>1</v>
      </c>
      <c r="W42">
        <v>0</v>
      </c>
      <c r="X42">
        <v>1369221803</v>
      </c>
      <c r="Y42">
        <v>100</v>
      </c>
      <c r="AA42">
        <v>385.46</v>
      </c>
      <c r="AB42">
        <v>0</v>
      </c>
      <c r="AC42">
        <v>0</v>
      </c>
      <c r="AD42">
        <v>0</v>
      </c>
      <c r="AE42">
        <v>64.349999999999994</v>
      </c>
      <c r="AF42">
        <v>0</v>
      </c>
      <c r="AG42">
        <v>0</v>
      </c>
      <c r="AH42">
        <v>0</v>
      </c>
      <c r="AI42">
        <v>5.99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6</v>
      </c>
      <c r="AT42">
        <v>100</v>
      </c>
      <c r="AU42" t="s">
        <v>6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Y42*Source!I33</f>
        <v>18.360000000000003</v>
      </c>
      <c r="CY42">
        <f>AA42</f>
        <v>385.46</v>
      </c>
      <c r="CZ42">
        <f>AE42</f>
        <v>64.349999999999994</v>
      </c>
      <c r="DA42">
        <f>AI42</f>
        <v>5.99</v>
      </c>
      <c r="DB42">
        <v>0</v>
      </c>
    </row>
    <row r="43" spans="1:106" x14ac:dyDescent="0.2">
      <c r="A43">
        <f>ROW(Source!A33)</f>
        <v>33</v>
      </c>
      <c r="B43">
        <v>16481134</v>
      </c>
      <c r="C43">
        <v>16481229</v>
      </c>
      <c r="D43">
        <v>15197780</v>
      </c>
      <c r="E43">
        <v>1</v>
      </c>
      <c r="F43">
        <v>1</v>
      </c>
      <c r="G43">
        <v>1</v>
      </c>
      <c r="H43">
        <v>3</v>
      </c>
      <c r="I43" t="s">
        <v>306</v>
      </c>
      <c r="J43" t="s">
        <v>307</v>
      </c>
      <c r="K43" t="s">
        <v>308</v>
      </c>
      <c r="L43">
        <v>1355</v>
      </c>
      <c r="N43">
        <v>1010</v>
      </c>
      <c r="O43" t="s">
        <v>309</v>
      </c>
      <c r="P43" t="s">
        <v>309</v>
      </c>
      <c r="Q43">
        <v>100</v>
      </c>
      <c r="W43">
        <v>0</v>
      </c>
      <c r="X43">
        <v>1709713925</v>
      </c>
      <c r="Y43">
        <v>4</v>
      </c>
      <c r="AA43">
        <v>299.5</v>
      </c>
      <c r="AB43">
        <v>0</v>
      </c>
      <c r="AC43">
        <v>0</v>
      </c>
      <c r="AD43">
        <v>0</v>
      </c>
      <c r="AE43">
        <v>50</v>
      </c>
      <c r="AF43">
        <v>0</v>
      </c>
      <c r="AG43">
        <v>0</v>
      </c>
      <c r="AH43">
        <v>0</v>
      </c>
      <c r="AI43">
        <v>5.99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4</v>
      </c>
      <c r="AU43" t="s">
        <v>6</v>
      </c>
      <c r="AV43">
        <v>0</v>
      </c>
      <c r="AW43">
        <v>2</v>
      </c>
      <c r="AX43">
        <v>16481242</v>
      </c>
      <c r="AY43">
        <v>1</v>
      </c>
      <c r="AZ43">
        <v>0</v>
      </c>
      <c r="BA43">
        <v>41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Y43*Source!I33</f>
        <v>0.73440000000000005</v>
      </c>
      <c r="CY43">
        <f>AA43</f>
        <v>299.5</v>
      </c>
      <c r="CZ43">
        <f>AE43</f>
        <v>50</v>
      </c>
      <c r="DA43">
        <f>AI43</f>
        <v>5.99</v>
      </c>
      <c r="DB43">
        <v>0</v>
      </c>
    </row>
    <row r="44" spans="1:106" x14ac:dyDescent="0.2">
      <c r="A44">
        <f>ROW(Source!A33)</f>
        <v>33</v>
      </c>
      <c r="B44">
        <v>16481134</v>
      </c>
      <c r="C44">
        <v>16481229</v>
      </c>
      <c r="D44">
        <v>15204239</v>
      </c>
      <c r="E44">
        <v>1</v>
      </c>
      <c r="F44">
        <v>1</v>
      </c>
      <c r="G44">
        <v>1</v>
      </c>
      <c r="H44">
        <v>3</v>
      </c>
      <c r="I44" t="s">
        <v>310</v>
      </c>
      <c r="J44" t="s">
        <v>311</v>
      </c>
      <c r="K44" t="s">
        <v>312</v>
      </c>
      <c r="L44">
        <v>1354</v>
      </c>
      <c r="N44">
        <v>1010</v>
      </c>
      <c r="O44" t="s">
        <v>313</v>
      </c>
      <c r="P44" t="s">
        <v>313</v>
      </c>
      <c r="Q44">
        <v>1</v>
      </c>
      <c r="W44">
        <v>0</v>
      </c>
      <c r="X44">
        <v>-1018551266</v>
      </c>
      <c r="Y44">
        <v>90.7</v>
      </c>
      <c r="AA44">
        <v>401.33</v>
      </c>
      <c r="AB44">
        <v>0</v>
      </c>
      <c r="AC44">
        <v>0</v>
      </c>
      <c r="AD44">
        <v>0</v>
      </c>
      <c r="AE44">
        <v>67</v>
      </c>
      <c r="AF44">
        <v>0</v>
      </c>
      <c r="AG44">
        <v>0</v>
      </c>
      <c r="AH44">
        <v>0</v>
      </c>
      <c r="AI44">
        <v>5.99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90.7</v>
      </c>
      <c r="AU44" t="s">
        <v>6</v>
      </c>
      <c r="AV44">
        <v>0</v>
      </c>
      <c r="AW44">
        <v>2</v>
      </c>
      <c r="AX44">
        <v>16481243</v>
      </c>
      <c r="AY44">
        <v>1</v>
      </c>
      <c r="AZ44">
        <v>0</v>
      </c>
      <c r="BA44">
        <v>42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Y44*Source!I33</f>
        <v>16.652520000000003</v>
      </c>
      <c r="CY44">
        <f>AA44</f>
        <v>401.33</v>
      </c>
      <c r="CZ44">
        <f>AE44</f>
        <v>67</v>
      </c>
      <c r="DA44">
        <f>AI44</f>
        <v>5.99</v>
      </c>
      <c r="DB44">
        <v>0</v>
      </c>
    </row>
    <row r="45" spans="1:106" x14ac:dyDescent="0.2">
      <c r="A45">
        <f>ROW(Source!A36)</f>
        <v>36</v>
      </c>
      <c r="B45">
        <v>16481133</v>
      </c>
      <c r="C45">
        <v>16481245</v>
      </c>
      <c r="D45">
        <v>15430767</v>
      </c>
      <c r="E45">
        <v>1</v>
      </c>
      <c r="F45">
        <v>1</v>
      </c>
      <c r="G45">
        <v>1</v>
      </c>
      <c r="H45">
        <v>1</v>
      </c>
      <c r="I45" t="s">
        <v>314</v>
      </c>
      <c r="J45" t="s">
        <v>6</v>
      </c>
      <c r="K45" t="s">
        <v>315</v>
      </c>
      <c r="L45">
        <v>1191</v>
      </c>
      <c r="N45">
        <v>1013</v>
      </c>
      <c r="O45" t="s">
        <v>280</v>
      </c>
      <c r="P45" t="s">
        <v>280</v>
      </c>
      <c r="Q45">
        <v>1</v>
      </c>
      <c r="W45">
        <v>0</v>
      </c>
      <c r="X45">
        <v>-400197608</v>
      </c>
      <c r="Y45">
        <v>41.41</v>
      </c>
      <c r="AA45">
        <v>0</v>
      </c>
      <c r="AB45">
        <v>0</v>
      </c>
      <c r="AC45">
        <v>0</v>
      </c>
      <c r="AD45">
        <v>8.5299999999999994</v>
      </c>
      <c r="AE45">
        <v>0</v>
      </c>
      <c r="AF45">
        <v>0</v>
      </c>
      <c r="AG45">
        <v>0</v>
      </c>
      <c r="AH45">
        <v>8.5299999999999994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41.41</v>
      </c>
      <c r="AU45" t="s">
        <v>6</v>
      </c>
      <c r="AV45">
        <v>1</v>
      </c>
      <c r="AW45">
        <v>2</v>
      </c>
      <c r="AX45">
        <v>16481256</v>
      </c>
      <c r="AY45">
        <v>1</v>
      </c>
      <c r="AZ45">
        <v>0</v>
      </c>
      <c r="BA45">
        <v>43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Y45*Source!I36</f>
        <v>7.6028760000000002</v>
      </c>
      <c r="CY45">
        <f>AD45</f>
        <v>8.5299999999999994</v>
      </c>
      <c r="CZ45">
        <f>AH45</f>
        <v>8.5299999999999994</v>
      </c>
      <c r="DA45">
        <f>AL45</f>
        <v>1</v>
      </c>
      <c r="DB45">
        <v>0</v>
      </c>
    </row>
    <row r="46" spans="1:106" x14ac:dyDescent="0.2">
      <c r="A46">
        <f>ROW(Source!A36)</f>
        <v>36</v>
      </c>
      <c r="B46">
        <v>16481133</v>
      </c>
      <c r="C46">
        <v>16481245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281</v>
      </c>
      <c r="J46" t="s">
        <v>6</v>
      </c>
      <c r="K46" t="s">
        <v>282</v>
      </c>
      <c r="L46">
        <v>1191</v>
      </c>
      <c r="N46">
        <v>1013</v>
      </c>
      <c r="O46" t="s">
        <v>280</v>
      </c>
      <c r="P46" t="s">
        <v>280</v>
      </c>
      <c r="Q46">
        <v>1</v>
      </c>
      <c r="W46">
        <v>0</v>
      </c>
      <c r="X46">
        <v>-1417349443</v>
      </c>
      <c r="Y46">
        <v>0.12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0.12</v>
      </c>
      <c r="AU46" t="s">
        <v>6</v>
      </c>
      <c r="AV46">
        <v>2</v>
      </c>
      <c r="AW46">
        <v>2</v>
      </c>
      <c r="AX46">
        <v>16481257</v>
      </c>
      <c r="AY46">
        <v>1</v>
      </c>
      <c r="AZ46">
        <v>0</v>
      </c>
      <c r="BA46">
        <v>44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Y46*Source!I36</f>
        <v>2.2032E-2</v>
      </c>
      <c r="CY46">
        <f>AD46</f>
        <v>0</v>
      </c>
      <c r="CZ46">
        <f>AH46</f>
        <v>0</v>
      </c>
      <c r="DA46">
        <f>AL46</f>
        <v>1</v>
      </c>
      <c r="DB46">
        <v>0</v>
      </c>
    </row>
    <row r="47" spans="1:106" x14ac:dyDescent="0.2">
      <c r="A47">
        <f>ROW(Source!A36)</f>
        <v>36</v>
      </c>
      <c r="B47">
        <v>16481133</v>
      </c>
      <c r="C47">
        <v>16481245</v>
      </c>
      <c r="D47">
        <v>15247974</v>
      </c>
      <c r="E47">
        <v>1</v>
      </c>
      <c r="F47">
        <v>1</v>
      </c>
      <c r="G47">
        <v>1</v>
      </c>
      <c r="H47">
        <v>2</v>
      </c>
      <c r="I47" t="s">
        <v>283</v>
      </c>
      <c r="J47" t="s">
        <v>284</v>
      </c>
      <c r="K47" t="s">
        <v>285</v>
      </c>
      <c r="L47">
        <v>1368</v>
      </c>
      <c r="N47">
        <v>1011</v>
      </c>
      <c r="O47" t="s">
        <v>286</v>
      </c>
      <c r="P47" t="s">
        <v>286</v>
      </c>
      <c r="Q47">
        <v>1</v>
      </c>
      <c r="W47">
        <v>0</v>
      </c>
      <c r="X47">
        <v>1188625873</v>
      </c>
      <c r="Y47">
        <v>0.08</v>
      </c>
      <c r="AA47">
        <v>0</v>
      </c>
      <c r="AB47">
        <v>31.26</v>
      </c>
      <c r="AC47">
        <v>13.5</v>
      </c>
      <c r="AD47">
        <v>0</v>
      </c>
      <c r="AE47">
        <v>0</v>
      </c>
      <c r="AF47">
        <v>31.26</v>
      </c>
      <c r="AG47">
        <v>13.5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0.08</v>
      </c>
      <c r="AU47" t="s">
        <v>6</v>
      </c>
      <c r="AV47">
        <v>0</v>
      </c>
      <c r="AW47">
        <v>2</v>
      </c>
      <c r="AX47">
        <v>16481258</v>
      </c>
      <c r="AY47">
        <v>1</v>
      </c>
      <c r="AZ47">
        <v>0</v>
      </c>
      <c r="BA47">
        <v>45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Y47*Source!I36</f>
        <v>1.4688000000000001E-2</v>
      </c>
      <c r="CY47">
        <f>AB47</f>
        <v>31.26</v>
      </c>
      <c r="CZ47">
        <f>AF47</f>
        <v>31.26</v>
      </c>
      <c r="DA47">
        <f>AJ47</f>
        <v>1</v>
      </c>
      <c r="DB47">
        <v>0</v>
      </c>
    </row>
    <row r="48" spans="1:106" x14ac:dyDescent="0.2">
      <c r="A48">
        <f>ROW(Source!A36)</f>
        <v>36</v>
      </c>
      <c r="B48">
        <v>16481133</v>
      </c>
      <c r="C48">
        <v>16481245</v>
      </c>
      <c r="D48">
        <v>15249073</v>
      </c>
      <c r="E48">
        <v>1</v>
      </c>
      <c r="F48">
        <v>1</v>
      </c>
      <c r="G48">
        <v>1</v>
      </c>
      <c r="H48">
        <v>2</v>
      </c>
      <c r="I48" t="s">
        <v>289</v>
      </c>
      <c r="J48" t="s">
        <v>290</v>
      </c>
      <c r="K48" t="s">
        <v>291</v>
      </c>
      <c r="L48">
        <v>1368</v>
      </c>
      <c r="N48">
        <v>1011</v>
      </c>
      <c r="O48" t="s">
        <v>286</v>
      </c>
      <c r="P48" t="s">
        <v>286</v>
      </c>
      <c r="Q48">
        <v>1</v>
      </c>
      <c r="W48">
        <v>0</v>
      </c>
      <c r="X48">
        <v>1372534845</v>
      </c>
      <c r="Y48">
        <v>0.04</v>
      </c>
      <c r="AA48">
        <v>0</v>
      </c>
      <c r="AB48">
        <v>65.709999999999994</v>
      </c>
      <c r="AC48">
        <v>11.6</v>
      </c>
      <c r="AD48">
        <v>0</v>
      </c>
      <c r="AE48">
        <v>0</v>
      </c>
      <c r="AF48">
        <v>65.709999999999994</v>
      </c>
      <c r="AG48">
        <v>11.6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0.04</v>
      </c>
      <c r="AU48" t="s">
        <v>6</v>
      </c>
      <c r="AV48">
        <v>0</v>
      </c>
      <c r="AW48">
        <v>2</v>
      </c>
      <c r="AX48">
        <v>16481259</v>
      </c>
      <c r="AY48">
        <v>1</v>
      </c>
      <c r="AZ48">
        <v>0</v>
      </c>
      <c r="BA48">
        <v>46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Y48*Source!I36</f>
        <v>7.3440000000000007E-3</v>
      </c>
      <c r="CY48">
        <f>AB48</f>
        <v>65.709999999999994</v>
      </c>
      <c r="CZ48">
        <f>AF48</f>
        <v>65.709999999999994</v>
      </c>
      <c r="DA48">
        <f>AJ48</f>
        <v>1</v>
      </c>
      <c r="DB48">
        <v>0</v>
      </c>
    </row>
    <row r="49" spans="1:106" x14ac:dyDescent="0.2">
      <c r="A49">
        <f>ROW(Source!A36)</f>
        <v>36</v>
      </c>
      <c r="B49">
        <v>16481133</v>
      </c>
      <c r="C49">
        <v>16481245</v>
      </c>
      <c r="D49">
        <v>15164566</v>
      </c>
      <c r="E49">
        <v>17</v>
      </c>
      <c r="F49">
        <v>1</v>
      </c>
      <c r="G49">
        <v>1</v>
      </c>
      <c r="H49">
        <v>3</v>
      </c>
      <c r="I49" t="s">
        <v>55</v>
      </c>
      <c r="J49" t="s">
        <v>6</v>
      </c>
      <c r="K49" t="s">
        <v>56</v>
      </c>
      <c r="L49">
        <v>1348</v>
      </c>
      <c r="N49">
        <v>1009</v>
      </c>
      <c r="O49" t="s">
        <v>57</v>
      </c>
      <c r="P49" t="s">
        <v>57</v>
      </c>
      <c r="Q49">
        <v>1000</v>
      </c>
      <c r="W49">
        <v>0</v>
      </c>
      <c r="X49">
        <v>-179832266</v>
      </c>
      <c r="Y49">
        <v>0.224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6</v>
      </c>
      <c r="AT49">
        <v>0.224</v>
      </c>
      <c r="AU49" t="s">
        <v>6</v>
      </c>
      <c r="AV49">
        <v>0</v>
      </c>
      <c r="AW49">
        <v>2</v>
      </c>
      <c r="AX49">
        <v>16481260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Y49*Source!I36</f>
        <v>4.11264E-2</v>
      </c>
      <c r="CY49">
        <f t="shared" ref="CY49:CY54" si="6">AA49</f>
        <v>0</v>
      </c>
      <c r="CZ49">
        <f t="shared" ref="CZ49:CZ54" si="7">AE49</f>
        <v>0</v>
      </c>
      <c r="DA49">
        <f t="shared" ref="DA49:DA54" si="8">AI49</f>
        <v>1</v>
      </c>
      <c r="DB49">
        <v>0</v>
      </c>
    </row>
    <row r="50" spans="1:106" x14ac:dyDescent="0.2">
      <c r="A50">
        <f>ROW(Source!A36)</f>
        <v>36</v>
      </c>
      <c r="B50">
        <v>16481133</v>
      </c>
      <c r="C50">
        <v>16481245</v>
      </c>
      <c r="D50">
        <v>15170039</v>
      </c>
      <c r="E50">
        <v>1</v>
      </c>
      <c r="F50">
        <v>1</v>
      </c>
      <c r="G50">
        <v>1</v>
      </c>
      <c r="H50">
        <v>3</v>
      </c>
      <c r="I50" t="s">
        <v>316</v>
      </c>
      <c r="J50" t="s">
        <v>317</v>
      </c>
      <c r="K50" t="s">
        <v>318</v>
      </c>
      <c r="L50">
        <v>1348</v>
      </c>
      <c r="N50">
        <v>1009</v>
      </c>
      <c r="O50" t="s">
        <v>57</v>
      </c>
      <c r="P50" t="s">
        <v>57</v>
      </c>
      <c r="Q50">
        <v>1000</v>
      </c>
      <c r="W50">
        <v>0</v>
      </c>
      <c r="X50">
        <v>1174701286</v>
      </c>
      <c r="Y50">
        <v>4.0000000000000001E-3</v>
      </c>
      <c r="AA50">
        <v>11978</v>
      </c>
      <c r="AB50">
        <v>0</v>
      </c>
      <c r="AC50">
        <v>0</v>
      </c>
      <c r="AD50">
        <v>0</v>
      </c>
      <c r="AE50">
        <v>11978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4.0000000000000001E-3</v>
      </c>
      <c r="AU50" t="s">
        <v>6</v>
      </c>
      <c r="AV50">
        <v>0</v>
      </c>
      <c r="AW50">
        <v>2</v>
      </c>
      <c r="AX50">
        <v>16481261</v>
      </c>
      <c r="AY50">
        <v>1</v>
      </c>
      <c r="AZ50">
        <v>0</v>
      </c>
      <c r="BA50">
        <v>48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Y50*Source!I36</f>
        <v>7.3440000000000007E-4</v>
      </c>
      <c r="CY50">
        <f t="shared" si="6"/>
        <v>11978</v>
      </c>
      <c r="CZ50">
        <f t="shared" si="7"/>
        <v>11978</v>
      </c>
      <c r="DA50">
        <f t="shared" si="8"/>
        <v>1</v>
      </c>
      <c r="DB50">
        <v>0</v>
      </c>
    </row>
    <row r="51" spans="1:106" x14ac:dyDescent="0.2">
      <c r="A51">
        <f>ROW(Source!A36)</f>
        <v>36</v>
      </c>
      <c r="B51">
        <v>16481133</v>
      </c>
      <c r="C51">
        <v>16481245</v>
      </c>
      <c r="D51">
        <v>15189640</v>
      </c>
      <c r="E51">
        <v>1</v>
      </c>
      <c r="F51">
        <v>1</v>
      </c>
      <c r="G51">
        <v>1</v>
      </c>
      <c r="H51">
        <v>3</v>
      </c>
      <c r="I51" t="s">
        <v>66</v>
      </c>
      <c r="J51" t="s">
        <v>69</v>
      </c>
      <c r="K51" t="s">
        <v>67</v>
      </c>
      <c r="L51">
        <v>2233</v>
      </c>
      <c r="N51">
        <v>1013</v>
      </c>
      <c r="O51" t="s">
        <v>68</v>
      </c>
      <c r="P51" t="s">
        <v>68</v>
      </c>
      <c r="Q51">
        <v>1</v>
      </c>
      <c r="W51">
        <v>0</v>
      </c>
      <c r="X51">
        <v>977476121</v>
      </c>
      <c r="Y51">
        <v>100</v>
      </c>
      <c r="AA51">
        <v>26.41</v>
      </c>
      <c r="AB51">
        <v>0</v>
      </c>
      <c r="AC51">
        <v>0</v>
      </c>
      <c r="AD51">
        <v>0</v>
      </c>
      <c r="AE51">
        <v>26.41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6</v>
      </c>
      <c r="AT51">
        <v>100</v>
      </c>
      <c r="AU51" t="s">
        <v>6</v>
      </c>
      <c r="AV51">
        <v>0</v>
      </c>
      <c r="AW51">
        <v>1</v>
      </c>
      <c r="AX51">
        <v>-1</v>
      </c>
      <c r="AY51">
        <v>0</v>
      </c>
      <c r="AZ51">
        <v>0</v>
      </c>
      <c r="BA51" t="s">
        <v>6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Y51*Source!I36</f>
        <v>18.360000000000003</v>
      </c>
      <c r="CY51">
        <f t="shared" si="6"/>
        <v>26.41</v>
      </c>
      <c r="CZ51">
        <f t="shared" si="7"/>
        <v>26.41</v>
      </c>
      <c r="DA51">
        <f t="shared" si="8"/>
        <v>1</v>
      </c>
      <c r="DB51">
        <v>0</v>
      </c>
    </row>
    <row r="52" spans="1:106" x14ac:dyDescent="0.2">
      <c r="A52">
        <f>ROW(Source!A36)</f>
        <v>36</v>
      </c>
      <c r="B52">
        <v>16481133</v>
      </c>
      <c r="C52">
        <v>16481245</v>
      </c>
      <c r="D52">
        <v>15191139</v>
      </c>
      <c r="E52">
        <v>1</v>
      </c>
      <c r="F52">
        <v>1</v>
      </c>
      <c r="G52">
        <v>1</v>
      </c>
      <c r="H52">
        <v>3</v>
      </c>
      <c r="I52" t="s">
        <v>319</v>
      </c>
      <c r="J52" t="s">
        <v>320</v>
      </c>
      <c r="K52" t="s">
        <v>321</v>
      </c>
      <c r="L52">
        <v>1348</v>
      </c>
      <c r="N52">
        <v>1009</v>
      </c>
      <c r="O52" t="s">
        <v>57</v>
      </c>
      <c r="P52" t="s">
        <v>57</v>
      </c>
      <c r="Q52">
        <v>1000</v>
      </c>
      <c r="W52">
        <v>0</v>
      </c>
      <c r="X52">
        <v>-740471490</v>
      </c>
      <c r="Y52">
        <v>6.0000000000000001E-3</v>
      </c>
      <c r="AA52">
        <v>8023</v>
      </c>
      <c r="AB52">
        <v>0</v>
      </c>
      <c r="AC52">
        <v>0</v>
      </c>
      <c r="AD52">
        <v>0</v>
      </c>
      <c r="AE52">
        <v>8023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6.0000000000000001E-3</v>
      </c>
      <c r="AU52" t="s">
        <v>6</v>
      </c>
      <c r="AV52">
        <v>0</v>
      </c>
      <c r="AW52">
        <v>2</v>
      </c>
      <c r="AX52">
        <v>16481262</v>
      </c>
      <c r="AY52">
        <v>1</v>
      </c>
      <c r="AZ52">
        <v>0</v>
      </c>
      <c r="BA52">
        <v>49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Y52*Source!I36</f>
        <v>1.1016000000000001E-3</v>
      </c>
      <c r="CY52">
        <f t="shared" si="6"/>
        <v>8023</v>
      </c>
      <c r="CZ52">
        <f t="shared" si="7"/>
        <v>8023</v>
      </c>
      <c r="DA52">
        <f t="shared" si="8"/>
        <v>1</v>
      </c>
      <c r="DB52">
        <v>0</v>
      </c>
    </row>
    <row r="53" spans="1:106" x14ac:dyDescent="0.2">
      <c r="A53">
        <f>ROW(Source!A36)</f>
        <v>36</v>
      </c>
      <c r="B53">
        <v>16481133</v>
      </c>
      <c r="C53">
        <v>16481245</v>
      </c>
      <c r="D53">
        <v>15164570</v>
      </c>
      <c r="E53">
        <v>17</v>
      </c>
      <c r="F53">
        <v>1</v>
      </c>
      <c r="G53">
        <v>1</v>
      </c>
      <c r="H53">
        <v>3</v>
      </c>
      <c r="I53" t="s">
        <v>59</v>
      </c>
      <c r="J53" t="s">
        <v>6</v>
      </c>
      <c r="K53" t="s">
        <v>60</v>
      </c>
      <c r="L53">
        <v>1348</v>
      </c>
      <c r="N53">
        <v>1009</v>
      </c>
      <c r="O53" t="s">
        <v>57</v>
      </c>
      <c r="P53" t="s">
        <v>57</v>
      </c>
      <c r="Q53">
        <v>1000</v>
      </c>
      <c r="W53">
        <v>0</v>
      </c>
      <c r="X53">
        <v>789990620</v>
      </c>
      <c r="Y53">
        <v>0.184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6</v>
      </c>
      <c r="AT53">
        <v>0.184</v>
      </c>
      <c r="AU53" t="s">
        <v>6</v>
      </c>
      <c r="AV53">
        <v>0</v>
      </c>
      <c r="AW53">
        <v>2</v>
      </c>
      <c r="AX53">
        <v>16481263</v>
      </c>
      <c r="AY53">
        <v>1</v>
      </c>
      <c r="AZ53">
        <v>0</v>
      </c>
      <c r="BA53">
        <v>50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Y53*Source!I36</f>
        <v>3.3782400000000004E-2</v>
      </c>
      <c r="CY53">
        <f t="shared" si="6"/>
        <v>0</v>
      </c>
      <c r="CZ53">
        <f t="shared" si="7"/>
        <v>0</v>
      </c>
      <c r="DA53">
        <f t="shared" si="8"/>
        <v>1</v>
      </c>
      <c r="DB53">
        <v>0</v>
      </c>
    </row>
    <row r="54" spans="1:106" x14ac:dyDescent="0.2">
      <c r="A54">
        <f>ROW(Source!A36)</f>
        <v>36</v>
      </c>
      <c r="B54">
        <v>16481133</v>
      </c>
      <c r="C54">
        <v>16481245</v>
      </c>
      <c r="D54">
        <v>15191399</v>
      </c>
      <c r="E54">
        <v>1</v>
      </c>
      <c r="F54">
        <v>1</v>
      </c>
      <c r="G54">
        <v>1</v>
      </c>
      <c r="H54">
        <v>3</v>
      </c>
      <c r="I54" t="s">
        <v>62</v>
      </c>
      <c r="J54" t="s">
        <v>64</v>
      </c>
      <c r="K54" t="s">
        <v>63</v>
      </c>
      <c r="L54">
        <v>1348</v>
      </c>
      <c r="N54">
        <v>1009</v>
      </c>
      <c r="O54" t="s">
        <v>57</v>
      </c>
      <c r="P54" t="s">
        <v>57</v>
      </c>
      <c r="Q54">
        <v>1000</v>
      </c>
      <c r="W54">
        <v>0</v>
      </c>
      <c r="X54">
        <v>-1666380182</v>
      </c>
      <c r="Y54">
        <v>0.18399799999999999</v>
      </c>
      <c r="AA54">
        <v>8715.1</v>
      </c>
      <c r="AB54">
        <v>0</v>
      </c>
      <c r="AC54">
        <v>0</v>
      </c>
      <c r="AD54">
        <v>0</v>
      </c>
      <c r="AE54">
        <v>8715.1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6</v>
      </c>
      <c r="AT54">
        <v>0.18399799999999999</v>
      </c>
      <c r="AU54" t="s">
        <v>6</v>
      </c>
      <c r="AV54">
        <v>0</v>
      </c>
      <c r="AW54">
        <v>1</v>
      </c>
      <c r="AX54">
        <v>-1</v>
      </c>
      <c r="AY54">
        <v>0</v>
      </c>
      <c r="AZ54">
        <v>0</v>
      </c>
      <c r="BA54" t="s">
        <v>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Y54*Source!I36</f>
        <v>3.37820328E-2</v>
      </c>
      <c r="CY54">
        <f t="shared" si="6"/>
        <v>8715.1</v>
      </c>
      <c r="CZ54">
        <f t="shared" si="7"/>
        <v>8715.1</v>
      </c>
      <c r="DA54">
        <f t="shared" si="8"/>
        <v>1</v>
      </c>
      <c r="DB54">
        <v>0</v>
      </c>
    </row>
    <row r="55" spans="1:106" x14ac:dyDescent="0.2">
      <c r="A55">
        <f>ROW(Source!A37)</f>
        <v>37</v>
      </c>
      <c r="B55">
        <v>16481134</v>
      </c>
      <c r="C55">
        <v>16481245</v>
      </c>
      <c r="D55">
        <v>15430767</v>
      </c>
      <c r="E55">
        <v>1</v>
      </c>
      <c r="F55">
        <v>1</v>
      </c>
      <c r="G55">
        <v>1</v>
      </c>
      <c r="H55">
        <v>1</v>
      </c>
      <c r="I55" t="s">
        <v>314</v>
      </c>
      <c r="J55" t="s">
        <v>6</v>
      </c>
      <c r="K55" t="s">
        <v>315</v>
      </c>
      <c r="L55">
        <v>1191</v>
      </c>
      <c r="N55">
        <v>1013</v>
      </c>
      <c r="O55" t="s">
        <v>280</v>
      </c>
      <c r="P55" t="s">
        <v>280</v>
      </c>
      <c r="Q55">
        <v>1</v>
      </c>
      <c r="W55">
        <v>0</v>
      </c>
      <c r="X55">
        <v>-400197608</v>
      </c>
      <c r="Y55">
        <v>41.41</v>
      </c>
      <c r="AA55">
        <v>0</v>
      </c>
      <c r="AB55">
        <v>0</v>
      </c>
      <c r="AC55">
        <v>0</v>
      </c>
      <c r="AD55">
        <v>51.09</v>
      </c>
      <c r="AE55">
        <v>0</v>
      </c>
      <c r="AF55">
        <v>0</v>
      </c>
      <c r="AG55">
        <v>0</v>
      </c>
      <c r="AH55">
        <v>8.5299999999999994</v>
      </c>
      <c r="AI55">
        <v>1</v>
      </c>
      <c r="AJ55">
        <v>1</v>
      </c>
      <c r="AK55">
        <v>1</v>
      </c>
      <c r="AL55">
        <v>5.99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41.41</v>
      </c>
      <c r="AU55" t="s">
        <v>6</v>
      </c>
      <c r="AV55">
        <v>1</v>
      </c>
      <c r="AW55">
        <v>2</v>
      </c>
      <c r="AX55">
        <v>16481256</v>
      </c>
      <c r="AY55">
        <v>1</v>
      </c>
      <c r="AZ55">
        <v>0</v>
      </c>
      <c r="BA55">
        <v>51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Y55*Source!I37</f>
        <v>7.6028760000000002</v>
      </c>
      <c r="CY55">
        <f>AD55</f>
        <v>51.09</v>
      </c>
      <c r="CZ55">
        <f>AH55</f>
        <v>8.5299999999999994</v>
      </c>
      <c r="DA55">
        <f>AL55</f>
        <v>5.99</v>
      </c>
      <c r="DB55">
        <v>0</v>
      </c>
    </row>
    <row r="56" spans="1:106" x14ac:dyDescent="0.2">
      <c r="A56">
        <f>ROW(Source!A37)</f>
        <v>37</v>
      </c>
      <c r="B56">
        <v>16481134</v>
      </c>
      <c r="C56">
        <v>16481245</v>
      </c>
      <c r="D56">
        <v>15430395</v>
      </c>
      <c r="E56">
        <v>1</v>
      </c>
      <c r="F56">
        <v>1</v>
      </c>
      <c r="G56">
        <v>1</v>
      </c>
      <c r="H56">
        <v>1</v>
      </c>
      <c r="I56" t="s">
        <v>281</v>
      </c>
      <c r="J56" t="s">
        <v>6</v>
      </c>
      <c r="K56" t="s">
        <v>282</v>
      </c>
      <c r="L56">
        <v>1191</v>
      </c>
      <c r="N56">
        <v>1013</v>
      </c>
      <c r="O56" t="s">
        <v>280</v>
      </c>
      <c r="P56" t="s">
        <v>280</v>
      </c>
      <c r="Q56">
        <v>1</v>
      </c>
      <c r="W56">
        <v>0</v>
      </c>
      <c r="X56">
        <v>-1417349443</v>
      </c>
      <c r="Y56">
        <v>0.12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5.99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0.12</v>
      </c>
      <c r="AU56" t="s">
        <v>6</v>
      </c>
      <c r="AV56">
        <v>2</v>
      </c>
      <c r="AW56">
        <v>2</v>
      </c>
      <c r="AX56">
        <v>16481257</v>
      </c>
      <c r="AY56">
        <v>1</v>
      </c>
      <c r="AZ56">
        <v>0</v>
      </c>
      <c r="BA56">
        <v>52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Y56*Source!I37</f>
        <v>2.2032E-2</v>
      </c>
      <c r="CY56">
        <f>AD56</f>
        <v>0</v>
      </c>
      <c r="CZ56">
        <f>AH56</f>
        <v>0</v>
      </c>
      <c r="DA56">
        <f>AL56</f>
        <v>1</v>
      </c>
      <c r="DB56">
        <v>0</v>
      </c>
    </row>
    <row r="57" spans="1:106" x14ac:dyDescent="0.2">
      <c r="A57">
        <f>ROW(Source!A37)</f>
        <v>37</v>
      </c>
      <c r="B57">
        <v>16481134</v>
      </c>
      <c r="C57">
        <v>16481245</v>
      </c>
      <c r="D57">
        <v>15247974</v>
      </c>
      <c r="E57">
        <v>1</v>
      </c>
      <c r="F57">
        <v>1</v>
      </c>
      <c r="G57">
        <v>1</v>
      </c>
      <c r="H57">
        <v>2</v>
      </c>
      <c r="I57" t="s">
        <v>283</v>
      </c>
      <c r="J57" t="s">
        <v>284</v>
      </c>
      <c r="K57" t="s">
        <v>285</v>
      </c>
      <c r="L57">
        <v>1368</v>
      </c>
      <c r="N57">
        <v>1011</v>
      </c>
      <c r="O57" t="s">
        <v>286</v>
      </c>
      <c r="P57" t="s">
        <v>286</v>
      </c>
      <c r="Q57">
        <v>1</v>
      </c>
      <c r="W57">
        <v>0</v>
      </c>
      <c r="X57">
        <v>1188625873</v>
      </c>
      <c r="Y57">
        <v>0.08</v>
      </c>
      <c r="AA57">
        <v>0</v>
      </c>
      <c r="AB57">
        <v>187.25</v>
      </c>
      <c r="AC57">
        <v>13.5</v>
      </c>
      <c r="AD57">
        <v>0</v>
      </c>
      <c r="AE57">
        <v>0</v>
      </c>
      <c r="AF57">
        <v>31.26</v>
      </c>
      <c r="AG57">
        <v>13.5</v>
      </c>
      <c r="AH57">
        <v>0</v>
      </c>
      <c r="AI57">
        <v>1</v>
      </c>
      <c r="AJ57">
        <v>5.99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0.08</v>
      </c>
      <c r="AU57" t="s">
        <v>6</v>
      </c>
      <c r="AV57">
        <v>0</v>
      </c>
      <c r="AW57">
        <v>2</v>
      </c>
      <c r="AX57">
        <v>16481258</v>
      </c>
      <c r="AY57">
        <v>1</v>
      </c>
      <c r="AZ57">
        <v>0</v>
      </c>
      <c r="BA57">
        <v>53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Y57*Source!I37</f>
        <v>1.4688000000000001E-2</v>
      </c>
      <c r="CY57">
        <f>AB57</f>
        <v>187.25</v>
      </c>
      <c r="CZ57">
        <f>AF57</f>
        <v>31.26</v>
      </c>
      <c r="DA57">
        <f>AJ57</f>
        <v>5.99</v>
      </c>
      <c r="DB57">
        <v>0</v>
      </c>
    </row>
    <row r="58" spans="1:106" x14ac:dyDescent="0.2">
      <c r="A58">
        <f>ROW(Source!A37)</f>
        <v>37</v>
      </c>
      <c r="B58">
        <v>16481134</v>
      </c>
      <c r="C58">
        <v>16481245</v>
      </c>
      <c r="D58">
        <v>15249073</v>
      </c>
      <c r="E58">
        <v>1</v>
      </c>
      <c r="F58">
        <v>1</v>
      </c>
      <c r="G58">
        <v>1</v>
      </c>
      <c r="H58">
        <v>2</v>
      </c>
      <c r="I58" t="s">
        <v>289</v>
      </c>
      <c r="J58" t="s">
        <v>290</v>
      </c>
      <c r="K58" t="s">
        <v>291</v>
      </c>
      <c r="L58">
        <v>1368</v>
      </c>
      <c r="N58">
        <v>1011</v>
      </c>
      <c r="O58" t="s">
        <v>286</v>
      </c>
      <c r="P58" t="s">
        <v>286</v>
      </c>
      <c r="Q58">
        <v>1</v>
      </c>
      <c r="W58">
        <v>0</v>
      </c>
      <c r="X58">
        <v>1372534845</v>
      </c>
      <c r="Y58">
        <v>0.04</v>
      </c>
      <c r="AA58">
        <v>0</v>
      </c>
      <c r="AB58">
        <v>393.6</v>
      </c>
      <c r="AC58">
        <v>11.6</v>
      </c>
      <c r="AD58">
        <v>0</v>
      </c>
      <c r="AE58">
        <v>0</v>
      </c>
      <c r="AF58">
        <v>65.709999999999994</v>
      </c>
      <c r="AG58">
        <v>11.6</v>
      </c>
      <c r="AH58">
        <v>0</v>
      </c>
      <c r="AI58">
        <v>1</v>
      </c>
      <c r="AJ58">
        <v>5.99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0.04</v>
      </c>
      <c r="AU58" t="s">
        <v>6</v>
      </c>
      <c r="AV58">
        <v>0</v>
      </c>
      <c r="AW58">
        <v>2</v>
      </c>
      <c r="AX58">
        <v>16481259</v>
      </c>
      <c r="AY58">
        <v>1</v>
      </c>
      <c r="AZ58">
        <v>0</v>
      </c>
      <c r="BA58">
        <v>54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Y58*Source!I37</f>
        <v>7.3440000000000007E-3</v>
      </c>
      <c r="CY58">
        <f>AB58</f>
        <v>393.6</v>
      </c>
      <c r="CZ58">
        <f>AF58</f>
        <v>65.709999999999994</v>
      </c>
      <c r="DA58">
        <f>AJ58</f>
        <v>5.99</v>
      </c>
      <c r="DB58">
        <v>0</v>
      </c>
    </row>
    <row r="59" spans="1:106" x14ac:dyDescent="0.2">
      <c r="A59">
        <f>ROW(Source!A37)</f>
        <v>37</v>
      </c>
      <c r="B59">
        <v>16481134</v>
      </c>
      <c r="C59">
        <v>16481245</v>
      </c>
      <c r="D59">
        <v>15164566</v>
      </c>
      <c r="E59">
        <v>17</v>
      </c>
      <c r="F59">
        <v>1</v>
      </c>
      <c r="G59">
        <v>1</v>
      </c>
      <c r="H59">
        <v>3</v>
      </c>
      <c r="I59" t="s">
        <v>55</v>
      </c>
      <c r="J59" t="s">
        <v>6</v>
      </c>
      <c r="K59" t="s">
        <v>56</v>
      </c>
      <c r="L59">
        <v>1348</v>
      </c>
      <c r="N59">
        <v>1009</v>
      </c>
      <c r="O59" t="s">
        <v>57</v>
      </c>
      <c r="P59" t="s">
        <v>57</v>
      </c>
      <c r="Q59">
        <v>1000</v>
      </c>
      <c r="W59">
        <v>0</v>
      </c>
      <c r="X59">
        <v>-179832266</v>
      </c>
      <c r="Y59">
        <v>0.224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5.99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6</v>
      </c>
      <c r="AT59">
        <v>0.224</v>
      </c>
      <c r="AU59" t="s">
        <v>6</v>
      </c>
      <c r="AV59">
        <v>0</v>
      </c>
      <c r="AW59">
        <v>2</v>
      </c>
      <c r="AX59">
        <v>16481260</v>
      </c>
      <c r="AY59">
        <v>1</v>
      </c>
      <c r="AZ59">
        <v>0</v>
      </c>
      <c r="BA59">
        <v>55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Y59*Source!I37</f>
        <v>4.11264E-2</v>
      </c>
      <c r="CY59">
        <f t="shared" ref="CY59:CY64" si="9">AA59</f>
        <v>0</v>
      </c>
      <c r="CZ59">
        <f t="shared" ref="CZ59:CZ64" si="10">AE59</f>
        <v>0</v>
      </c>
      <c r="DA59">
        <f t="shared" ref="DA59:DA64" si="11">AI59</f>
        <v>5.99</v>
      </c>
      <c r="DB59">
        <v>0</v>
      </c>
    </row>
    <row r="60" spans="1:106" x14ac:dyDescent="0.2">
      <c r="A60">
        <f>ROW(Source!A37)</f>
        <v>37</v>
      </c>
      <c r="B60">
        <v>16481134</v>
      </c>
      <c r="C60">
        <v>16481245</v>
      </c>
      <c r="D60">
        <v>15170039</v>
      </c>
      <c r="E60">
        <v>1</v>
      </c>
      <c r="F60">
        <v>1</v>
      </c>
      <c r="G60">
        <v>1</v>
      </c>
      <c r="H60">
        <v>3</v>
      </c>
      <c r="I60" t="s">
        <v>316</v>
      </c>
      <c r="J60" t="s">
        <v>317</v>
      </c>
      <c r="K60" t="s">
        <v>318</v>
      </c>
      <c r="L60">
        <v>1348</v>
      </c>
      <c r="N60">
        <v>1009</v>
      </c>
      <c r="O60" t="s">
        <v>57</v>
      </c>
      <c r="P60" t="s">
        <v>57</v>
      </c>
      <c r="Q60">
        <v>1000</v>
      </c>
      <c r="W60">
        <v>0</v>
      </c>
      <c r="X60">
        <v>1174701286</v>
      </c>
      <c r="Y60">
        <v>4.0000000000000001E-3</v>
      </c>
      <c r="AA60">
        <v>71748.22</v>
      </c>
      <c r="AB60">
        <v>0</v>
      </c>
      <c r="AC60">
        <v>0</v>
      </c>
      <c r="AD60">
        <v>0</v>
      </c>
      <c r="AE60">
        <v>11978</v>
      </c>
      <c r="AF60">
        <v>0</v>
      </c>
      <c r="AG60">
        <v>0</v>
      </c>
      <c r="AH60">
        <v>0</v>
      </c>
      <c r="AI60">
        <v>5.99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4.0000000000000001E-3</v>
      </c>
      <c r="AU60" t="s">
        <v>6</v>
      </c>
      <c r="AV60">
        <v>0</v>
      </c>
      <c r="AW60">
        <v>2</v>
      </c>
      <c r="AX60">
        <v>16481261</v>
      </c>
      <c r="AY60">
        <v>1</v>
      </c>
      <c r="AZ60">
        <v>0</v>
      </c>
      <c r="BA60">
        <v>56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Y60*Source!I37</f>
        <v>7.3440000000000007E-4</v>
      </c>
      <c r="CY60">
        <f t="shared" si="9"/>
        <v>71748.22</v>
      </c>
      <c r="CZ60">
        <f t="shared" si="10"/>
        <v>11978</v>
      </c>
      <c r="DA60">
        <f t="shared" si="11"/>
        <v>5.99</v>
      </c>
      <c r="DB60">
        <v>0</v>
      </c>
    </row>
    <row r="61" spans="1:106" x14ac:dyDescent="0.2">
      <c r="A61">
        <f>ROW(Source!A37)</f>
        <v>37</v>
      </c>
      <c r="B61">
        <v>16481134</v>
      </c>
      <c r="C61">
        <v>16481245</v>
      </c>
      <c r="D61">
        <v>15189640</v>
      </c>
      <c r="E61">
        <v>1</v>
      </c>
      <c r="F61">
        <v>1</v>
      </c>
      <c r="G61">
        <v>1</v>
      </c>
      <c r="H61">
        <v>3</v>
      </c>
      <c r="I61" t="s">
        <v>66</v>
      </c>
      <c r="J61" t="s">
        <v>69</v>
      </c>
      <c r="K61" t="s">
        <v>67</v>
      </c>
      <c r="L61">
        <v>2233</v>
      </c>
      <c r="N61">
        <v>1013</v>
      </c>
      <c r="O61" t="s">
        <v>68</v>
      </c>
      <c r="P61" t="s">
        <v>68</v>
      </c>
      <c r="Q61">
        <v>1</v>
      </c>
      <c r="W61">
        <v>0</v>
      </c>
      <c r="X61">
        <v>977476121</v>
      </c>
      <c r="Y61">
        <v>100</v>
      </c>
      <c r="AA61">
        <v>158.19999999999999</v>
      </c>
      <c r="AB61">
        <v>0</v>
      </c>
      <c r="AC61">
        <v>0</v>
      </c>
      <c r="AD61">
        <v>0</v>
      </c>
      <c r="AE61">
        <v>26.41</v>
      </c>
      <c r="AF61">
        <v>0</v>
      </c>
      <c r="AG61">
        <v>0</v>
      </c>
      <c r="AH61">
        <v>0</v>
      </c>
      <c r="AI61">
        <v>5.99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6</v>
      </c>
      <c r="AT61">
        <v>100</v>
      </c>
      <c r="AU61" t="s">
        <v>6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Y61*Source!I37</f>
        <v>18.360000000000003</v>
      </c>
      <c r="CY61">
        <f t="shared" si="9"/>
        <v>158.19999999999999</v>
      </c>
      <c r="CZ61">
        <f t="shared" si="10"/>
        <v>26.41</v>
      </c>
      <c r="DA61">
        <f t="shared" si="11"/>
        <v>5.99</v>
      </c>
      <c r="DB61">
        <v>0</v>
      </c>
    </row>
    <row r="62" spans="1:106" x14ac:dyDescent="0.2">
      <c r="A62">
        <f>ROW(Source!A37)</f>
        <v>37</v>
      </c>
      <c r="B62">
        <v>16481134</v>
      </c>
      <c r="C62">
        <v>16481245</v>
      </c>
      <c r="D62">
        <v>15191139</v>
      </c>
      <c r="E62">
        <v>1</v>
      </c>
      <c r="F62">
        <v>1</v>
      </c>
      <c r="G62">
        <v>1</v>
      </c>
      <c r="H62">
        <v>3</v>
      </c>
      <c r="I62" t="s">
        <v>319</v>
      </c>
      <c r="J62" t="s">
        <v>320</v>
      </c>
      <c r="K62" t="s">
        <v>321</v>
      </c>
      <c r="L62">
        <v>1348</v>
      </c>
      <c r="N62">
        <v>1009</v>
      </c>
      <c r="O62" t="s">
        <v>57</v>
      </c>
      <c r="P62" t="s">
        <v>57</v>
      </c>
      <c r="Q62">
        <v>1000</v>
      </c>
      <c r="W62">
        <v>0</v>
      </c>
      <c r="X62">
        <v>-740471490</v>
      </c>
      <c r="Y62">
        <v>6.0000000000000001E-3</v>
      </c>
      <c r="AA62">
        <v>48057.77</v>
      </c>
      <c r="AB62">
        <v>0</v>
      </c>
      <c r="AC62">
        <v>0</v>
      </c>
      <c r="AD62">
        <v>0</v>
      </c>
      <c r="AE62">
        <v>8023</v>
      </c>
      <c r="AF62">
        <v>0</v>
      </c>
      <c r="AG62">
        <v>0</v>
      </c>
      <c r="AH62">
        <v>0</v>
      </c>
      <c r="AI62">
        <v>5.99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6.0000000000000001E-3</v>
      </c>
      <c r="AU62" t="s">
        <v>6</v>
      </c>
      <c r="AV62">
        <v>0</v>
      </c>
      <c r="AW62">
        <v>2</v>
      </c>
      <c r="AX62">
        <v>16481262</v>
      </c>
      <c r="AY62">
        <v>1</v>
      </c>
      <c r="AZ62">
        <v>0</v>
      </c>
      <c r="BA62">
        <v>57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Y62*Source!I37</f>
        <v>1.1016000000000001E-3</v>
      </c>
      <c r="CY62">
        <f t="shared" si="9"/>
        <v>48057.77</v>
      </c>
      <c r="CZ62">
        <f t="shared" si="10"/>
        <v>8023</v>
      </c>
      <c r="DA62">
        <f t="shared" si="11"/>
        <v>5.99</v>
      </c>
      <c r="DB62">
        <v>0</v>
      </c>
    </row>
    <row r="63" spans="1:106" x14ac:dyDescent="0.2">
      <c r="A63">
        <f>ROW(Source!A37)</f>
        <v>37</v>
      </c>
      <c r="B63">
        <v>16481134</v>
      </c>
      <c r="C63">
        <v>16481245</v>
      </c>
      <c r="D63">
        <v>15164570</v>
      </c>
      <c r="E63">
        <v>17</v>
      </c>
      <c r="F63">
        <v>1</v>
      </c>
      <c r="G63">
        <v>1</v>
      </c>
      <c r="H63">
        <v>3</v>
      </c>
      <c r="I63" t="s">
        <v>59</v>
      </c>
      <c r="J63" t="s">
        <v>6</v>
      </c>
      <c r="K63" t="s">
        <v>60</v>
      </c>
      <c r="L63">
        <v>1348</v>
      </c>
      <c r="N63">
        <v>1009</v>
      </c>
      <c r="O63" t="s">
        <v>57</v>
      </c>
      <c r="P63" t="s">
        <v>57</v>
      </c>
      <c r="Q63">
        <v>1000</v>
      </c>
      <c r="W63">
        <v>0</v>
      </c>
      <c r="X63">
        <v>789990620</v>
      </c>
      <c r="Y63">
        <v>0.184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5.99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6</v>
      </c>
      <c r="AT63">
        <v>0.184</v>
      </c>
      <c r="AU63" t="s">
        <v>6</v>
      </c>
      <c r="AV63">
        <v>0</v>
      </c>
      <c r="AW63">
        <v>2</v>
      </c>
      <c r="AX63">
        <v>16481263</v>
      </c>
      <c r="AY63">
        <v>1</v>
      </c>
      <c r="AZ63">
        <v>0</v>
      </c>
      <c r="BA63">
        <v>58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Y63*Source!I37</f>
        <v>3.3782400000000004E-2</v>
      </c>
      <c r="CY63">
        <f t="shared" si="9"/>
        <v>0</v>
      </c>
      <c r="CZ63">
        <f t="shared" si="10"/>
        <v>0</v>
      </c>
      <c r="DA63">
        <f t="shared" si="11"/>
        <v>5.99</v>
      </c>
      <c r="DB63">
        <v>0</v>
      </c>
    </row>
    <row r="64" spans="1:106" x14ac:dyDescent="0.2">
      <c r="A64">
        <f>ROW(Source!A37)</f>
        <v>37</v>
      </c>
      <c r="B64">
        <v>16481134</v>
      </c>
      <c r="C64">
        <v>16481245</v>
      </c>
      <c r="D64">
        <v>15191399</v>
      </c>
      <c r="E64">
        <v>1</v>
      </c>
      <c r="F64">
        <v>1</v>
      </c>
      <c r="G64">
        <v>1</v>
      </c>
      <c r="H64">
        <v>3</v>
      </c>
      <c r="I64" t="s">
        <v>62</v>
      </c>
      <c r="J64" t="s">
        <v>64</v>
      </c>
      <c r="K64" t="s">
        <v>63</v>
      </c>
      <c r="L64">
        <v>1348</v>
      </c>
      <c r="N64">
        <v>1009</v>
      </c>
      <c r="O64" t="s">
        <v>57</v>
      </c>
      <c r="P64" t="s">
        <v>57</v>
      </c>
      <c r="Q64">
        <v>1000</v>
      </c>
      <c r="W64">
        <v>0</v>
      </c>
      <c r="X64">
        <v>-1666380182</v>
      </c>
      <c r="Y64">
        <v>0.18399799999999999</v>
      </c>
      <c r="AA64">
        <v>52203.45</v>
      </c>
      <c r="AB64">
        <v>0</v>
      </c>
      <c r="AC64">
        <v>0</v>
      </c>
      <c r="AD64">
        <v>0</v>
      </c>
      <c r="AE64">
        <v>8715.1</v>
      </c>
      <c r="AF64">
        <v>0</v>
      </c>
      <c r="AG64">
        <v>0</v>
      </c>
      <c r="AH64">
        <v>0</v>
      </c>
      <c r="AI64">
        <v>5.99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</v>
      </c>
      <c r="AT64">
        <v>0.18399799999999999</v>
      </c>
      <c r="AU64" t="s">
        <v>6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Y64*Source!I37</f>
        <v>3.37820328E-2</v>
      </c>
      <c r="CY64">
        <f t="shared" si="9"/>
        <v>52203.45</v>
      </c>
      <c r="CZ64">
        <f t="shared" si="10"/>
        <v>8715.1</v>
      </c>
      <c r="DA64">
        <f t="shared" si="11"/>
        <v>5.99</v>
      </c>
      <c r="DB64">
        <v>0</v>
      </c>
    </row>
    <row r="65" spans="1:106" x14ac:dyDescent="0.2">
      <c r="A65">
        <f>ROW(Source!A46)</f>
        <v>46</v>
      </c>
      <c r="B65">
        <v>16481133</v>
      </c>
      <c r="C65">
        <v>16481268</v>
      </c>
      <c r="D65">
        <v>15438286</v>
      </c>
      <c r="E65">
        <v>1</v>
      </c>
      <c r="F65">
        <v>1</v>
      </c>
      <c r="G65">
        <v>1</v>
      </c>
      <c r="H65">
        <v>1</v>
      </c>
      <c r="I65" t="s">
        <v>322</v>
      </c>
      <c r="J65" t="s">
        <v>6</v>
      </c>
      <c r="K65" t="s">
        <v>323</v>
      </c>
      <c r="L65">
        <v>1191</v>
      </c>
      <c r="N65">
        <v>1013</v>
      </c>
      <c r="O65" t="s">
        <v>280</v>
      </c>
      <c r="P65" t="s">
        <v>280</v>
      </c>
      <c r="Q65">
        <v>1</v>
      </c>
      <c r="W65">
        <v>0</v>
      </c>
      <c r="X65">
        <v>-1027537862</v>
      </c>
      <c r="Y65">
        <v>166.47</v>
      </c>
      <c r="AA65">
        <v>0</v>
      </c>
      <c r="AB65">
        <v>0</v>
      </c>
      <c r="AC65">
        <v>0</v>
      </c>
      <c r="AD65">
        <v>9.18</v>
      </c>
      <c r="AE65">
        <v>0</v>
      </c>
      <c r="AF65">
        <v>0</v>
      </c>
      <c r="AG65">
        <v>0</v>
      </c>
      <c r="AH65">
        <v>9.18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166.47</v>
      </c>
      <c r="AU65" t="s">
        <v>6</v>
      </c>
      <c r="AV65">
        <v>1</v>
      </c>
      <c r="AW65">
        <v>2</v>
      </c>
      <c r="AX65">
        <v>16481280</v>
      </c>
      <c r="AY65">
        <v>1</v>
      </c>
      <c r="AZ65">
        <v>0</v>
      </c>
      <c r="BA65">
        <v>59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22.406862</v>
      </c>
      <c r="CY65">
        <f>AD65</f>
        <v>9.18</v>
      </c>
      <c r="CZ65">
        <f>AH65</f>
        <v>9.18</v>
      </c>
      <c r="DA65">
        <f>AL65</f>
        <v>1</v>
      </c>
      <c r="DB65">
        <v>0</v>
      </c>
    </row>
    <row r="66" spans="1:106" x14ac:dyDescent="0.2">
      <c r="A66">
        <f>ROW(Source!A46)</f>
        <v>46</v>
      </c>
      <c r="B66">
        <v>16481133</v>
      </c>
      <c r="C66">
        <v>16481268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281</v>
      </c>
      <c r="J66" t="s">
        <v>6</v>
      </c>
      <c r="K66" t="s">
        <v>282</v>
      </c>
      <c r="L66">
        <v>1191</v>
      </c>
      <c r="N66">
        <v>1013</v>
      </c>
      <c r="O66" t="s">
        <v>280</v>
      </c>
      <c r="P66" t="s">
        <v>280</v>
      </c>
      <c r="Q66">
        <v>1</v>
      </c>
      <c r="W66">
        <v>0</v>
      </c>
      <c r="X66">
        <v>-1417349443</v>
      </c>
      <c r="Y66">
        <v>0.57999999999999996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0.57999999999999996</v>
      </c>
      <c r="AU66" t="s">
        <v>6</v>
      </c>
      <c r="AV66">
        <v>2</v>
      </c>
      <c r="AW66">
        <v>2</v>
      </c>
      <c r="AX66">
        <v>16481281</v>
      </c>
      <c r="AY66">
        <v>1</v>
      </c>
      <c r="AZ66">
        <v>0</v>
      </c>
      <c r="BA66">
        <v>60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Y66*Source!I46</f>
        <v>7.8067999999999999E-2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ROW(Source!A46)</f>
        <v>46</v>
      </c>
      <c r="B67">
        <v>16481133</v>
      </c>
      <c r="C67">
        <v>16481268</v>
      </c>
      <c r="D67">
        <v>15247974</v>
      </c>
      <c r="E67">
        <v>1</v>
      </c>
      <c r="F67">
        <v>1</v>
      </c>
      <c r="G67">
        <v>1</v>
      </c>
      <c r="H67">
        <v>2</v>
      </c>
      <c r="I67" t="s">
        <v>283</v>
      </c>
      <c r="J67" t="s">
        <v>284</v>
      </c>
      <c r="K67" t="s">
        <v>285</v>
      </c>
      <c r="L67">
        <v>1368</v>
      </c>
      <c r="N67">
        <v>1011</v>
      </c>
      <c r="O67" t="s">
        <v>286</v>
      </c>
      <c r="P67" t="s">
        <v>286</v>
      </c>
      <c r="Q67">
        <v>1</v>
      </c>
      <c r="W67">
        <v>0</v>
      </c>
      <c r="X67">
        <v>1188625873</v>
      </c>
      <c r="Y67">
        <v>0.08</v>
      </c>
      <c r="AA67">
        <v>0</v>
      </c>
      <c r="AB67">
        <v>31.26</v>
      </c>
      <c r="AC67">
        <v>13.5</v>
      </c>
      <c r="AD67">
        <v>0</v>
      </c>
      <c r="AE67">
        <v>0</v>
      </c>
      <c r="AF67">
        <v>31.26</v>
      </c>
      <c r="AG67">
        <v>13.5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0.08</v>
      </c>
      <c r="AU67" t="s">
        <v>6</v>
      </c>
      <c r="AV67">
        <v>0</v>
      </c>
      <c r="AW67">
        <v>2</v>
      </c>
      <c r="AX67">
        <v>16481282</v>
      </c>
      <c r="AY67">
        <v>1</v>
      </c>
      <c r="AZ67">
        <v>0</v>
      </c>
      <c r="BA67">
        <v>61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Y67*Source!I46</f>
        <v>1.0768E-2</v>
      </c>
      <c r="CY67">
        <f>AB67</f>
        <v>31.26</v>
      </c>
      <c r="CZ67">
        <f>AF67</f>
        <v>31.26</v>
      </c>
      <c r="DA67">
        <f>AJ67</f>
        <v>1</v>
      </c>
      <c r="DB67">
        <v>0</v>
      </c>
    </row>
    <row r="68" spans="1:106" x14ac:dyDescent="0.2">
      <c r="A68">
        <f>ROW(Source!A46)</f>
        <v>46</v>
      </c>
      <c r="B68">
        <v>16481133</v>
      </c>
      <c r="C68">
        <v>16481268</v>
      </c>
      <c r="D68">
        <v>15249073</v>
      </c>
      <c r="E68">
        <v>1</v>
      </c>
      <c r="F68">
        <v>1</v>
      </c>
      <c r="G68">
        <v>1</v>
      </c>
      <c r="H68">
        <v>2</v>
      </c>
      <c r="I68" t="s">
        <v>289</v>
      </c>
      <c r="J68" t="s">
        <v>290</v>
      </c>
      <c r="K68" t="s">
        <v>291</v>
      </c>
      <c r="L68">
        <v>1368</v>
      </c>
      <c r="N68">
        <v>1011</v>
      </c>
      <c r="O68" t="s">
        <v>286</v>
      </c>
      <c r="P68" t="s">
        <v>286</v>
      </c>
      <c r="Q68">
        <v>1</v>
      </c>
      <c r="W68">
        <v>0</v>
      </c>
      <c r="X68">
        <v>1372534845</v>
      </c>
      <c r="Y68">
        <v>0.5</v>
      </c>
      <c r="AA68">
        <v>0</v>
      </c>
      <c r="AB68">
        <v>65.709999999999994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0.5</v>
      </c>
      <c r="AU68" t="s">
        <v>6</v>
      </c>
      <c r="AV68">
        <v>0</v>
      </c>
      <c r="AW68">
        <v>2</v>
      </c>
      <c r="AX68">
        <v>16481283</v>
      </c>
      <c r="AY68">
        <v>1</v>
      </c>
      <c r="AZ68">
        <v>0</v>
      </c>
      <c r="BA68">
        <v>62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Y68*Source!I46</f>
        <v>6.7299999999999999E-2</v>
      </c>
      <c r="CY68">
        <f>AB68</f>
        <v>65.709999999999994</v>
      </c>
      <c r="CZ68">
        <f>AF68</f>
        <v>65.709999999999994</v>
      </c>
      <c r="DA68">
        <f>AJ68</f>
        <v>1</v>
      </c>
      <c r="DB68">
        <v>0</v>
      </c>
    </row>
    <row r="69" spans="1:106" x14ac:dyDescent="0.2">
      <c r="A69">
        <f>ROW(Source!A46)</f>
        <v>46</v>
      </c>
      <c r="B69">
        <v>16481133</v>
      </c>
      <c r="C69">
        <v>16481268</v>
      </c>
      <c r="D69">
        <v>15162966</v>
      </c>
      <c r="E69">
        <v>17</v>
      </c>
      <c r="F69">
        <v>1</v>
      </c>
      <c r="G69">
        <v>1</v>
      </c>
      <c r="H69">
        <v>3</v>
      </c>
      <c r="I69" t="s">
        <v>77</v>
      </c>
      <c r="J69" t="s">
        <v>6</v>
      </c>
      <c r="K69" t="s">
        <v>78</v>
      </c>
      <c r="L69">
        <v>1327</v>
      </c>
      <c r="N69">
        <v>1005</v>
      </c>
      <c r="O69" t="s">
        <v>32</v>
      </c>
      <c r="P69" t="s">
        <v>32</v>
      </c>
      <c r="Q69">
        <v>1</v>
      </c>
      <c r="W69">
        <v>0</v>
      </c>
      <c r="X69">
        <v>-112006704</v>
      </c>
      <c r="Y69">
        <v>105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6</v>
      </c>
      <c r="AT69">
        <v>105</v>
      </c>
      <c r="AU69" t="s">
        <v>6</v>
      </c>
      <c r="AV69">
        <v>0</v>
      </c>
      <c r="AW69">
        <v>2</v>
      </c>
      <c r="AX69">
        <v>16481284</v>
      </c>
      <c r="AY69">
        <v>1</v>
      </c>
      <c r="AZ69">
        <v>0</v>
      </c>
      <c r="BA69">
        <v>63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Y69*Source!I46</f>
        <v>14.132999999999999</v>
      </c>
      <c r="CY69">
        <f t="shared" ref="CY69:CY75" si="12">AA69</f>
        <v>0</v>
      </c>
      <c r="CZ69">
        <f t="shared" ref="CZ69:CZ75" si="13">AE69</f>
        <v>0</v>
      </c>
      <c r="DA69">
        <f t="shared" ref="DA69:DA75" si="14">AI69</f>
        <v>1</v>
      </c>
      <c r="DB69">
        <v>0</v>
      </c>
    </row>
    <row r="70" spans="1:106" x14ac:dyDescent="0.2">
      <c r="A70">
        <f>ROW(Source!A46)</f>
        <v>46</v>
      </c>
      <c r="B70">
        <v>16481133</v>
      </c>
      <c r="C70">
        <v>16481268</v>
      </c>
      <c r="D70">
        <v>15171018</v>
      </c>
      <c r="E70">
        <v>1</v>
      </c>
      <c r="F70">
        <v>1</v>
      </c>
      <c r="G70">
        <v>1</v>
      </c>
      <c r="H70">
        <v>3</v>
      </c>
      <c r="I70" t="s">
        <v>324</v>
      </c>
      <c r="J70" t="s">
        <v>325</v>
      </c>
      <c r="K70" t="s">
        <v>326</v>
      </c>
      <c r="L70">
        <v>1346</v>
      </c>
      <c r="N70">
        <v>1009</v>
      </c>
      <c r="O70" t="s">
        <v>86</v>
      </c>
      <c r="P70" t="s">
        <v>86</v>
      </c>
      <c r="Q70">
        <v>1</v>
      </c>
      <c r="W70">
        <v>0</v>
      </c>
      <c r="X70">
        <v>813963326</v>
      </c>
      <c r="Y70">
        <v>0.2</v>
      </c>
      <c r="AA70">
        <v>1.82</v>
      </c>
      <c r="AB70">
        <v>0</v>
      </c>
      <c r="AC70">
        <v>0</v>
      </c>
      <c r="AD70">
        <v>0</v>
      </c>
      <c r="AE70">
        <v>1.82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0.2</v>
      </c>
      <c r="AU70" t="s">
        <v>6</v>
      </c>
      <c r="AV70">
        <v>0</v>
      </c>
      <c r="AW70">
        <v>2</v>
      </c>
      <c r="AX70">
        <v>16481285</v>
      </c>
      <c r="AY70">
        <v>1</v>
      </c>
      <c r="AZ70">
        <v>0</v>
      </c>
      <c r="BA70">
        <v>64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Y70*Source!I46</f>
        <v>2.6919999999999999E-2</v>
      </c>
      <c r="CY70">
        <f t="shared" si="12"/>
        <v>1.82</v>
      </c>
      <c r="CZ70">
        <f t="shared" si="13"/>
        <v>1.82</v>
      </c>
      <c r="DA70">
        <f t="shared" si="14"/>
        <v>1</v>
      </c>
      <c r="DB70">
        <v>0</v>
      </c>
    </row>
    <row r="71" spans="1:106" x14ac:dyDescent="0.2">
      <c r="A71">
        <f>ROW(Source!A46)</f>
        <v>46</v>
      </c>
      <c r="B71">
        <v>16481133</v>
      </c>
      <c r="C71">
        <v>16481268</v>
      </c>
      <c r="D71">
        <v>15197671</v>
      </c>
      <c r="E71">
        <v>1</v>
      </c>
      <c r="F71">
        <v>1</v>
      </c>
      <c r="G71">
        <v>1</v>
      </c>
      <c r="H71">
        <v>3</v>
      </c>
      <c r="I71" t="s">
        <v>80</v>
      </c>
      <c r="J71" t="s">
        <v>82</v>
      </c>
      <c r="K71" t="s">
        <v>81</v>
      </c>
      <c r="L71">
        <v>1327</v>
      </c>
      <c r="N71">
        <v>1005</v>
      </c>
      <c r="O71" t="s">
        <v>32</v>
      </c>
      <c r="P71" t="s">
        <v>32</v>
      </c>
      <c r="Q71">
        <v>1</v>
      </c>
      <c r="W71">
        <v>0</v>
      </c>
      <c r="X71">
        <v>-956992290</v>
      </c>
      <c r="Y71">
        <v>105</v>
      </c>
      <c r="AA71">
        <v>34.380000000000003</v>
      </c>
      <c r="AB71">
        <v>0</v>
      </c>
      <c r="AC71">
        <v>0</v>
      </c>
      <c r="AD71">
        <v>0</v>
      </c>
      <c r="AE71">
        <v>34.380000000000003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6</v>
      </c>
      <c r="AT71">
        <v>105</v>
      </c>
      <c r="AU71" t="s">
        <v>6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6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Y71*Source!I46</f>
        <v>14.132999999999999</v>
      </c>
      <c r="CY71">
        <f t="shared" si="12"/>
        <v>34.380000000000003</v>
      </c>
      <c r="CZ71">
        <f t="shared" si="13"/>
        <v>34.380000000000003</v>
      </c>
      <c r="DA71">
        <f t="shared" si="14"/>
        <v>1</v>
      </c>
      <c r="DB71">
        <v>0</v>
      </c>
    </row>
    <row r="72" spans="1:106" x14ac:dyDescent="0.2">
      <c r="A72">
        <f>ROW(Source!A46)</f>
        <v>46</v>
      </c>
      <c r="B72">
        <v>16481133</v>
      </c>
      <c r="C72">
        <v>16481268</v>
      </c>
      <c r="D72">
        <v>15202457</v>
      </c>
      <c r="E72">
        <v>1</v>
      </c>
      <c r="F72">
        <v>1</v>
      </c>
      <c r="G72">
        <v>1</v>
      </c>
      <c r="H72">
        <v>3</v>
      </c>
      <c r="I72" t="s">
        <v>88</v>
      </c>
      <c r="J72" t="s">
        <v>90</v>
      </c>
      <c r="K72" t="s">
        <v>89</v>
      </c>
      <c r="L72">
        <v>1346</v>
      </c>
      <c r="N72">
        <v>1009</v>
      </c>
      <c r="O72" t="s">
        <v>86</v>
      </c>
      <c r="P72" t="s">
        <v>86</v>
      </c>
      <c r="Q72">
        <v>1</v>
      </c>
      <c r="W72">
        <v>0</v>
      </c>
      <c r="X72">
        <v>1104462431</v>
      </c>
      <c r="Y72">
        <v>30</v>
      </c>
      <c r="AA72">
        <v>15.9</v>
      </c>
      <c r="AB72">
        <v>0</v>
      </c>
      <c r="AC72">
        <v>0</v>
      </c>
      <c r="AD72">
        <v>0</v>
      </c>
      <c r="AE72">
        <v>15.9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</v>
      </c>
      <c r="AT72">
        <v>30</v>
      </c>
      <c r="AU72" t="s">
        <v>6</v>
      </c>
      <c r="AV72">
        <v>0</v>
      </c>
      <c r="AW72">
        <v>1</v>
      </c>
      <c r="AX72">
        <v>-1</v>
      </c>
      <c r="AY72">
        <v>0</v>
      </c>
      <c r="AZ72">
        <v>0</v>
      </c>
      <c r="BA72" t="s">
        <v>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Y72*Source!I46</f>
        <v>4.0380000000000003</v>
      </c>
      <c r="CY72">
        <f t="shared" si="12"/>
        <v>15.9</v>
      </c>
      <c r="CZ72">
        <f t="shared" si="13"/>
        <v>15.9</v>
      </c>
      <c r="DA72">
        <f t="shared" si="14"/>
        <v>1</v>
      </c>
      <c r="DB72">
        <v>0</v>
      </c>
    </row>
    <row r="73" spans="1:106" x14ac:dyDescent="0.2">
      <c r="A73">
        <f>ROW(Source!A46)</f>
        <v>46</v>
      </c>
      <c r="B73">
        <v>16481133</v>
      </c>
      <c r="C73">
        <v>16481268</v>
      </c>
      <c r="D73">
        <v>15162257</v>
      </c>
      <c r="E73">
        <v>17</v>
      </c>
      <c r="F73">
        <v>1</v>
      </c>
      <c r="G73">
        <v>1</v>
      </c>
      <c r="H73">
        <v>3</v>
      </c>
      <c r="I73" t="s">
        <v>84</v>
      </c>
      <c r="J73" t="s">
        <v>6</v>
      </c>
      <c r="K73" t="s">
        <v>85</v>
      </c>
      <c r="L73">
        <v>1346</v>
      </c>
      <c r="N73">
        <v>1009</v>
      </c>
      <c r="O73" t="s">
        <v>86</v>
      </c>
      <c r="P73" t="s">
        <v>86</v>
      </c>
      <c r="Q73">
        <v>1</v>
      </c>
      <c r="W73">
        <v>0</v>
      </c>
      <c r="X73">
        <v>-1516100259</v>
      </c>
      <c r="Y73">
        <v>30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6</v>
      </c>
      <c r="AT73">
        <v>30</v>
      </c>
      <c r="AU73" t="s">
        <v>6</v>
      </c>
      <c r="AV73">
        <v>0</v>
      </c>
      <c r="AW73">
        <v>2</v>
      </c>
      <c r="AX73">
        <v>16481286</v>
      </c>
      <c r="AY73">
        <v>1</v>
      </c>
      <c r="AZ73">
        <v>0</v>
      </c>
      <c r="BA73">
        <v>65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Y73*Source!I46</f>
        <v>4.0380000000000003</v>
      </c>
      <c r="CY73">
        <f t="shared" si="12"/>
        <v>0</v>
      </c>
      <c r="CZ73">
        <f t="shared" si="13"/>
        <v>0</v>
      </c>
      <c r="DA73">
        <f t="shared" si="14"/>
        <v>1</v>
      </c>
      <c r="DB73">
        <v>0</v>
      </c>
    </row>
    <row r="74" spans="1:106" x14ac:dyDescent="0.2">
      <c r="A74">
        <f>ROW(Source!A46)</f>
        <v>46</v>
      </c>
      <c r="B74">
        <v>16481133</v>
      </c>
      <c r="C74">
        <v>16481268</v>
      </c>
      <c r="D74">
        <v>15203211</v>
      </c>
      <c r="E74">
        <v>1</v>
      </c>
      <c r="F74">
        <v>1</v>
      </c>
      <c r="G74">
        <v>1</v>
      </c>
      <c r="H74">
        <v>3</v>
      </c>
      <c r="I74" t="s">
        <v>92</v>
      </c>
      <c r="J74" t="s">
        <v>94</v>
      </c>
      <c r="K74" t="s">
        <v>93</v>
      </c>
      <c r="L74">
        <v>1346</v>
      </c>
      <c r="N74">
        <v>1009</v>
      </c>
      <c r="O74" t="s">
        <v>86</v>
      </c>
      <c r="P74" t="s">
        <v>86</v>
      </c>
      <c r="Q74">
        <v>1</v>
      </c>
      <c r="W74">
        <v>0</v>
      </c>
      <c r="X74">
        <v>1453462043</v>
      </c>
      <c r="Y74">
        <v>8.9001889999999992</v>
      </c>
      <c r="AA74">
        <v>15.09</v>
      </c>
      <c r="AB74">
        <v>0</v>
      </c>
      <c r="AC74">
        <v>0</v>
      </c>
      <c r="AD74">
        <v>0</v>
      </c>
      <c r="AE74">
        <v>15.09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6</v>
      </c>
      <c r="AT74">
        <v>8.9001889999999992</v>
      </c>
      <c r="AU74" t="s">
        <v>6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6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Y74*Source!I46</f>
        <v>1.1979654393999999</v>
      </c>
      <c r="CY74">
        <f t="shared" si="12"/>
        <v>15.09</v>
      </c>
      <c r="CZ74">
        <f t="shared" si="13"/>
        <v>15.09</v>
      </c>
      <c r="DA74">
        <f t="shared" si="14"/>
        <v>1</v>
      </c>
      <c r="DB74">
        <v>0</v>
      </c>
    </row>
    <row r="75" spans="1:106" x14ac:dyDescent="0.2">
      <c r="A75">
        <f>ROW(Source!A46)</f>
        <v>46</v>
      </c>
      <c r="B75">
        <v>16481133</v>
      </c>
      <c r="C75">
        <v>16481268</v>
      </c>
      <c r="D75">
        <v>15162572</v>
      </c>
      <c r="E75">
        <v>17</v>
      </c>
      <c r="F75">
        <v>1</v>
      </c>
      <c r="G75">
        <v>1</v>
      </c>
      <c r="H75">
        <v>3</v>
      </c>
      <c r="I75" t="s">
        <v>96</v>
      </c>
      <c r="J75" t="s">
        <v>6</v>
      </c>
      <c r="K75" t="s">
        <v>97</v>
      </c>
      <c r="L75">
        <v>1348</v>
      </c>
      <c r="N75">
        <v>1009</v>
      </c>
      <c r="O75" t="s">
        <v>57</v>
      </c>
      <c r="P75" t="s">
        <v>57</v>
      </c>
      <c r="Q75">
        <v>1000</v>
      </c>
      <c r="W75">
        <v>0</v>
      </c>
      <c r="X75">
        <v>-1212923053</v>
      </c>
      <c r="Y75">
        <v>8.8999999999999999E-3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6</v>
      </c>
      <c r="AT75">
        <v>8.8999999999999999E-3</v>
      </c>
      <c r="AU75" t="s">
        <v>6</v>
      </c>
      <c r="AV75">
        <v>0</v>
      </c>
      <c r="AW75">
        <v>2</v>
      </c>
      <c r="AX75">
        <v>16481287</v>
      </c>
      <c r="AY75">
        <v>1</v>
      </c>
      <c r="AZ75">
        <v>0</v>
      </c>
      <c r="BA75">
        <v>66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Y75*Source!I46</f>
        <v>1.19794E-3</v>
      </c>
      <c r="CY75">
        <f t="shared" si="12"/>
        <v>0</v>
      </c>
      <c r="CZ75">
        <f t="shared" si="13"/>
        <v>0</v>
      </c>
      <c r="DA75">
        <f t="shared" si="14"/>
        <v>1</v>
      </c>
      <c r="DB75">
        <v>0</v>
      </c>
    </row>
    <row r="76" spans="1:106" x14ac:dyDescent="0.2">
      <c r="A76">
        <f>ROW(Source!A47)</f>
        <v>47</v>
      </c>
      <c r="B76">
        <v>16481134</v>
      </c>
      <c r="C76">
        <v>16481268</v>
      </c>
      <c r="D76">
        <v>15438286</v>
      </c>
      <c r="E76">
        <v>1</v>
      </c>
      <c r="F76">
        <v>1</v>
      </c>
      <c r="G76">
        <v>1</v>
      </c>
      <c r="H76">
        <v>1</v>
      </c>
      <c r="I76" t="s">
        <v>322</v>
      </c>
      <c r="J76" t="s">
        <v>6</v>
      </c>
      <c r="K76" t="s">
        <v>323</v>
      </c>
      <c r="L76">
        <v>1191</v>
      </c>
      <c r="N76">
        <v>1013</v>
      </c>
      <c r="O76" t="s">
        <v>280</v>
      </c>
      <c r="P76" t="s">
        <v>280</v>
      </c>
      <c r="Q76">
        <v>1</v>
      </c>
      <c r="W76">
        <v>0</v>
      </c>
      <c r="X76">
        <v>-1027537862</v>
      </c>
      <c r="Y76">
        <v>166.47</v>
      </c>
      <c r="AA76">
        <v>0</v>
      </c>
      <c r="AB76">
        <v>0</v>
      </c>
      <c r="AC76">
        <v>0</v>
      </c>
      <c r="AD76">
        <v>54.99</v>
      </c>
      <c r="AE76">
        <v>0</v>
      </c>
      <c r="AF76">
        <v>0</v>
      </c>
      <c r="AG76">
        <v>0</v>
      </c>
      <c r="AH76">
        <v>9.18</v>
      </c>
      <c r="AI76">
        <v>1</v>
      </c>
      <c r="AJ76">
        <v>1</v>
      </c>
      <c r="AK76">
        <v>1</v>
      </c>
      <c r="AL76">
        <v>5.99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166.47</v>
      </c>
      <c r="AU76" t="s">
        <v>6</v>
      </c>
      <c r="AV76">
        <v>1</v>
      </c>
      <c r="AW76">
        <v>2</v>
      </c>
      <c r="AX76">
        <v>16481280</v>
      </c>
      <c r="AY76">
        <v>1</v>
      </c>
      <c r="AZ76">
        <v>0</v>
      </c>
      <c r="BA76">
        <v>67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Y76*Source!I47</f>
        <v>22.406862</v>
      </c>
      <c r="CY76">
        <f>AD76</f>
        <v>54.99</v>
      </c>
      <c r="CZ76">
        <f>AH76</f>
        <v>9.18</v>
      </c>
      <c r="DA76">
        <f>AL76</f>
        <v>5.99</v>
      </c>
      <c r="DB76">
        <v>0</v>
      </c>
    </row>
    <row r="77" spans="1:106" x14ac:dyDescent="0.2">
      <c r="A77">
        <f>ROW(Source!A47)</f>
        <v>47</v>
      </c>
      <c r="B77">
        <v>16481134</v>
      </c>
      <c r="C77">
        <v>16481268</v>
      </c>
      <c r="D77">
        <v>15430395</v>
      </c>
      <c r="E77">
        <v>1</v>
      </c>
      <c r="F77">
        <v>1</v>
      </c>
      <c r="G77">
        <v>1</v>
      </c>
      <c r="H77">
        <v>1</v>
      </c>
      <c r="I77" t="s">
        <v>281</v>
      </c>
      <c r="J77" t="s">
        <v>6</v>
      </c>
      <c r="K77" t="s">
        <v>282</v>
      </c>
      <c r="L77">
        <v>1191</v>
      </c>
      <c r="N77">
        <v>1013</v>
      </c>
      <c r="O77" t="s">
        <v>280</v>
      </c>
      <c r="P77" t="s">
        <v>280</v>
      </c>
      <c r="Q77">
        <v>1</v>
      </c>
      <c r="W77">
        <v>0</v>
      </c>
      <c r="X77">
        <v>-1417349443</v>
      </c>
      <c r="Y77">
        <v>0.57999999999999996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5.99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0.57999999999999996</v>
      </c>
      <c r="AU77" t="s">
        <v>6</v>
      </c>
      <c r="AV77">
        <v>2</v>
      </c>
      <c r="AW77">
        <v>2</v>
      </c>
      <c r="AX77">
        <v>16481281</v>
      </c>
      <c r="AY77">
        <v>1</v>
      </c>
      <c r="AZ77">
        <v>0</v>
      </c>
      <c r="BA77">
        <v>68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Y77*Source!I47</f>
        <v>7.8067999999999999E-2</v>
      </c>
      <c r="CY77">
        <f>AD77</f>
        <v>0</v>
      </c>
      <c r="CZ77">
        <f>AH77</f>
        <v>0</v>
      </c>
      <c r="DA77">
        <f>AL77</f>
        <v>1</v>
      </c>
      <c r="DB77">
        <v>0</v>
      </c>
    </row>
    <row r="78" spans="1:106" x14ac:dyDescent="0.2">
      <c r="A78">
        <f>ROW(Source!A47)</f>
        <v>47</v>
      </c>
      <c r="B78">
        <v>16481134</v>
      </c>
      <c r="C78">
        <v>16481268</v>
      </c>
      <c r="D78">
        <v>15247974</v>
      </c>
      <c r="E78">
        <v>1</v>
      </c>
      <c r="F78">
        <v>1</v>
      </c>
      <c r="G78">
        <v>1</v>
      </c>
      <c r="H78">
        <v>2</v>
      </c>
      <c r="I78" t="s">
        <v>283</v>
      </c>
      <c r="J78" t="s">
        <v>284</v>
      </c>
      <c r="K78" t="s">
        <v>285</v>
      </c>
      <c r="L78">
        <v>1368</v>
      </c>
      <c r="N78">
        <v>1011</v>
      </c>
      <c r="O78" t="s">
        <v>286</v>
      </c>
      <c r="P78" t="s">
        <v>286</v>
      </c>
      <c r="Q78">
        <v>1</v>
      </c>
      <c r="W78">
        <v>0</v>
      </c>
      <c r="X78">
        <v>1188625873</v>
      </c>
      <c r="Y78">
        <v>0.08</v>
      </c>
      <c r="AA78">
        <v>0</v>
      </c>
      <c r="AB78">
        <v>187.25</v>
      </c>
      <c r="AC78">
        <v>13.5</v>
      </c>
      <c r="AD78">
        <v>0</v>
      </c>
      <c r="AE78">
        <v>0</v>
      </c>
      <c r="AF78">
        <v>31.26</v>
      </c>
      <c r="AG78">
        <v>13.5</v>
      </c>
      <c r="AH78">
        <v>0</v>
      </c>
      <c r="AI78">
        <v>1</v>
      </c>
      <c r="AJ78">
        <v>5.99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0.08</v>
      </c>
      <c r="AU78" t="s">
        <v>6</v>
      </c>
      <c r="AV78">
        <v>0</v>
      </c>
      <c r="AW78">
        <v>2</v>
      </c>
      <c r="AX78">
        <v>16481282</v>
      </c>
      <c r="AY78">
        <v>1</v>
      </c>
      <c r="AZ78">
        <v>0</v>
      </c>
      <c r="BA78">
        <v>69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Y78*Source!I47</f>
        <v>1.0768E-2</v>
      </c>
      <c r="CY78">
        <f>AB78</f>
        <v>187.25</v>
      </c>
      <c r="CZ78">
        <f>AF78</f>
        <v>31.26</v>
      </c>
      <c r="DA78">
        <f>AJ78</f>
        <v>5.99</v>
      </c>
      <c r="DB78">
        <v>0</v>
      </c>
    </row>
    <row r="79" spans="1:106" x14ac:dyDescent="0.2">
      <c r="A79">
        <f>ROW(Source!A47)</f>
        <v>47</v>
      </c>
      <c r="B79">
        <v>16481134</v>
      </c>
      <c r="C79">
        <v>16481268</v>
      </c>
      <c r="D79">
        <v>15249073</v>
      </c>
      <c r="E79">
        <v>1</v>
      </c>
      <c r="F79">
        <v>1</v>
      </c>
      <c r="G79">
        <v>1</v>
      </c>
      <c r="H79">
        <v>2</v>
      </c>
      <c r="I79" t="s">
        <v>289</v>
      </c>
      <c r="J79" t="s">
        <v>290</v>
      </c>
      <c r="K79" t="s">
        <v>291</v>
      </c>
      <c r="L79">
        <v>1368</v>
      </c>
      <c r="N79">
        <v>1011</v>
      </c>
      <c r="O79" t="s">
        <v>286</v>
      </c>
      <c r="P79" t="s">
        <v>286</v>
      </c>
      <c r="Q79">
        <v>1</v>
      </c>
      <c r="W79">
        <v>0</v>
      </c>
      <c r="X79">
        <v>1372534845</v>
      </c>
      <c r="Y79">
        <v>0.5</v>
      </c>
      <c r="AA79">
        <v>0</v>
      </c>
      <c r="AB79">
        <v>393.6</v>
      </c>
      <c r="AC79">
        <v>11.6</v>
      </c>
      <c r="AD79">
        <v>0</v>
      </c>
      <c r="AE79">
        <v>0</v>
      </c>
      <c r="AF79">
        <v>65.709999999999994</v>
      </c>
      <c r="AG79">
        <v>11.6</v>
      </c>
      <c r="AH79">
        <v>0</v>
      </c>
      <c r="AI79">
        <v>1</v>
      </c>
      <c r="AJ79">
        <v>5.99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0.5</v>
      </c>
      <c r="AU79" t="s">
        <v>6</v>
      </c>
      <c r="AV79">
        <v>0</v>
      </c>
      <c r="AW79">
        <v>2</v>
      </c>
      <c r="AX79">
        <v>16481283</v>
      </c>
      <c r="AY79">
        <v>1</v>
      </c>
      <c r="AZ79">
        <v>0</v>
      </c>
      <c r="BA79">
        <v>70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Y79*Source!I47</f>
        <v>6.7299999999999999E-2</v>
      </c>
      <c r="CY79">
        <f>AB79</f>
        <v>393.6</v>
      </c>
      <c r="CZ79">
        <f>AF79</f>
        <v>65.709999999999994</v>
      </c>
      <c r="DA79">
        <f>AJ79</f>
        <v>5.99</v>
      </c>
      <c r="DB79">
        <v>0</v>
      </c>
    </row>
    <row r="80" spans="1:106" x14ac:dyDescent="0.2">
      <c r="A80">
        <f>ROW(Source!A47)</f>
        <v>47</v>
      </c>
      <c r="B80">
        <v>16481134</v>
      </c>
      <c r="C80">
        <v>16481268</v>
      </c>
      <c r="D80">
        <v>15162966</v>
      </c>
      <c r="E80">
        <v>17</v>
      </c>
      <c r="F80">
        <v>1</v>
      </c>
      <c r="G80">
        <v>1</v>
      </c>
      <c r="H80">
        <v>3</v>
      </c>
      <c r="I80" t="s">
        <v>77</v>
      </c>
      <c r="J80" t="s">
        <v>6</v>
      </c>
      <c r="K80" t="s">
        <v>78</v>
      </c>
      <c r="L80">
        <v>1327</v>
      </c>
      <c r="N80">
        <v>1005</v>
      </c>
      <c r="O80" t="s">
        <v>32</v>
      </c>
      <c r="P80" t="s">
        <v>32</v>
      </c>
      <c r="Q80">
        <v>1</v>
      </c>
      <c r="W80">
        <v>0</v>
      </c>
      <c r="X80">
        <v>-112006704</v>
      </c>
      <c r="Y80">
        <v>105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5.99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6</v>
      </c>
      <c r="AT80">
        <v>105</v>
      </c>
      <c r="AU80" t="s">
        <v>6</v>
      </c>
      <c r="AV80">
        <v>0</v>
      </c>
      <c r="AW80">
        <v>2</v>
      </c>
      <c r="AX80">
        <v>16481284</v>
      </c>
      <c r="AY80">
        <v>1</v>
      </c>
      <c r="AZ80">
        <v>0</v>
      </c>
      <c r="BA80">
        <v>71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Y80*Source!I47</f>
        <v>14.132999999999999</v>
      </c>
      <c r="CY80">
        <f t="shared" ref="CY80:CY86" si="15">AA80</f>
        <v>0</v>
      </c>
      <c r="CZ80">
        <f t="shared" ref="CZ80:CZ86" si="16">AE80</f>
        <v>0</v>
      </c>
      <c r="DA80">
        <f t="shared" ref="DA80:DA86" si="17">AI80</f>
        <v>5.99</v>
      </c>
      <c r="DB80">
        <v>0</v>
      </c>
    </row>
    <row r="81" spans="1:106" x14ac:dyDescent="0.2">
      <c r="A81">
        <f>ROW(Source!A47)</f>
        <v>47</v>
      </c>
      <c r="B81">
        <v>16481134</v>
      </c>
      <c r="C81">
        <v>16481268</v>
      </c>
      <c r="D81">
        <v>15171018</v>
      </c>
      <c r="E81">
        <v>1</v>
      </c>
      <c r="F81">
        <v>1</v>
      </c>
      <c r="G81">
        <v>1</v>
      </c>
      <c r="H81">
        <v>3</v>
      </c>
      <c r="I81" t="s">
        <v>324</v>
      </c>
      <c r="J81" t="s">
        <v>325</v>
      </c>
      <c r="K81" t="s">
        <v>326</v>
      </c>
      <c r="L81">
        <v>1346</v>
      </c>
      <c r="N81">
        <v>1009</v>
      </c>
      <c r="O81" t="s">
        <v>86</v>
      </c>
      <c r="P81" t="s">
        <v>86</v>
      </c>
      <c r="Q81">
        <v>1</v>
      </c>
      <c r="W81">
        <v>0</v>
      </c>
      <c r="X81">
        <v>813963326</v>
      </c>
      <c r="Y81">
        <v>0.2</v>
      </c>
      <c r="AA81">
        <v>10.9</v>
      </c>
      <c r="AB81">
        <v>0</v>
      </c>
      <c r="AC81">
        <v>0</v>
      </c>
      <c r="AD81">
        <v>0</v>
      </c>
      <c r="AE81">
        <v>1.82</v>
      </c>
      <c r="AF81">
        <v>0</v>
      </c>
      <c r="AG81">
        <v>0</v>
      </c>
      <c r="AH81">
        <v>0</v>
      </c>
      <c r="AI81">
        <v>5.99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0.2</v>
      </c>
      <c r="AU81" t="s">
        <v>6</v>
      </c>
      <c r="AV81">
        <v>0</v>
      </c>
      <c r="AW81">
        <v>2</v>
      </c>
      <c r="AX81">
        <v>16481285</v>
      </c>
      <c r="AY81">
        <v>1</v>
      </c>
      <c r="AZ81">
        <v>0</v>
      </c>
      <c r="BA81">
        <v>72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Y81*Source!I47</f>
        <v>2.6919999999999999E-2</v>
      </c>
      <c r="CY81">
        <f t="shared" si="15"/>
        <v>10.9</v>
      </c>
      <c r="CZ81">
        <f t="shared" si="16"/>
        <v>1.82</v>
      </c>
      <c r="DA81">
        <f t="shared" si="17"/>
        <v>5.99</v>
      </c>
      <c r="DB81">
        <v>0</v>
      </c>
    </row>
    <row r="82" spans="1:106" x14ac:dyDescent="0.2">
      <c r="A82">
        <f>ROW(Source!A47)</f>
        <v>47</v>
      </c>
      <c r="B82">
        <v>16481134</v>
      </c>
      <c r="C82">
        <v>16481268</v>
      </c>
      <c r="D82">
        <v>15197671</v>
      </c>
      <c r="E82">
        <v>1</v>
      </c>
      <c r="F82">
        <v>1</v>
      </c>
      <c r="G82">
        <v>1</v>
      </c>
      <c r="H82">
        <v>3</v>
      </c>
      <c r="I82" t="s">
        <v>80</v>
      </c>
      <c r="J82" t="s">
        <v>82</v>
      </c>
      <c r="K82" t="s">
        <v>81</v>
      </c>
      <c r="L82">
        <v>1327</v>
      </c>
      <c r="N82">
        <v>1005</v>
      </c>
      <c r="O82" t="s">
        <v>32</v>
      </c>
      <c r="P82" t="s">
        <v>32</v>
      </c>
      <c r="Q82">
        <v>1</v>
      </c>
      <c r="W82">
        <v>0</v>
      </c>
      <c r="X82">
        <v>-956992290</v>
      </c>
      <c r="Y82">
        <v>105</v>
      </c>
      <c r="AA82">
        <v>205.94</v>
      </c>
      <c r="AB82">
        <v>0</v>
      </c>
      <c r="AC82">
        <v>0</v>
      </c>
      <c r="AD82">
        <v>0</v>
      </c>
      <c r="AE82">
        <v>34.380000000000003</v>
      </c>
      <c r="AF82">
        <v>0</v>
      </c>
      <c r="AG82">
        <v>0</v>
      </c>
      <c r="AH82">
        <v>0</v>
      </c>
      <c r="AI82">
        <v>5.99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6</v>
      </c>
      <c r="AT82">
        <v>105</v>
      </c>
      <c r="AU82" t="s">
        <v>6</v>
      </c>
      <c r="AV82">
        <v>0</v>
      </c>
      <c r="AW82">
        <v>1</v>
      </c>
      <c r="AX82">
        <v>-1</v>
      </c>
      <c r="AY82">
        <v>0</v>
      </c>
      <c r="AZ82">
        <v>0</v>
      </c>
      <c r="BA82" t="s">
        <v>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Y82*Source!I47</f>
        <v>14.132999999999999</v>
      </c>
      <c r="CY82">
        <f t="shared" si="15"/>
        <v>205.94</v>
      </c>
      <c r="CZ82">
        <f t="shared" si="16"/>
        <v>34.380000000000003</v>
      </c>
      <c r="DA82">
        <f t="shared" si="17"/>
        <v>5.99</v>
      </c>
      <c r="DB82">
        <v>0</v>
      </c>
    </row>
    <row r="83" spans="1:106" x14ac:dyDescent="0.2">
      <c r="A83">
        <f>ROW(Source!A47)</f>
        <v>47</v>
      </c>
      <c r="B83">
        <v>16481134</v>
      </c>
      <c r="C83">
        <v>16481268</v>
      </c>
      <c r="D83">
        <v>15202457</v>
      </c>
      <c r="E83">
        <v>1</v>
      </c>
      <c r="F83">
        <v>1</v>
      </c>
      <c r="G83">
        <v>1</v>
      </c>
      <c r="H83">
        <v>3</v>
      </c>
      <c r="I83" t="s">
        <v>88</v>
      </c>
      <c r="J83" t="s">
        <v>90</v>
      </c>
      <c r="K83" t="s">
        <v>89</v>
      </c>
      <c r="L83">
        <v>1346</v>
      </c>
      <c r="N83">
        <v>1009</v>
      </c>
      <c r="O83" t="s">
        <v>86</v>
      </c>
      <c r="P83" t="s">
        <v>86</v>
      </c>
      <c r="Q83">
        <v>1</v>
      </c>
      <c r="W83">
        <v>0</v>
      </c>
      <c r="X83">
        <v>1104462431</v>
      </c>
      <c r="Y83">
        <v>30</v>
      </c>
      <c r="AA83">
        <v>95.24</v>
      </c>
      <c r="AB83">
        <v>0</v>
      </c>
      <c r="AC83">
        <v>0</v>
      </c>
      <c r="AD83">
        <v>0</v>
      </c>
      <c r="AE83">
        <v>15.9</v>
      </c>
      <c r="AF83">
        <v>0</v>
      </c>
      <c r="AG83">
        <v>0</v>
      </c>
      <c r="AH83">
        <v>0</v>
      </c>
      <c r="AI83">
        <v>5.99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6</v>
      </c>
      <c r="AT83">
        <v>30</v>
      </c>
      <c r="AU83" t="s">
        <v>6</v>
      </c>
      <c r="AV83">
        <v>0</v>
      </c>
      <c r="AW83">
        <v>1</v>
      </c>
      <c r="AX83">
        <v>-1</v>
      </c>
      <c r="AY83">
        <v>0</v>
      </c>
      <c r="AZ83">
        <v>0</v>
      </c>
      <c r="BA83" t="s">
        <v>6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Y83*Source!I47</f>
        <v>4.0380000000000003</v>
      </c>
      <c r="CY83">
        <f t="shared" si="15"/>
        <v>95.24</v>
      </c>
      <c r="CZ83">
        <f t="shared" si="16"/>
        <v>15.9</v>
      </c>
      <c r="DA83">
        <f t="shared" si="17"/>
        <v>5.99</v>
      </c>
      <c r="DB83">
        <v>0</v>
      </c>
    </row>
    <row r="84" spans="1:106" x14ac:dyDescent="0.2">
      <c r="A84">
        <f>ROW(Source!A47)</f>
        <v>47</v>
      </c>
      <c r="B84">
        <v>16481134</v>
      </c>
      <c r="C84">
        <v>16481268</v>
      </c>
      <c r="D84">
        <v>15162257</v>
      </c>
      <c r="E84">
        <v>17</v>
      </c>
      <c r="F84">
        <v>1</v>
      </c>
      <c r="G84">
        <v>1</v>
      </c>
      <c r="H84">
        <v>3</v>
      </c>
      <c r="I84" t="s">
        <v>84</v>
      </c>
      <c r="J84" t="s">
        <v>6</v>
      </c>
      <c r="K84" t="s">
        <v>85</v>
      </c>
      <c r="L84">
        <v>1346</v>
      </c>
      <c r="N84">
        <v>1009</v>
      </c>
      <c r="O84" t="s">
        <v>86</v>
      </c>
      <c r="P84" t="s">
        <v>86</v>
      </c>
      <c r="Q84">
        <v>1</v>
      </c>
      <c r="W84">
        <v>0</v>
      </c>
      <c r="X84">
        <v>-1516100259</v>
      </c>
      <c r="Y84">
        <v>30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5.99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</v>
      </c>
      <c r="AT84">
        <v>30</v>
      </c>
      <c r="AU84" t="s">
        <v>6</v>
      </c>
      <c r="AV84">
        <v>0</v>
      </c>
      <c r="AW84">
        <v>2</v>
      </c>
      <c r="AX84">
        <v>16481286</v>
      </c>
      <c r="AY84">
        <v>1</v>
      </c>
      <c r="AZ84">
        <v>0</v>
      </c>
      <c r="BA84">
        <v>73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Y84*Source!I47</f>
        <v>4.0380000000000003</v>
      </c>
      <c r="CY84">
        <f t="shared" si="15"/>
        <v>0</v>
      </c>
      <c r="CZ84">
        <f t="shared" si="16"/>
        <v>0</v>
      </c>
      <c r="DA84">
        <f t="shared" si="17"/>
        <v>5.99</v>
      </c>
      <c r="DB84">
        <v>0</v>
      </c>
    </row>
    <row r="85" spans="1:106" x14ac:dyDescent="0.2">
      <c r="A85">
        <f>ROW(Source!A47)</f>
        <v>47</v>
      </c>
      <c r="B85">
        <v>16481134</v>
      </c>
      <c r="C85">
        <v>16481268</v>
      </c>
      <c r="D85">
        <v>15203211</v>
      </c>
      <c r="E85">
        <v>1</v>
      </c>
      <c r="F85">
        <v>1</v>
      </c>
      <c r="G85">
        <v>1</v>
      </c>
      <c r="H85">
        <v>3</v>
      </c>
      <c r="I85" t="s">
        <v>92</v>
      </c>
      <c r="J85" t="s">
        <v>94</v>
      </c>
      <c r="K85" t="s">
        <v>93</v>
      </c>
      <c r="L85">
        <v>1346</v>
      </c>
      <c r="N85">
        <v>1009</v>
      </c>
      <c r="O85" t="s">
        <v>86</v>
      </c>
      <c r="P85" t="s">
        <v>86</v>
      </c>
      <c r="Q85">
        <v>1</v>
      </c>
      <c r="W85">
        <v>0</v>
      </c>
      <c r="X85">
        <v>1453462043</v>
      </c>
      <c r="Y85">
        <v>8.9001889999999992</v>
      </c>
      <c r="AA85">
        <v>90.39</v>
      </c>
      <c r="AB85">
        <v>0</v>
      </c>
      <c r="AC85">
        <v>0</v>
      </c>
      <c r="AD85">
        <v>0</v>
      </c>
      <c r="AE85">
        <v>15.09</v>
      </c>
      <c r="AF85">
        <v>0</v>
      </c>
      <c r="AG85">
        <v>0</v>
      </c>
      <c r="AH85">
        <v>0</v>
      </c>
      <c r="AI85">
        <v>5.99</v>
      </c>
      <c r="AJ85">
        <v>1</v>
      </c>
      <c r="AK85">
        <v>1</v>
      </c>
      <c r="AL85">
        <v>1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6</v>
      </c>
      <c r="AT85">
        <v>8.9001889999999992</v>
      </c>
      <c r="AU85" t="s">
        <v>6</v>
      </c>
      <c r="AV85">
        <v>0</v>
      </c>
      <c r="AW85">
        <v>1</v>
      </c>
      <c r="AX85">
        <v>-1</v>
      </c>
      <c r="AY85">
        <v>0</v>
      </c>
      <c r="AZ85">
        <v>0</v>
      </c>
      <c r="BA85" t="s">
        <v>6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Y85*Source!I47</f>
        <v>1.1979654393999999</v>
      </c>
      <c r="CY85">
        <f t="shared" si="15"/>
        <v>90.39</v>
      </c>
      <c r="CZ85">
        <f t="shared" si="16"/>
        <v>15.09</v>
      </c>
      <c r="DA85">
        <f t="shared" si="17"/>
        <v>5.99</v>
      </c>
      <c r="DB85">
        <v>0</v>
      </c>
    </row>
    <row r="86" spans="1:106" x14ac:dyDescent="0.2">
      <c r="A86">
        <f>ROW(Source!A47)</f>
        <v>47</v>
      </c>
      <c r="B86">
        <v>16481134</v>
      </c>
      <c r="C86">
        <v>16481268</v>
      </c>
      <c r="D86">
        <v>15162572</v>
      </c>
      <c r="E86">
        <v>17</v>
      </c>
      <c r="F86">
        <v>1</v>
      </c>
      <c r="G86">
        <v>1</v>
      </c>
      <c r="H86">
        <v>3</v>
      </c>
      <c r="I86" t="s">
        <v>96</v>
      </c>
      <c r="J86" t="s">
        <v>6</v>
      </c>
      <c r="K86" t="s">
        <v>97</v>
      </c>
      <c r="L86">
        <v>1348</v>
      </c>
      <c r="N86">
        <v>1009</v>
      </c>
      <c r="O86" t="s">
        <v>57</v>
      </c>
      <c r="P86" t="s">
        <v>57</v>
      </c>
      <c r="Q86">
        <v>1000</v>
      </c>
      <c r="W86">
        <v>0</v>
      </c>
      <c r="X86">
        <v>-1212923053</v>
      </c>
      <c r="Y86">
        <v>8.8999999999999999E-3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5.99</v>
      </c>
      <c r="AJ86">
        <v>1</v>
      </c>
      <c r="AK86">
        <v>1</v>
      </c>
      <c r="AL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6</v>
      </c>
      <c r="AT86">
        <v>8.8999999999999999E-3</v>
      </c>
      <c r="AU86" t="s">
        <v>6</v>
      </c>
      <c r="AV86">
        <v>0</v>
      </c>
      <c r="AW86">
        <v>2</v>
      </c>
      <c r="AX86">
        <v>16481287</v>
      </c>
      <c r="AY86">
        <v>1</v>
      </c>
      <c r="AZ86">
        <v>0</v>
      </c>
      <c r="BA86">
        <v>74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Y86*Source!I47</f>
        <v>1.19794E-3</v>
      </c>
      <c r="CY86">
        <f t="shared" si="15"/>
        <v>0</v>
      </c>
      <c r="CZ86">
        <f t="shared" si="16"/>
        <v>0</v>
      </c>
      <c r="DA86">
        <f t="shared" si="17"/>
        <v>5.99</v>
      </c>
      <c r="DB86">
        <v>0</v>
      </c>
    </row>
    <row r="87" spans="1:106" x14ac:dyDescent="0.2">
      <c r="A87">
        <f>ROW(Source!A60)</f>
        <v>60</v>
      </c>
      <c r="B87">
        <v>16481133</v>
      </c>
      <c r="C87">
        <v>16481464</v>
      </c>
      <c r="D87">
        <v>15430497</v>
      </c>
      <c r="E87">
        <v>1</v>
      </c>
      <c r="F87">
        <v>1</v>
      </c>
      <c r="G87">
        <v>1</v>
      </c>
      <c r="H87">
        <v>1</v>
      </c>
      <c r="I87" t="s">
        <v>327</v>
      </c>
      <c r="J87" t="s">
        <v>6</v>
      </c>
      <c r="K87" t="s">
        <v>328</v>
      </c>
      <c r="L87">
        <v>1191</v>
      </c>
      <c r="N87">
        <v>1013</v>
      </c>
      <c r="O87" t="s">
        <v>280</v>
      </c>
      <c r="P87" t="s">
        <v>280</v>
      </c>
      <c r="Q87">
        <v>1</v>
      </c>
      <c r="W87">
        <v>0</v>
      </c>
      <c r="X87">
        <v>-719309759</v>
      </c>
      <c r="Y87">
        <v>228.35</v>
      </c>
      <c r="AA87">
        <v>0</v>
      </c>
      <c r="AB87">
        <v>0</v>
      </c>
      <c r="AC87">
        <v>0</v>
      </c>
      <c r="AD87">
        <v>8.86</v>
      </c>
      <c r="AE87">
        <v>0</v>
      </c>
      <c r="AF87">
        <v>0</v>
      </c>
      <c r="AG87">
        <v>0</v>
      </c>
      <c r="AH87">
        <v>8.86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228.35</v>
      </c>
      <c r="AU87" t="s">
        <v>6</v>
      </c>
      <c r="AV87">
        <v>1</v>
      </c>
      <c r="AW87">
        <v>2</v>
      </c>
      <c r="AX87">
        <v>16481465</v>
      </c>
      <c r="AY87">
        <v>1</v>
      </c>
      <c r="AZ87">
        <v>0</v>
      </c>
      <c r="BA87">
        <v>75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Y87*Source!I60</f>
        <v>30.735909999999997</v>
      </c>
      <c r="CY87">
        <f>AD87</f>
        <v>8.86</v>
      </c>
      <c r="CZ87">
        <f>AH87</f>
        <v>8.86</v>
      </c>
      <c r="DA87">
        <f>AL87</f>
        <v>1</v>
      </c>
      <c r="DB87">
        <v>0</v>
      </c>
    </row>
    <row r="88" spans="1:106" x14ac:dyDescent="0.2">
      <c r="A88">
        <f>ROW(Source!A60)</f>
        <v>60</v>
      </c>
      <c r="B88">
        <v>16481133</v>
      </c>
      <c r="C88">
        <v>16481464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281</v>
      </c>
      <c r="J88" t="s">
        <v>6</v>
      </c>
      <c r="K88" t="s">
        <v>282</v>
      </c>
      <c r="L88">
        <v>1191</v>
      </c>
      <c r="N88">
        <v>1013</v>
      </c>
      <c r="O88" t="s">
        <v>280</v>
      </c>
      <c r="P88" t="s">
        <v>280</v>
      </c>
      <c r="Q88">
        <v>1</v>
      </c>
      <c r="W88">
        <v>0</v>
      </c>
      <c r="X88">
        <v>-1417349443</v>
      </c>
      <c r="Y88">
        <v>0.67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0.67</v>
      </c>
      <c r="AU88" t="s">
        <v>6</v>
      </c>
      <c r="AV88">
        <v>2</v>
      </c>
      <c r="AW88">
        <v>2</v>
      </c>
      <c r="AX88">
        <v>16481466</v>
      </c>
      <c r="AY88">
        <v>1</v>
      </c>
      <c r="AZ88">
        <v>0</v>
      </c>
      <c r="BA88">
        <v>76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Y88*Source!I60</f>
        <v>9.0181999999999998E-2</v>
      </c>
      <c r="CY88">
        <f>AD88</f>
        <v>0</v>
      </c>
      <c r="CZ88">
        <f>AH88</f>
        <v>0</v>
      </c>
      <c r="DA88">
        <f>AL88</f>
        <v>1</v>
      </c>
      <c r="DB88">
        <v>0</v>
      </c>
    </row>
    <row r="89" spans="1:106" x14ac:dyDescent="0.2">
      <c r="A89">
        <f>ROW(Source!A60)</f>
        <v>60</v>
      </c>
      <c r="B89">
        <v>16481133</v>
      </c>
      <c r="C89">
        <v>16481464</v>
      </c>
      <c r="D89">
        <v>15247974</v>
      </c>
      <c r="E89">
        <v>1</v>
      </c>
      <c r="F89">
        <v>1</v>
      </c>
      <c r="G89">
        <v>1</v>
      </c>
      <c r="H89">
        <v>2</v>
      </c>
      <c r="I89" t="s">
        <v>283</v>
      </c>
      <c r="J89" t="s">
        <v>284</v>
      </c>
      <c r="K89" t="s">
        <v>285</v>
      </c>
      <c r="L89">
        <v>1368</v>
      </c>
      <c r="N89">
        <v>1011</v>
      </c>
      <c r="O89" t="s">
        <v>286</v>
      </c>
      <c r="P89" t="s">
        <v>286</v>
      </c>
      <c r="Q89">
        <v>1</v>
      </c>
      <c r="W89">
        <v>0</v>
      </c>
      <c r="X89">
        <v>1188625873</v>
      </c>
      <c r="Y89">
        <v>0.67</v>
      </c>
      <c r="AA89">
        <v>0</v>
      </c>
      <c r="AB89">
        <v>31.26</v>
      </c>
      <c r="AC89">
        <v>13.5</v>
      </c>
      <c r="AD89">
        <v>0</v>
      </c>
      <c r="AE89">
        <v>0</v>
      </c>
      <c r="AF89">
        <v>31.26</v>
      </c>
      <c r="AG89">
        <v>13.5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0.67</v>
      </c>
      <c r="AU89" t="s">
        <v>6</v>
      </c>
      <c r="AV89">
        <v>0</v>
      </c>
      <c r="AW89">
        <v>2</v>
      </c>
      <c r="AX89">
        <v>16481467</v>
      </c>
      <c r="AY89">
        <v>1</v>
      </c>
      <c r="AZ89">
        <v>0</v>
      </c>
      <c r="BA89">
        <v>77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Y89*Source!I60</f>
        <v>9.0181999999999998E-2</v>
      </c>
      <c r="CY89">
        <f>AB89</f>
        <v>31.26</v>
      </c>
      <c r="CZ89">
        <f>AF89</f>
        <v>31.26</v>
      </c>
      <c r="DA89">
        <f>AJ89</f>
        <v>1</v>
      </c>
      <c r="DB89">
        <v>0</v>
      </c>
    </row>
    <row r="90" spans="1:106" x14ac:dyDescent="0.2">
      <c r="A90">
        <f>ROW(Source!A60)</f>
        <v>60</v>
      </c>
      <c r="B90">
        <v>16481133</v>
      </c>
      <c r="C90">
        <v>16481464</v>
      </c>
      <c r="D90">
        <v>15167286</v>
      </c>
      <c r="E90">
        <v>1</v>
      </c>
      <c r="F90">
        <v>1</v>
      </c>
      <c r="G90">
        <v>1</v>
      </c>
      <c r="H90">
        <v>3</v>
      </c>
      <c r="I90" t="s">
        <v>329</v>
      </c>
      <c r="J90" t="s">
        <v>330</v>
      </c>
      <c r="K90" t="s">
        <v>331</v>
      </c>
      <c r="L90">
        <v>1339</v>
      </c>
      <c r="N90">
        <v>1007</v>
      </c>
      <c r="O90" t="s">
        <v>332</v>
      </c>
      <c r="P90" t="s">
        <v>332</v>
      </c>
      <c r="Q90">
        <v>1</v>
      </c>
      <c r="W90">
        <v>0</v>
      </c>
      <c r="X90">
        <v>-1660354250</v>
      </c>
      <c r="Y90">
        <v>0.35</v>
      </c>
      <c r="AA90">
        <v>2.44</v>
      </c>
      <c r="AB90">
        <v>0</v>
      </c>
      <c r="AC90">
        <v>0</v>
      </c>
      <c r="AD90">
        <v>0</v>
      </c>
      <c r="AE90">
        <v>2.44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0.35</v>
      </c>
      <c r="AU90" t="s">
        <v>6</v>
      </c>
      <c r="AV90">
        <v>0</v>
      </c>
      <c r="AW90">
        <v>2</v>
      </c>
      <c r="AX90">
        <v>16481468</v>
      </c>
      <c r="AY90">
        <v>1</v>
      </c>
      <c r="AZ90">
        <v>0</v>
      </c>
      <c r="BA90">
        <v>78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Y90*Source!I60</f>
        <v>4.7109999999999999E-2</v>
      </c>
      <c r="CY90">
        <f>AA90</f>
        <v>2.44</v>
      </c>
      <c r="CZ90">
        <f>AE90</f>
        <v>2.44</v>
      </c>
      <c r="DA90">
        <f>AI90</f>
        <v>1</v>
      </c>
      <c r="DB90">
        <v>0</v>
      </c>
    </row>
    <row r="91" spans="1:106" x14ac:dyDescent="0.2">
      <c r="A91">
        <f>ROW(Source!A60)</f>
        <v>60</v>
      </c>
      <c r="B91">
        <v>16481133</v>
      </c>
      <c r="C91">
        <v>16481464</v>
      </c>
      <c r="D91">
        <v>15164566</v>
      </c>
      <c r="E91">
        <v>17</v>
      </c>
      <c r="F91">
        <v>1</v>
      </c>
      <c r="G91">
        <v>1</v>
      </c>
      <c r="H91">
        <v>3</v>
      </c>
      <c r="I91" t="s">
        <v>55</v>
      </c>
      <c r="J91" t="s">
        <v>6</v>
      </c>
      <c r="K91" t="s">
        <v>56</v>
      </c>
      <c r="L91">
        <v>1348</v>
      </c>
      <c r="N91">
        <v>1009</v>
      </c>
      <c r="O91" t="s">
        <v>57</v>
      </c>
      <c r="P91" t="s">
        <v>57</v>
      </c>
      <c r="Q91">
        <v>1000</v>
      </c>
      <c r="W91">
        <v>0</v>
      </c>
      <c r="X91">
        <v>-179832266</v>
      </c>
      <c r="Y91">
        <v>3.38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6</v>
      </c>
      <c r="AT91">
        <v>3.38</v>
      </c>
      <c r="AU91" t="s">
        <v>6</v>
      </c>
      <c r="AV91">
        <v>0</v>
      </c>
      <c r="AW91">
        <v>2</v>
      </c>
      <c r="AX91">
        <v>16481469</v>
      </c>
      <c r="AY91">
        <v>1</v>
      </c>
      <c r="AZ91">
        <v>0</v>
      </c>
      <c r="BA91">
        <v>79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Y91*Source!I60</f>
        <v>0.45494799999999996</v>
      </c>
      <c r="CY91">
        <f>AA91</f>
        <v>0</v>
      </c>
      <c r="CZ91">
        <f>AE91</f>
        <v>0</v>
      </c>
      <c r="DA91">
        <f>AI91</f>
        <v>1</v>
      </c>
      <c r="DB91">
        <v>0</v>
      </c>
    </row>
    <row r="92" spans="1:106" x14ac:dyDescent="0.2">
      <c r="A92">
        <f>ROW(Source!A60)</f>
        <v>60</v>
      </c>
      <c r="B92">
        <v>16481133</v>
      </c>
      <c r="C92">
        <v>16481464</v>
      </c>
      <c r="D92">
        <v>15172875</v>
      </c>
      <c r="E92">
        <v>1</v>
      </c>
      <c r="F92">
        <v>1</v>
      </c>
      <c r="G92">
        <v>1</v>
      </c>
      <c r="H92">
        <v>3</v>
      </c>
      <c r="I92" t="s">
        <v>333</v>
      </c>
      <c r="J92" t="s">
        <v>334</v>
      </c>
      <c r="K92" t="s">
        <v>335</v>
      </c>
      <c r="L92">
        <v>1339</v>
      </c>
      <c r="N92">
        <v>1007</v>
      </c>
      <c r="O92" t="s">
        <v>332</v>
      </c>
      <c r="P92" t="s">
        <v>332</v>
      </c>
      <c r="Q92">
        <v>1</v>
      </c>
      <c r="W92">
        <v>0</v>
      </c>
      <c r="X92">
        <v>-1001479081</v>
      </c>
      <c r="Y92">
        <v>2.2000000000000002</v>
      </c>
      <c r="AA92">
        <v>517.91</v>
      </c>
      <c r="AB92">
        <v>0</v>
      </c>
      <c r="AC92">
        <v>0</v>
      </c>
      <c r="AD92">
        <v>0</v>
      </c>
      <c r="AE92">
        <v>517.91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2.2000000000000002</v>
      </c>
      <c r="AU92" t="s">
        <v>6</v>
      </c>
      <c r="AV92">
        <v>0</v>
      </c>
      <c r="AW92">
        <v>2</v>
      </c>
      <c r="AX92">
        <v>16481470</v>
      </c>
      <c r="AY92">
        <v>1</v>
      </c>
      <c r="AZ92">
        <v>0</v>
      </c>
      <c r="BA92">
        <v>80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Y92*Source!I60</f>
        <v>0.29611999999999999</v>
      </c>
      <c r="CY92">
        <f>AA92</f>
        <v>517.91</v>
      </c>
      <c r="CZ92">
        <f>AE92</f>
        <v>517.91</v>
      </c>
      <c r="DA92">
        <f>AI92</f>
        <v>1</v>
      </c>
      <c r="DB92">
        <v>0</v>
      </c>
    </row>
    <row r="93" spans="1:106" x14ac:dyDescent="0.2">
      <c r="A93">
        <f>ROW(Source!A61)</f>
        <v>61</v>
      </c>
      <c r="B93">
        <v>16481134</v>
      </c>
      <c r="C93">
        <v>16481464</v>
      </c>
      <c r="D93">
        <v>15430497</v>
      </c>
      <c r="E93">
        <v>1</v>
      </c>
      <c r="F93">
        <v>1</v>
      </c>
      <c r="G93">
        <v>1</v>
      </c>
      <c r="H93">
        <v>1</v>
      </c>
      <c r="I93" t="s">
        <v>327</v>
      </c>
      <c r="J93" t="s">
        <v>6</v>
      </c>
      <c r="K93" t="s">
        <v>328</v>
      </c>
      <c r="L93">
        <v>1191</v>
      </c>
      <c r="N93">
        <v>1013</v>
      </c>
      <c r="O93" t="s">
        <v>280</v>
      </c>
      <c r="P93" t="s">
        <v>280</v>
      </c>
      <c r="Q93">
        <v>1</v>
      </c>
      <c r="W93">
        <v>0</v>
      </c>
      <c r="X93">
        <v>-719309759</v>
      </c>
      <c r="Y93">
        <v>228.35</v>
      </c>
      <c r="AA93">
        <v>0</v>
      </c>
      <c r="AB93">
        <v>0</v>
      </c>
      <c r="AC93">
        <v>0</v>
      </c>
      <c r="AD93">
        <v>53.07</v>
      </c>
      <c r="AE93">
        <v>0</v>
      </c>
      <c r="AF93">
        <v>0</v>
      </c>
      <c r="AG93">
        <v>0</v>
      </c>
      <c r="AH93">
        <v>8.86</v>
      </c>
      <c r="AI93">
        <v>1</v>
      </c>
      <c r="AJ93">
        <v>1</v>
      </c>
      <c r="AK93">
        <v>1</v>
      </c>
      <c r="AL93">
        <v>5.99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228.35</v>
      </c>
      <c r="AU93" t="s">
        <v>6</v>
      </c>
      <c r="AV93">
        <v>1</v>
      </c>
      <c r="AW93">
        <v>2</v>
      </c>
      <c r="AX93">
        <v>16481465</v>
      </c>
      <c r="AY93">
        <v>1</v>
      </c>
      <c r="AZ93">
        <v>0</v>
      </c>
      <c r="BA93">
        <v>81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Y93*Source!I61</f>
        <v>30.735909999999997</v>
      </c>
      <c r="CY93">
        <f>AD93</f>
        <v>53.07</v>
      </c>
      <c r="CZ93">
        <f>AH93</f>
        <v>8.86</v>
      </c>
      <c r="DA93">
        <f>AL93</f>
        <v>5.99</v>
      </c>
      <c r="DB93">
        <v>0</v>
      </c>
    </row>
    <row r="94" spans="1:106" x14ac:dyDescent="0.2">
      <c r="A94">
        <f>ROW(Source!A61)</f>
        <v>61</v>
      </c>
      <c r="B94">
        <v>16481134</v>
      </c>
      <c r="C94">
        <v>16481464</v>
      </c>
      <c r="D94">
        <v>15430395</v>
      </c>
      <c r="E94">
        <v>1</v>
      </c>
      <c r="F94">
        <v>1</v>
      </c>
      <c r="G94">
        <v>1</v>
      </c>
      <c r="H94">
        <v>1</v>
      </c>
      <c r="I94" t="s">
        <v>281</v>
      </c>
      <c r="J94" t="s">
        <v>6</v>
      </c>
      <c r="K94" t="s">
        <v>282</v>
      </c>
      <c r="L94">
        <v>1191</v>
      </c>
      <c r="N94">
        <v>1013</v>
      </c>
      <c r="O94" t="s">
        <v>280</v>
      </c>
      <c r="P94" t="s">
        <v>280</v>
      </c>
      <c r="Q94">
        <v>1</v>
      </c>
      <c r="W94">
        <v>0</v>
      </c>
      <c r="X94">
        <v>-1417349443</v>
      </c>
      <c r="Y94">
        <v>0.67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5.99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0.67</v>
      </c>
      <c r="AU94" t="s">
        <v>6</v>
      </c>
      <c r="AV94">
        <v>2</v>
      </c>
      <c r="AW94">
        <v>2</v>
      </c>
      <c r="AX94">
        <v>16481466</v>
      </c>
      <c r="AY94">
        <v>1</v>
      </c>
      <c r="AZ94">
        <v>0</v>
      </c>
      <c r="BA94">
        <v>82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Y94*Source!I61</f>
        <v>9.0181999999999998E-2</v>
      </c>
      <c r="CY94">
        <f>AD94</f>
        <v>0</v>
      </c>
      <c r="CZ94">
        <f>AH94</f>
        <v>0</v>
      </c>
      <c r="DA94">
        <f>AL94</f>
        <v>1</v>
      </c>
      <c r="DB94">
        <v>0</v>
      </c>
    </row>
    <row r="95" spans="1:106" x14ac:dyDescent="0.2">
      <c r="A95">
        <f>ROW(Source!A61)</f>
        <v>61</v>
      </c>
      <c r="B95">
        <v>16481134</v>
      </c>
      <c r="C95">
        <v>16481464</v>
      </c>
      <c r="D95">
        <v>15247974</v>
      </c>
      <c r="E95">
        <v>1</v>
      </c>
      <c r="F95">
        <v>1</v>
      </c>
      <c r="G95">
        <v>1</v>
      </c>
      <c r="H95">
        <v>2</v>
      </c>
      <c r="I95" t="s">
        <v>283</v>
      </c>
      <c r="J95" t="s">
        <v>284</v>
      </c>
      <c r="K95" t="s">
        <v>285</v>
      </c>
      <c r="L95">
        <v>1368</v>
      </c>
      <c r="N95">
        <v>1011</v>
      </c>
      <c r="O95" t="s">
        <v>286</v>
      </c>
      <c r="P95" t="s">
        <v>286</v>
      </c>
      <c r="Q95">
        <v>1</v>
      </c>
      <c r="W95">
        <v>0</v>
      </c>
      <c r="X95">
        <v>1188625873</v>
      </c>
      <c r="Y95">
        <v>0.67</v>
      </c>
      <c r="AA95">
        <v>0</v>
      </c>
      <c r="AB95">
        <v>187.25</v>
      </c>
      <c r="AC95">
        <v>13.5</v>
      </c>
      <c r="AD95">
        <v>0</v>
      </c>
      <c r="AE95">
        <v>0</v>
      </c>
      <c r="AF95">
        <v>31.26</v>
      </c>
      <c r="AG95">
        <v>13.5</v>
      </c>
      <c r="AH95">
        <v>0</v>
      </c>
      <c r="AI95">
        <v>1</v>
      </c>
      <c r="AJ95">
        <v>5.99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6</v>
      </c>
      <c r="AT95">
        <v>0.67</v>
      </c>
      <c r="AU95" t="s">
        <v>6</v>
      </c>
      <c r="AV95">
        <v>0</v>
      </c>
      <c r="AW95">
        <v>2</v>
      </c>
      <c r="AX95">
        <v>16481467</v>
      </c>
      <c r="AY95">
        <v>1</v>
      </c>
      <c r="AZ95">
        <v>0</v>
      </c>
      <c r="BA95">
        <v>83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Y95*Source!I61</f>
        <v>9.0181999999999998E-2</v>
      </c>
      <c r="CY95">
        <f>AB95</f>
        <v>187.25</v>
      </c>
      <c r="CZ95">
        <f>AF95</f>
        <v>31.26</v>
      </c>
      <c r="DA95">
        <f>AJ95</f>
        <v>5.99</v>
      </c>
      <c r="DB95">
        <v>0</v>
      </c>
    </row>
    <row r="96" spans="1:106" x14ac:dyDescent="0.2">
      <c r="A96">
        <f>ROW(Source!A61)</f>
        <v>61</v>
      </c>
      <c r="B96">
        <v>16481134</v>
      </c>
      <c r="C96">
        <v>16481464</v>
      </c>
      <c r="D96">
        <v>15167286</v>
      </c>
      <c r="E96">
        <v>1</v>
      </c>
      <c r="F96">
        <v>1</v>
      </c>
      <c r="G96">
        <v>1</v>
      </c>
      <c r="H96">
        <v>3</v>
      </c>
      <c r="I96" t="s">
        <v>329</v>
      </c>
      <c r="J96" t="s">
        <v>330</v>
      </c>
      <c r="K96" t="s">
        <v>331</v>
      </c>
      <c r="L96">
        <v>1339</v>
      </c>
      <c r="N96">
        <v>1007</v>
      </c>
      <c r="O96" t="s">
        <v>332</v>
      </c>
      <c r="P96" t="s">
        <v>332</v>
      </c>
      <c r="Q96">
        <v>1</v>
      </c>
      <c r="W96">
        <v>0</v>
      </c>
      <c r="X96">
        <v>-1660354250</v>
      </c>
      <c r="Y96">
        <v>0.35</v>
      </c>
      <c r="AA96">
        <v>14.62</v>
      </c>
      <c r="AB96">
        <v>0</v>
      </c>
      <c r="AC96">
        <v>0</v>
      </c>
      <c r="AD96">
        <v>0</v>
      </c>
      <c r="AE96">
        <v>2.44</v>
      </c>
      <c r="AF96">
        <v>0</v>
      </c>
      <c r="AG96">
        <v>0</v>
      </c>
      <c r="AH96">
        <v>0</v>
      </c>
      <c r="AI96">
        <v>5.99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6</v>
      </c>
      <c r="AT96">
        <v>0.35</v>
      </c>
      <c r="AU96" t="s">
        <v>6</v>
      </c>
      <c r="AV96">
        <v>0</v>
      </c>
      <c r="AW96">
        <v>2</v>
      </c>
      <c r="AX96">
        <v>16481468</v>
      </c>
      <c r="AY96">
        <v>1</v>
      </c>
      <c r="AZ96">
        <v>0</v>
      </c>
      <c r="BA96">
        <v>84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Y96*Source!I61</f>
        <v>4.7109999999999999E-2</v>
      </c>
      <c r="CY96">
        <f>AA96</f>
        <v>14.62</v>
      </c>
      <c r="CZ96">
        <f>AE96</f>
        <v>2.44</v>
      </c>
      <c r="DA96">
        <f>AI96</f>
        <v>5.99</v>
      </c>
      <c r="DB96">
        <v>0</v>
      </c>
    </row>
    <row r="97" spans="1:106" x14ac:dyDescent="0.2">
      <c r="A97">
        <f>ROW(Source!A61)</f>
        <v>61</v>
      </c>
      <c r="B97">
        <v>16481134</v>
      </c>
      <c r="C97">
        <v>16481464</v>
      </c>
      <c r="D97">
        <v>15164566</v>
      </c>
      <c r="E97">
        <v>17</v>
      </c>
      <c r="F97">
        <v>1</v>
      </c>
      <c r="G97">
        <v>1</v>
      </c>
      <c r="H97">
        <v>3</v>
      </c>
      <c r="I97" t="s">
        <v>55</v>
      </c>
      <c r="J97" t="s">
        <v>6</v>
      </c>
      <c r="K97" t="s">
        <v>56</v>
      </c>
      <c r="L97">
        <v>1348</v>
      </c>
      <c r="N97">
        <v>1009</v>
      </c>
      <c r="O97" t="s">
        <v>57</v>
      </c>
      <c r="P97" t="s">
        <v>57</v>
      </c>
      <c r="Q97">
        <v>1000</v>
      </c>
      <c r="W97">
        <v>0</v>
      </c>
      <c r="X97">
        <v>-179832266</v>
      </c>
      <c r="Y97">
        <v>3.38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5.99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6</v>
      </c>
      <c r="AT97">
        <v>3.38</v>
      </c>
      <c r="AU97" t="s">
        <v>6</v>
      </c>
      <c r="AV97">
        <v>0</v>
      </c>
      <c r="AW97">
        <v>2</v>
      </c>
      <c r="AX97">
        <v>16481469</v>
      </c>
      <c r="AY97">
        <v>1</v>
      </c>
      <c r="AZ97">
        <v>0</v>
      </c>
      <c r="BA97">
        <v>85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Y97*Source!I61</f>
        <v>0.45494799999999996</v>
      </c>
      <c r="CY97">
        <f>AA97</f>
        <v>0</v>
      </c>
      <c r="CZ97">
        <f>AE97</f>
        <v>0</v>
      </c>
      <c r="DA97">
        <f>AI97</f>
        <v>5.99</v>
      </c>
      <c r="DB97">
        <v>0</v>
      </c>
    </row>
    <row r="98" spans="1:106" x14ac:dyDescent="0.2">
      <c r="A98">
        <f>ROW(Source!A61)</f>
        <v>61</v>
      </c>
      <c r="B98">
        <v>16481134</v>
      </c>
      <c r="C98">
        <v>16481464</v>
      </c>
      <c r="D98">
        <v>15172875</v>
      </c>
      <c r="E98">
        <v>1</v>
      </c>
      <c r="F98">
        <v>1</v>
      </c>
      <c r="G98">
        <v>1</v>
      </c>
      <c r="H98">
        <v>3</v>
      </c>
      <c r="I98" t="s">
        <v>333</v>
      </c>
      <c r="J98" t="s">
        <v>334</v>
      </c>
      <c r="K98" t="s">
        <v>335</v>
      </c>
      <c r="L98">
        <v>1339</v>
      </c>
      <c r="N98">
        <v>1007</v>
      </c>
      <c r="O98" t="s">
        <v>332</v>
      </c>
      <c r="P98" t="s">
        <v>332</v>
      </c>
      <c r="Q98">
        <v>1</v>
      </c>
      <c r="W98">
        <v>0</v>
      </c>
      <c r="X98">
        <v>-1001479081</v>
      </c>
      <c r="Y98">
        <v>2.2000000000000002</v>
      </c>
      <c r="AA98">
        <v>3102.28</v>
      </c>
      <c r="AB98">
        <v>0</v>
      </c>
      <c r="AC98">
        <v>0</v>
      </c>
      <c r="AD98">
        <v>0</v>
      </c>
      <c r="AE98">
        <v>517.91</v>
      </c>
      <c r="AF98">
        <v>0</v>
      </c>
      <c r="AG98">
        <v>0</v>
      </c>
      <c r="AH98">
        <v>0</v>
      </c>
      <c r="AI98">
        <v>5.99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2.2000000000000002</v>
      </c>
      <c r="AU98" t="s">
        <v>6</v>
      </c>
      <c r="AV98">
        <v>0</v>
      </c>
      <c r="AW98">
        <v>2</v>
      </c>
      <c r="AX98">
        <v>16481470</v>
      </c>
      <c r="AY98">
        <v>1</v>
      </c>
      <c r="AZ98">
        <v>0</v>
      </c>
      <c r="BA98">
        <v>86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Y98*Source!I61</f>
        <v>0.29611999999999999</v>
      </c>
      <c r="CY98">
        <f>AA98</f>
        <v>3102.28</v>
      </c>
      <c r="CZ98">
        <f>AE98</f>
        <v>517.91</v>
      </c>
      <c r="DA98">
        <f>AI98</f>
        <v>5.99</v>
      </c>
      <c r="DB98">
        <v>0</v>
      </c>
    </row>
    <row r="99" spans="1:106" x14ac:dyDescent="0.2">
      <c r="A99">
        <f>ROW(Source!A64)</f>
        <v>64</v>
      </c>
      <c r="B99">
        <v>16481133</v>
      </c>
      <c r="C99">
        <v>16481527</v>
      </c>
      <c r="D99">
        <v>15435099</v>
      </c>
      <c r="E99">
        <v>1</v>
      </c>
      <c r="F99">
        <v>1</v>
      </c>
      <c r="G99">
        <v>1</v>
      </c>
      <c r="H99">
        <v>1</v>
      </c>
      <c r="I99" t="s">
        <v>336</v>
      </c>
      <c r="J99" t="s">
        <v>6</v>
      </c>
      <c r="K99" t="s">
        <v>337</v>
      </c>
      <c r="L99">
        <v>1191</v>
      </c>
      <c r="N99">
        <v>1013</v>
      </c>
      <c r="O99" t="s">
        <v>280</v>
      </c>
      <c r="P99" t="s">
        <v>280</v>
      </c>
      <c r="Q99">
        <v>1</v>
      </c>
      <c r="W99">
        <v>0</v>
      </c>
      <c r="X99">
        <v>1010519658</v>
      </c>
      <c r="Y99">
        <v>29.6</v>
      </c>
      <c r="AA99">
        <v>0</v>
      </c>
      <c r="AB99">
        <v>0</v>
      </c>
      <c r="AC99">
        <v>0</v>
      </c>
      <c r="AD99">
        <v>8.64</v>
      </c>
      <c r="AE99">
        <v>0</v>
      </c>
      <c r="AF99">
        <v>0</v>
      </c>
      <c r="AG99">
        <v>0</v>
      </c>
      <c r="AH99">
        <v>8.64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29.6</v>
      </c>
      <c r="AU99" t="s">
        <v>6</v>
      </c>
      <c r="AV99">
        <v>1</v>
      </c>
      <c r="AW99">
        <v>2</v>
      </c>
      <c r="AX99">
        <v>16481528</v>
      </c>
      <c r="AY99">
        <v>1</v>
      </c>
      <c r="AZ99">
        <v>0</v>
      </c>
      <c r="BA99">
        <v>87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Y99*Source!I64</f>
        <v>3.9841600000000001</v>
      </c>
      <c r="CY99">
        <f>AD99</f>
        <v>8.64</v>
      </c>
      <c r="CZ99">
        <f>AH99</f>
        <v>8.64</v>
      </c>
      <c r="DA99">
        <f>AL99</f>
        <v>1</v>
      </c>
      <c r="DB99">
        <v>0</v>
      </c>
    </row>
    <row r="100" spans="1:106" x14ac:dyDescent="0.2">
      <c r="A100">
        <f>ROW(Source!A64)</f>
        <v>64</v>
      </c>
      <c r="B100">
        <v>16481133</v>
      </c>
      <c r="C100">
        <v>16481527</v>
      </c>
      <c r="D100">
        <v>15430395</v>
      </c>
      <c r="E100">
        <v>1</v>
      </c>
      <c r="F100">
        <v>1</v>
      </c>
      <c r="G100">
        <v>1</v>
      </c>
      <c r="H100">
        <v>1</v>
      </c>
      <c r="I100" t="s">
        <v>281</v>
      </c>
      <c r="J100" t="s">
        <v>6</v>
      </c>
      <c r="K100" t="s">
        <v>282</v>
      </c>
      <c r="L100">
        <v>1191</v>
      </c>
      <c r="N100">
        <v>1013</v>
      </c>
      <c r="O100" t="s">
        <v>280</v>
      </c>
      <c r="P100" t="s">
        <v>280</v>
      </c>
      <c r="Q100">
        <v>1</v>
      </c>
      <c r="W100">
        <v>0</v>
      </c>
      <c r="X100">
        <v>-1417349443</v>
      </c>
      <c r="Y100">
        <v>0.16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0.16</v>
      </c>
      <c r="AU100" t="s">
        <v>6</v>
      </c>
      <c r="AV100">
        <v>2</v>
      </c>
      <c r="AW100">
        <v>2</v>
      </c>
      <c r="AX100">
        <v>16481529</v>
      </c>
      <c r="AY100">
        <v>1</v>
      </c>
      <c r="AZ100">
        <v>0</v>
      </c>
      <c r="BA100">
        <v>88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Y100*Source!I64</f>
        <v>2.1536E-2</v>
      </c>
      <c r="CY100">
        <f>AD100</f>
        <v>0</v>
      </c>
      <c r="CZ100">
        <f>AH100</f>
        <v>0</v>
      </c>
      <c r="DA100">
        <f>AL100</f>
        <v>1</v>
      </c>
      <c r="DB100">
        <v>0</v>
      </c>
    </row>
    <row r="101" spans="1:106" x14ac:dyDescent="0.2">
      <c r="A101">
        <f>ROW(Source!A64)</f>
        <v>64</v>
      </c>
      <c r="B101">
        <v>16481133</v>
      </c>
      <c r="C101">
        <v>16481527</v>
      </c>
      <c r="D101">
        <v>15247974</v>
      </c>
      <c r="E101">
        <v>1</v>
      </c>
      <c r="F101">
        <v>1</v>
      </c>
      <c r="G101">
        <v>1</v>
      </c>
      <c r="H101">
        <v>2</v>
      </c>
      <c r="I101" t="s">
        <v>283</v>
      </c>
      <c r="J101" t="s">
        <v>284</v>
      </c>
      <c r="K101" t="s">
        <v>285</v>
      </c>
      <c r="L101">
        <v>1368</v>
      </c>
      <c r="N101">
        <v>1011</v>
      </c>
      <c r="O101" t="s">
        <v>286</v>
      </c>
      <c r="P101" t="s">
        <v>286</v>
      </c>
      <c r="Q101">
        <v>1</v>
      </c>
      <c r="W101">
        <v>0</v>
      </c>
      <c r="X101">
        <v>1188625873</v>
      </c>
      <c r="Y101">
        <v>0.1</v>
      </c>
      <c r="AA101">
        <v>0</v>
      </c>
      <c r="AB101">
        <v>31.26</v>
      </c>
      <c r="AC101">
        <v>13.5</v>
      </c>
      <c r="AD101">
        <v>0</v>
      </c>
      <c r="AE101">
        <v>0</v>
      </c>
      <c r="AF101">
        <v>31.26</v>
      </c>
      <c r="AG101">
        <v>13.5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0.1</v>
      </c>
      <c r="AU101" t="s">
        <v>6</v>
      </c>
      <c r="AV101">
        <v>0</v>
      </c>
      <c r="AW101">
        <v>2</v>
      </c>
      <c r="AX101">
        <v>16481530</v>
      </c>
      <c r="AY101">
        <v>1</v>
      </c>
      <c r="AZ101">
        <v>0</v>
      </c>
      <c r="BA101">
        <v>89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Y101*Source!I64</f>
        <v>1.346E-2</v>
      </c>
      <c r="CY101">
        <f>AB101</f>
        <v>31.26</v>
      </c>
      <c r="CZ101">
        <f>AF101</f>
        <v>31.26</v>
      </c>
      <c r="DA101">
        <f>AJ101</f>
        <v>1</v>
      </c>
      <c r="DB101">
        <v>0</v>
      </c>
    </row>
    <row r="102" spans="1:106" x14ac:dyDescent="0.2">
      <c r="A102">
        <f>ROW(Source!A64)</f>
        <v>64</v>
      </c>
      <c r="B102">
        <v>16481133</v>
      </c>
      <c r="C102">
        <v>16481527</v>
      </c>
      <c r="D102">
        <v>15249073</v>
      </c>
      <c r="E102">
        <v>1</v>
      </c>
      <c r="F102">
        <v>1</v>
      </c>
      <c r="G102">
        <v>1</v>
      </c>
      <c r="H102">
        <v>2</v>
      </c>
      <c r="I102" t="s">
        <v>289</v>
      </c>
      <c r="J102" t="s">
        <v>290</v>
      </c>
      <c r="K102" t="s">
        <v>291</v>
      </c>
      <c r="L102">
        <v>1368</v>
      </c>
      <c r="N102">
        <v>1011</v>
      </c>
      <c r="O102" t="s">
        <v>286</v>
      </c>
      <c r="P102" t="s">
        <v>286</v>
      </c>
      <c r="Q102">
        <v>1</v>
      </c>
      <c r="W102">
        <v>0</v>
      </c>
      <c r="X102">
        <v>1372534845</v>
      </c>
      <c r="Y102">
        <v>0.06</v>
      </c>
      <c r="AA102">
        <v>0</v>
      </c>
      <c r="AB102">
        <v>65.709999999999994</v>
      </c>
      <c r="AC102">
        <v>11.6</v>
      </c>
      <c r="AD102">
        <v>0</v>
      </c>
      <c r="AE102">
        <v>0</v>
      </c>
      <c r="AF102">
        <v>65.709999999999994</v>
      </c>
      <c r="AG102">
        <v>11.6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0.06</v>
      </c>
      <c r="AU102" t="s">
        <v>6</v>
      </c>
      <c r="AV102">
        <v>0</v>
      </c>
      <c r="AW102">
        <v>2</v>
      </c>
      <c r="AX102">
        <v>16481531</v>
      </c>
      <c r="AY102">
        <v>1</v>
      </c>
      <c r="AZ102">
        <v>0</v>
      </c>
      <c r="BA102">
        <v>90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Y102*Source!I64</f>
        <v>8.0759999999999998E-3</v>
      </c>
      <c r="CY102">
        <f>AB102</f>
        <v>65.709999999999994</v>
      </c>
      <c r="CZ102">
        <f>AF102</f>
        <v>65.709999999999994</v>
      </c>
      <c r="DA102">
        <f>AJ102</f>
        <v>1</v>
      </c>
      <c r="DB102">
        <v>0</v>
      </c>
    </row>
    <row r="103" spans="1:106" x14ac:dyDescent="0.2">
      <c r="A103">
        <f>ROW(Source!A64)</f>
        <v>64</v>
      </c>
      <c r="B103">
        <v>16481133</v>
      </c>
      <c r="C103">
        <v>16481527</v>
      </c>
      <c r="D103">
        <v>15167286</v>
      </c>
      <c r="E103">
        <v>1</v>
      </c>
      <c r="F103">
        <v>1</v>
      </c>
      <c r="G103">
        <v>1</v>
      </c>
      <c r="H103">
        <v>3</v>
      </c>
      <c r="I103" t="s">
        <v>329</v>
      </c>
      <c r="J103" t="s">
        <v>330</v>
      </c>
      <c r="K103" t="s">
        <v>331</v>
      </c>
      <c r="L103">
        <v>1339</v>
      </c>
      <c r="N103">
        <v>1007</v>
      </c>
      <c r="O103" t="s">
        <v>332</v>
      </c>
      <c r="P103" t="s">
        <v>332</v>
      </c>
      <c r="Q103">
        <v>1</v>
      </c>
      <c r="W103">
        <v>0</v>
      </c>
      <c r="X103">
        <v>-1660354250</v>
      </c>
      <c r="Y103">
        <v>0.24</v>
      </c>
      <c r="AA103">
        <v>2.44</v>
      </c>
      <c r="AB103">
        <v>0</v>
      </c>
      <c r="AC103">
        <v>0</v>
      </c>
      <c r="AD103">
        <v>0</v>
      </c>
      <c r="AE103">
        <v>2.44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0.24</v>
      </c>
      <c r="AU103" t="s">
        <v>6</v>
      </c>
      <c r="AV103">
        <v>0</v>
      </c>
      <c r="AW103">
        <v>2</v>
      </c>
      <c r="AX103">
        <v>16481532</v>
      </c>
      <c r="AY103">
        <v>1</v>
      </c>
      <c r="AZ103">
        <v>0</v>
      </c>
      <c r="BA103">
        <v>91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Y103*Source!I64</f>
        <v>3.2303999999999999E-2</v>
      </c>
      <c r="CY103">
        <f t="shared" ref="CY103:CY111" si="18">AA103</f>
        <v>2.44</v>
      </c>
      <c r="CZ103">
        <f t="shared" ref="CZ103:CZ111" si="19">AE103</f>
        <v>2.44</v>
      </c>
      <c r="DA103">
        <f t="shared" ref="DA103:DA111" si="20">AI103</f>
        <v>1</v>
      </c>
      <c r="DB103">
        <v>0</v>
      </c>
    </row>
    <row r="104" spans="1:106" x14ac:dyDescent="0.2">
      <c r="A104">
        <f>ROW(Source!A64)</f>
        <v>64</v>
      </c>
      <c r="B104">
        <v>16481133</v>
      </c>
      <c r="C104">
        <v>16481527</v>
      </c>
      <c r="D104">
        <v>15167766</v>
      </c>
      <c r="E104">
        <v>1</v>
      </c>
      <c r="F104">
        <v>1</v>
      </c>
      <c r="G104">
        <v>1</v>
      </c>
      <c r="H104">
        <v>3</v>
      </c>
      <c r="I104" t="s">
        <v>338</v>
      </c>
      <c r="J104" t="s">
        <v>339</v>
      </c>
      <c r="K104" t="s">
        <v>340</v>
      </c>
      <c r="L104">
        <v>1354</v>
      </c>
      <c r="N104">
        <v>1010</v>
      </c>
      <c r="O104" t="s">
        <v>313</v>
      </c>
      <c r="P104" t="s">
        <v>313</v>
      </c>
      <c r="Q104">
        <v>1</v>
      </c>
      <c r="W104">
        <v>0</v>
      </c>
      <c r="X104">
        <v>-1046673864</v>
      </c>
      <c r="Y104">
        <v>5.0999999999999996</v>
      </c>
      <c r="AA104">
        <v>4.5</v>
      </c>
      <c r="AB104">
        <v>0</v>
      </c>
      <c r="AC104">
        <v>0</v>
      </c>
      <c r="AD104">
        <v>0</v>
      </c>
      <c r="AE104">
        <v>4.5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5.0999999999999996</v>
      </c>
      <c r="AU104" t="s">
        <v>6</v>
      </c>
      <c r="AV104">
        <v>0</v>
      </c>
      <c r="AW104">
        <v>2</v>
      </c>
      <c r="AX104">
        <v>16481533</v>
      </c>
      <c r="AY104">
        <v>1</v>
      </c>
      <c r="AZ104">
        <v>0</v>
      </c>
      <c r="BA104">
        <v>92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Y104*Source!I64</f>
        <v>0.68645999999999996</v>
      </c>
      <c r="CY104">
        <f t="shared" si="18"/>
        <v>4.5</v>
      </c>
      <c r="CZ104">
        <f t="shared" si="19"/>
        <v>4.5</v>
      </c>
      <c r="DA104">
        <f t="shared" si="20"/>
        <v>1</v>
      </c>
      <c r="DB104">
        <v>0</v>
      </c>
    </row>
    <row r="105" spans="1:106" x14ac:dyDescent="0.2">
      <c r="A105">
        <f>ROW(Source!A64)</f>
        <v>64</v>
      </c>
      <c r="B105">
        <v>16481133</v>
      </c>
      <c r="C105">
        <v>16481527</v>
      </c>
      <c r="D105">
        <v>15168015</v>
      </c>
      <c r="E105">
        <v>1</v>
      </c>
      <c r="F105">
        <v>1</v>
      </c>
      <c r="G105">
        <v>1</v>
      </c>
      <c r="H105">
        <v>3</v>
      </c>
      <c r="I105" t="s">
        <v>341</v>
      </c>
      <c r="J105" t="s">
        <v>342</v>
      </c>
      <c r="K105" t="s">
        <v>343</v>
      </c>
      <c r="L105">
        <v>1348</v>
      </c>
      <c r="N105">
        <v>1009</v>
      </c>
      <c r="O105" t="s">
        <v>57</v>
      </c>
      <c r="P105" t="s">
        <v>57</v>
      </c>
      <c r="Q105">
        <v>1000</v>
      </c>
      <c r="W105">
        <v>0</v>
      </c>
      <c r="X105">
        <v>-526970962</v>
      </c>
      <c r="Y105">
        <v>2.5499999999999998E-2</v>
      </c>
      <c r="AA105">
        <v>586.47</v>
      </c>
      <c r="AB105">
        <v>0</v>
      </c>
      <c r="AC105">
        <v>0</v>
      </c>
      <c r="AD105">
        <v>0</v>
      </c>
      <c r="AE105">
        <v>586.47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2.5499999999999998E-2</v>
      </c>
      <c r="AU105" t="s">
        <v>6</v>
      </c>
      <c r="AV105">
        <v>0</v>
      </c>
      <c r="AW105">
        <v>2</v>
      </c>
      <c r="AX105">
        <v>16481534</v>
      </c>
      <c r="AY105">
        <v>1</v>
      </c>
      <c r="AZ105">
        <v>0</v>
      </c>
      <c r="BA105">
        <v>93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Y105*Source!I64</f>
        <v>3.4322999999999997E-3</v>
      </c>
      <c r="CY105">
        <f t="shared" si="18"/>
        <v>586.47</v>
      </c>
      <c r="CZ105">
        <f t="shared" si="19"/>
        <v>586.47</v>
      </c>
      <c r="DA105">
        <f t="shared" si="20"/>
        <v>1</v>
      </c>
      <c r="DB105">
        <v>0</v>
      </c>
    </row>
    <row r="106" spans="1:106" x14ac:dyDescent="0.2">
      <c r="A106">
        <f>ROW(Source!A64)</f>
        <v>64</v>
      </c>
      <c r="B106">
        <v>16481133</v>
      </c>
      <c r="C106">
        <v>16481527</v>
      </c>
      <c r="D106">
        <v>15170682</v>
      </c>
      <c r="E106">
        <v>1</v>
      </c>
      <c r="F106">
        <v>1</v>
      </c>
      <c r="G106">
        <v>1</v>
      </c>
      <c r="H106">
        <v>3</v>
      </c>
      <c r="I106" t="s">
        <v>344</v>
      </c>
      <c r="J106" t="s">
        <v>345</v>
      </c>
      <c r="K106" t="s">
        <v>346</v>
      </c>
      <c r="L106">
        <v>1327</v>
      </c>
      <c r="N106">
        <v>1005</v>
      </c>
      <c r="O106" t="s">
        <v>32</v>
      </c>
      <c r="P106" t="s">
        <v>32</v>
      </c>
      <c r="Q106">
        <v>1</v>
      </c>
      <c r="W106">
        <v>0</v>
      </c>
      <c r="X106">
        <v>-1987926685</v>
      </c>
      <c r="Y106">
        <v>1.6</v>
      </c>
      <c r="AA106">
        <v>72.319999999999993</v>
      </c>
      <c r="AB106">
        <v>0</v>
      </c>
      <c r="AC106">
        <v>0</v>
      </c>
      <c r="AD106">
        <v>0</v>
      </c>
      <c r="AE106">
        <v>72.319999999999993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1.6</v>
      </c>
      <c r="AU106" t="s">
        <v>6</v>
      </c>
      <c r="AV106">
        <v>0</v>
      </c>
      <c r="AW106">
        <v>2</v>
      </c>
      <c r="AX106">
        <v>16481535</v>
      </c>
      <c r="AY106">
        <v>1</v>
      </c>
      <c r="AZ106">
        <v>0</v>
      </c>
      <c r="BA106">
        <v>94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Y106*Source!I64</f>
        <v>0.21536</v>
      </c>
      <c r="CY106">
        <f t="shared" si="18"/>
        <v>72.319999999999993</v>
      </c>
      <c r="CZ106">
        <f t="shared" si="19"/>
        <v>72.319999999999993</v>
      </c>
      <c r="DA106">
        <f t="shared" si="20"/>
        <v>1</v>
      </c>
      <c r="DB106">
        <v>0</v>
      </c>
    </row>
    <row r="107" spans="1:106" x14ac:dyDescent="0.2">
      <c r="A107">
        <f>ROW(Source!A64)</f>
        <v>64</v>
      </c>
      <c r="B107">
        <v>16481133</v>
      </c>
      <c r="C107">
        <v>16481527</v>
      </c>
      <c r="D107">
        <v>15171907</v>
      </c>
      <c r="E107">
        <v>1</v>
      </c>
      <c r="F107">
        <v>1</v>
      </c>
      <c r="G107">
        <v>1</v>
      </c>
      <c r="H107">
        <v>3</v>
      </c>
      <c r="I107" t="s">
        <v>347</v>
      </c>
      <c r="J107" t="s">
        <v>348</v>
      </c>
      <c r="K107" t="s">
        <v>349</v>
      </c>
      <c r="L107">
        <v>1339</v>
      </c>
      <c r="N107">
        <v>1007</v>
      </c>
      <c r="O107" t="s">
        <v>332</v>
      </c>
      <c r="P107" t="s">
        <v>332</v>
      </c>
      <c r="Q107">
        <v>1</v>
      </c>
      <c r="W107">
        <v>0</v>
      </c>
      <c r="X107">
        <v>1795918813</v>
      </c>
      <c r="Y107">
        <v>4.4000000000000003E-3</v>
      </c>
      <c r="AA107">
        <v>74.58</v>
      </c>
      <c r="AB107">
        <v>0</v>
      </c>
      <c r="AC107">
        <v>0</v>
      </c>
      <c r="AD107">
        <v>0</v>
      </c>
      <c r="AE107">
        <v>74.58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4.4000000000000003E-3</v>
      </c>
      <c r="AU107" t="s">
        <v>6</v>
      </c>
      <c r="AV107">
        <v>0</v>
      </c>
      <c r="AW107">
        <v>2</v>
      </c>
      <c r="AX107">
        <v>16481536</v>
      </c>
      <c r="AY107">
        <v>1</v>
      </c>
      <c r="AZ107">
        <v>0</v>
      </c>
      <c r="BA107">
        <v>95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Y107*Source!I64</f>
        <v>5.9224000000000006E-4</v>
      </c>
      <c r="CY107">
        <f t="shared" si="18"/>
        <v>74.58</v>
      </c>
      <c r="CZ107">
        <f t="shared" si="19"/>
        <v>74.58</v>
      </c>
      <c r="DA107">
        <f t="shared" si="20"/>
        <v>1</v>
      </c>
      <c r="DB107">
        <v>0</v>
      </c>
    </row>
    <row r="108" spans="1:106" x14ac:dyDescent="0.2">
      <c r="A108">
        <f>ROW(Source!A64)</f>
        <v>64</v>
      </c>
      <c r="B108">
        <v>16481133</v>
      </c>
      <c r="C108">
        <v>16481527</v>
      </c>
      <c r="D108">
        <v>15202490</v>
      </c>
      <c r="E108">
        <v>1</v>
      </c>
      <c r="F108">
        <v>1</v>
      </c>
      <c r="G108">
        <v>1</v>
      </c>
      <c r="H108">
        <v>3</v>
      </c>
      <c r="I108" t="s">
        <v>350</v>
      </c>
      <c r="J108" t="s">
        <v>351</v>
      </c>
      <c r="K108" t="s">
        <v>352</v>
      </c>
      <c r="L108">
        <v>1346</v>
      </c>
      <c r="N108">
        <v>1009</v>
      </c>
      <c r="O108" t="s">
        <v>86</v>
      </c>
      <c r="P108" t="s">
        <v>86</v>
      </c>
      <c r="Q108">
        <v>1</v>
      </c>
      <c r="W108">
        <v>0</v>
      </c>
      <c r="X108">
        <v>-1684093315</v>
      </c>
      <c r="Y108">
        <v>4.0199999999999996</v>
      </c>
      <c r="AA108">
        <v>8.09</v>
      </c>
      <c r="AB108">
        <v>0</v>
      </c>
      <c r="AC108">
        <v>0</v>
      </c>
      <c r="AD108">
        <v>0</v>
      </c>
      <c r="AE108">
        <v>8.09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4.0199999999999996</v>
      </c>
      <c r="AU108" t="s">
        <v>6</v>
      </c>
      <c r="AV108">
        <v>0</v>
      </c>
      <c r="AW108">
        <v>2</v>
      </c>
      <c r="AX108">
        <v>16481537</v>
      </c>
      <c r="AY108">
        <v>1</v>
      </c>
      <c r="AZ108">
        <v>0</v>
      </c>
      <c r="BA108">
        <v>96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Y108*Source!I64</f>
        <v>0.54109199999999991</v>
      </c>
      <c r="CY108">
        <f t="shared" si="18"/>
        <v>8.09</v>
      </c>
      <c r="CZ108">
        <f t="shared" si="19"/>
        <v>8.09</v>
      </c>
      <c r="DA108">
        <f t="shared" si="20"/>
        <v>1</v>
      </c>
      <c r="DB108">
        <v>0</v>
      </c>
    </row>
    <row r="109" spans="1:106" x14ac:dyDescent="0.2">
      <c r="A109">
        <f>ROW(Source!A64)</f>
        <v>64</v>
      </c>
      <c r="B109">
        <v>16481133</v>
      </c>
      <c r="C109">
        <v>16481527</v>
      </c>
      <c r="D109">
        <v>15163054</v>
      </c>
      <c r="E109">
        <v>17</v>
      </c>
      <c r="F109">
        <v>1</v>
      </c>
      <c r="G109">
        <v>1</v>
      </c>
      <c r="H109">
        <v>3</v>
      </c>
      <c r="I109" t="s">
        <v>112</v>
      </c>
      <c r="J109" t="s">
        <v>6</v>
      </c>
      <c r="K109" t="s">
        <v>113</v>
      </c>
      <c r="L109">
        <v>1348</v>
      </c>
      <c r="N109">
        <v>1009</v>
      </c>
      <c r="O109" t="s">
        <v>57</v>
      </c>
      <c r="P109" t="s">
        <v>57</v>
      </c>
      <c r="Q109">
        <v>1000</v>
      </c>
      <c r="W109">
        <v>0</v>
      </c>
      <c r="X109">
        <v>1891904026</v>
      </c>
      <c r="Y109">
        <v>7.0999999999999994E-2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6</v>
      </c>
      <c r="AT109">
        <v>7.0999999999999994E-2</v>
      </c>
      <c r="AU109" t="s">
        <v>6</v>
      </c>
      <c r="AV109">
        <v>0</v>
      </c>
      <c r="AW109">
        <v>2</v>
      </c>
      <c r="AX109">
        <v>16481538</v>
      </c>
      <c r="AY109">
        <v>1</v>
      </c>
      <c r="AZ109">
        <v>0</v>
      </c>
      <c r="BA109">
        <v>97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Y109*Source!I64</f>
        <v>9.5565999999999984E-3</v>
      </c>
      <c r="CY109">
        <f t="shared" si="18"/>
        <v>0</v>
      </c>
      <c r="CZ109">
        <f t="shared" si="19"/>
        <v>0</v>
      </c>
      <c r="DA109">
        <f t="shared" si="20"/>
        <v>1</v>
      </c>
      <c r="DB109">
        <v>0</v>
      </c>
    </row>
    <row r="110" spans="1:106" x14ac:dyDescent="0.2">
      <c r="A110">
        <f>ROW(Source!A64)</f>
        <v>64</v>
      </c>
      <c r="B110">
        <v>16481133</v>
      </c>
      <c r="C110">
        <v>16481527</v>
      </c>
      <c r="D110">
        <v>15203308</v>
      </c>
      <c r="E110">
        <v>1</v>
      </c>
      <c r="F110">
        <v>1</v>
      </c>
      <c r="G110">
        <v>1</v>
      </c>
      <c r="H110">
        <v>3</v>
      </c>
      <c r="I110" t="s">
        <v>115</v>
      </c>
      <c r="J110" t="s">
        <v>117</v>
      </c>
      <c r="K110" t="s">
        <v>116</v>
      </c>
      <c r="L110">
        <v>1348</v>
      </c>
      <c r="N110">
        <v>1009</v>
      </c>
      <c r="O110" t="s">
        <v>57</v>
      </c>
      <c r="P110" t="s">
        <v>57</v>
      </c>
      <c r="Q110">
        <v>1000</v>
      </c>
      <c r="W110">
        <v>0</v>
      </c>
      <c r="X110">
        <v>772632804</v>
      </c>
      <c r="Y110">
        <v>7.1002999999999997E-2</v>
      </c>
      <c r="AA110">
        <v>19973.669999999998</v>
      </c>
      <c r="AB110">
        <v>0</v>
      </c>
      <c r="AC110">
        <v>0</v>
      </c>
      <c r="AD110">
        <v>0</v>
      </c>
      <c r="AE110">
        <v>19973.669999999998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6</v>
      </c>
      <c r="AT110">
        <v>7.1002999999999997E-2</v>
      </c>
      <c r="AU110" t="s">
        <v>6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6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Y110*Source!I64</f>
        <v>9.5570038E-3</v>
      </c>
      <c r="CY110">
        <f t="shared" si="18"/>
        <v>19973.669999999998</v>
      </c>
      <c r="CZ110">
        <f t="shared" si="19"/>
        <v>19973.669999999998</v>
      </c>
      <c r="DA110">
        <f t="shared" si="20"/>
        <v>1</v>
      </c>
      <c r="DB110">
        <v>0</v>
      </c>
    </row>
    <row r="111" spans="1:106" x14ac:dyDescent="0.2">
      <c r="A111">
        <f>ROW(Source!A64)</f>
        <v>64</v>
      </c>
      <c r="B111">
        <v>16481133</v>
      </c>
      <c r="C111">
        <v>16481527</v>
      </c>
      <c r="D111">
        <v>15204729</v>
      </c>
      <c r="E111">
        <v>1</v>
      </c>
      <c r="F111">
        <v>1</v>
      </c>
      <c r="G111">
        <v>1</v>
      </c>
      <c r="H111">
        <v>3</v>
      </c>
      <c r="I111" t="s">
        <v>353</v>
      </c>
      <c r="J111" t="s">
        <v>354</v>
      </c>
      <c r="K111" t="s">
        <v>355</v>
      </c>
      <c r="L111">
        <v>1348</v>
      </c>
      <c r="N111">
        <v>1009</v>
      </c>
      <c r="O111" t="s">
        <v>57</v>
      </c>
      <c r="P111" t="s">
        <v>57</v>
      </c>
      <c r="Q111">
        <v>1000</v>
      </c>
      <c r="W111">
        <v>0</v>
      </c>
      <c r="X111">
        <v>-2084827333</v>
      </c>
      <c r="Y111">
        <v>7.1999999999999995E-2</v>
      </c>
      <c r="AA111">
        <v>4294</v>
      </c>
      <c r="AB111">
        <v>0</v>
      </c>
      <c r="AC111">
        <v>0</v>
      </c>
      <c r="AD111">
        <v>0</v>
      </c>
      <c r="AE111">
        <v>4294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7.1999999999999995E-2</v>
      </c>
      <c r="AU111" t="s">
        <v>6</v>
      </c>
      <c r="AV111">
        <v>0</v>
      </c>
      <c r="AW111">
        <v>2</v>
      </c>
      <c r="AX111">
        <v>16481539</v>
      </c>
      <c r="AY111">
        <v>1</v>
      </c>
      <c r="AZ111">
        <v>0</v>
      </c>
      <c r="BA111">
        <v>98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Y111*Source!I64</f>
        <v>9.6911999999999988E-3</v>
      </c>
      <c r="CY111">
        <f t="shared" si="18"/>
        <v>4294</v>
      </c>
      <c r="CZ111">
        <f t="shared" si="19"/>
        <v>4294</v>
      </c>
      <c r="DA111">
        <f t="shared" si="20"/>
        <v>1</v>
      </c>
      <c r="DB111">
        <v>0</v>
      </c>
    </row>
    <row r="112" spans="1:106" x14ac:dyDescent="0.2">
      <c r="A112">
        <f>ROW(Source!A65)</f>
        <v>65</v>
      </c>
      <c r="B112">
        <v>16481134</v>
      </c>
      <c r="C112">
        <v>16481527</v>
      </c>
      <c r="D112">
        <v>15435099</v>
      </c>
      <c r="E112">
        <v>1</v>
      </c>
      <c r="F112">
        <v>1</v>
      </c>
      <c r="G112">
        <v>1</v>
      </c>
      <c r="H112">
        <v>1</v>
      </c>
      <c r="I112" t="s">
        <v>336</v>
      </c>
      <c r="J112" t="s">
        <v>6</v>
      </c>
      <c r="K112" t="s">
        <v>337</v>
      </c>
      <c r="L112">
        <v>1191</v>
      </c>
      <c r="N112">
        <v>1013</v>
      </c>
      <c r="O112" t="s">
        <v>280</v>
      </c>
      <c r="P112" t="s">
        <v>280</v>
      </c>
      <c r="Q112">
        <v>1</v>
      </c>
      <c r="W112">
        <v>0</v>
      </c>
      <c r="X112">
        <v>1010519658</v>
      </c>
      <c r="Y112">
        <v>29.6</v>
      </c>
      <c r="AA112">
        <v>0</v>
      </c>
      <c r="AB112">
        <v>0</v>
      </c>
      <c r="AC112">
        <v>0</v>
      </c>
      <c r="AD112">
        <v>51.75</v>
      </c>
      <c r="AE112">
        <v>0</v>
      </c>
      <c r="AF112">
        <v>0</v>
      </c>
      <c r="AG112">
        <v>0</v>
      </c>
      <c r="AH112">
        <v>8.64</v>
      </c>
      <c r="AI112">
        <v>1</v>
      </c>
      <c r="AJ112">
        <v>1</v>
      </c>
      <c r="AK112">
        <v>1</v>
      </c>
      <c r="AL112">
        <v>5.99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29.6</v>
      </c>
      <c r="AU112" t="s">
        <v>6</v>
      </c>
      <c r="AV112">
        <v>1</v>
      </c>
      <c r="AW112">
        <v>2</v>
      </c>
      <c r="AX112">
        <v>16481528</v>
      </c>
      <c r="AY112">
        <v>1</v>
      </c>
      <c r="AZ112">
        <v>0</v>
      </c>
      <c r="BA112">
        <v>99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Y112*Source!I65</f>
        <v>3.9841600000000001</v>
      </c>
      <c r="CY112">
        <f>AD112</f>
        <v>51.75</v>
      </c>
      <c r="CZ112">
        <f>AH112</f>
        <v>8.64</v>
      </c>
      <c r="DA112">
        <f>AL112</f>
        <v>5.99</v>
      </c>
      <c r="DB112">
        <v>0</v>
      </c>
    </row>
    <row r="113" spans="1:106" x14ac:dyDescent="0.2">
      <c r="A113">
        <f>ROW(Source!A65)</f>
        <v>65</v>
      </c>
      <c r="B113">
        <v>16481134</v>
      </c>
      <c r="C113">
        <v>16481527</v>
      </c>
      <c r="D113">
        <v>15430395</v>
      </c>
      <c r="E113">
        <v>1</v>
      </c>
      <c r="F113">
        <v>1</v>
      </c>
      <c r="G113">
        <v>1</v>
      </c>
      <c r="H113">
        <v>1</v>
      </c>
      <c r="I113" t="s">
        <v>281</v>
      </c>
      <c r="J113" t="s">
        <v>6</v>
      </c>
      <c r="K113" t="s">
        <v>282</v>
      </c>
      <c r="L113">
        <v>1191</v>
      </c>
      <c r="N113">
        <v>1013</v>
      </c>
      <c r="O113" t="s">
        <v>280</v>
      </c>
      <c r="P113" t="s">
        <v>280</v>
      </c>
      <c r="Q113">
        <v>1</v>
      </c>
      <c r="W113">
        <v>0</v>
      </c>
      <c r="X113">
        <v>-1417349443</v>
      </c>
      <c r="Y113">
        <v>0.16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5.99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0.16</v>
      </c>
      <c r="AU113" t="s">
        <v>6</v>
      </c>
      <c r="AV113">
        <v>2</v>
      </c>
      <c r="AW113">
        <v>2</v>
      </c>
      <c r="AX113">
        <v>16481529</v>
      </c>
      <c r="AY113">
        <v>1</v>
      </c>
      <c r="AZ113">
        <v>0</v>
      </c>
      <c r="BA113">
        <v>100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Y113*Source!I65</f>
        <v>2.1536E-2</v>
      </c>
      <c r="CY113">
        <f>AD113</f>
        <v>0</v>
      </c>
      <c r="CZ113">
        <f>AH113</f>
        <v>0</v>
      </c>
      <c r="DA113">
        <f>AL113</f>
        <v>1</v>
      </c>
      <c r="DB113">
        <v>0</v>
      </c>
    </row>
    <row r="114" spans="1:106" x14ac:dyDescent="0.2">
      <c r="A114">
        <f>ROW(Source!A65)</f>
        <v>65</v>
      </c>
      <c r="B114">
        <v>16481134</v>
      </c>
      <c r="C114">
        <v>16481527</v>
      </c>
      <c r="D114">
        <v>15247974</v>
      </c>
      <c r="E114">
        <v>1</v>
      </c>
      <c r="F114">
        <v>1</v>
      </c>
      <c r="G114">
        <v>1</v>
      </c>
      <c r="H114">
        <v>2</v>
      </c>
      <c r="I114" t="s">
        <v>283</v>
      </c>
      <c r="J114" t="s">
        <v>284</v>
      </c>
      <c r="K114" t="s">
        <v>285</v>
      </c>
      <c r="L114">
        <v>1368</v>
      </c>
      <c r="N114">
        <v>1011</v>
      </c>
      <c r="O114" t="s">
        <v>286</v>
      </c>
      <c r="P114" t="s">
        <v>286</v>
      </c>
      <c r="Q114">
        <v>1</v>
      </c>
      <c r="W114">
        <v>0</v>
      </c>
      <c r="X114">
        <v>1188625873</v>
      </c>
      <c r="Y114">
        <v>0.1</v>
      </c>
      <c r="AA114">
        <v>0</v>
      </c>
      <c r="AB114">
        <v>187.25</v>
      </c>
      <c r="AC114">
        <v>13.5</v>
      </c>
      <c r="AD114">
        <v>0</v>
      </c>
      <c r="AE114">
        <v>0</v>
      </c>
      <c r="AF114">
        <v>31.26</v>
      </c>
      <c r="AG114">
        <v>13.5</v>
      </c>
      <c r="AH114">
        <v>0</v>
      </c>
      <c r="AI114">
        <v>1</v>
      </c>
      <c r="AJ114">
        <v>5.99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0.1</v>
      </c>
      <c r="AU114" t="s">
        <v>6</v>
      </c>
      <c r="AV114">
        <v>0</v>
      </c>
      <c r="AW114">
        <v>2</v>
      </c>
      <c r="AX114">
        <v>16481530</v>
      </c>
      <c r="AY114">
        <v>1</v>
      </c>
      <c r="AZ114">
        <v>0</v>
      </c>
      <c r="BA114">
        <v>101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Y114*Source!I65</f>
        <v>1.346E-2</v>
      </c>
      <c r="CY114">
        <f>AB114</f>
        <v>187.25</v>
      </c>
      <c r="CZ114">
        <f>AF114</f>
        <v>31.26</v>
      </c>
      <c r="DA114">
        <f>AJ114</f>
        <v>5.99</v>
      </c>
      <c r="DB114">
        <v>0</v>
      </c>
    </row>
    <row r="115" spans="1:106" x14ac:dyDescent="0.2">
      <c r="A115">
        <f>ROW(Source!A65)</f>
        <v>65</v>
      </c>
      <c r="B115">
        <v>16481134</v>
      </c>
      <c r="C115">
        <v>16481527</v>
      </c>
      <c r="D115">
        <v>15249073</v>
      </c>
      <c r="E115">
        <v>1</v>
      </c>
      <c r="F115">
        <v>1</v>
      </c>
      <c r="G115">
        <v>1</v>
      </c>
      <c r="H115">
        <v>2</v>
      </c>
      <c r="I115" t="s">
        <v>289</v>
      </c>
      <c r="J115" t="s">
        <v>290</v>
      </c>
      <c r="K115" t="s">
        <v>291</v>
      </c>
      <c r="L115">
        <v>1368</v>
      </c>
      <c r="N115">
        <v>1011</v>
      </c>
      <c r="O115" t="s">
        <v>286</v>
      </c>
      <c r="P115" t="s">
        <v>286</v>
      </c>
      <c r="Q115">
        <v>1</v>
      </c>
      <c r="W115">
        <v>0</v>
      </c>
      <c r="X115">
        <v>1372534845</v>
      </c>
      <c r="Y115">
        <v>0.06</v>
      </c>
      <c r="AA115">
        <v>0</v>
      </c>
      <c r="AB115">
        <v>393.6</v>
      </c>
      <c r="AC115">
        <v>11.6</v>
      </c>
      <c r="AD115">
        <v>0</v>
      </c>
      <c r="AE115">
        <v>0</v>
      </c>
      <c r="AF115">
        <v>65.709999999999994</v>
      </c>
      <c r="AG115">
        <v>11.6</v>
      </c>
      <c r="AH115">
        <v>0</v>
      </c>
      <c r="AI115">
        <v>1</v>
      </c>
      <c r="AJ115">
        <v>5.99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0.06</v>
      </c>
      <c r="AU115" t="s">
        <v>6</v>
      </c>
      <c r="AV115">
        <v>0</v>
      </c>
      <c r="AW115">
        <v>2</v>
      </c>
      <c r="AX115">
        <v>16481531</v>
      </c>
      <c r="AY115">
        <v>1</v>
      </c>
      <c r="AZ115">
        <v>0</v>
      </c>
      <c r="BA115">
        <v>102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Y115*Source!I65</f>
        <v>8.0759999999999998E-3</v>
      </c>
      <c r="CY115">
        <f>AB115</f>
        <v>393.6</v>
      </c>
      <c r="CZ115">
        <f>AF115</f>
        <v>65.709999999999994</v>
      </c>
      <c r="DA115">
        <f>AJ115</f>
        <v>5.99</v>
      </c>
      <c r="DB115">
        <v>0</v>
      </c>
    </row>
    <row r="116" spans="1:106" x14ac:dyDescent="0.2">
      <c r="A116">
        <f>ROW(Source!A65)</f>
        <v>65</v>
      </c>
      <c r="B116">
        <v>16481134</v>
      </c>
      <c r="C116">
        <v>16481527</v>
      </c>
      <c r="D116">
        <v>15167286</v>
      </c>
      <c r="E116">
        <v>1</v>
      </c>
      <c r="F116">
        <v>1</v>
      </c>
      <c r="G116">
        <v>1</v>
      </c>
      <c r="H116">
        <v>3</v>
      </c>
      <c r="I116" t="s">
        <v>329</v>
      </c>
      <c r="J116" t="s">
        <v>330</v>
      </c>
      <c r="K116" t="s">
        <v>331</v>
      </c>
      <c r="L116">
        <v>1339</v>
      </c>
      <c r="N116">
        <v>1007</v>
      </c>
      <c r="O116" t="s">
        <v>332</v>
      </c>
      <c r="P116" t="s">
        <v>332</v>
      </c>
      <c r="Q116">
        <v>1</v>
      </c>
      <c r="W116">
        <v>0</v>
      </c>
      <c r="X116">
        <v>-1660354250</v>
      </c>
      <c r="Y116">
        <v>0.24</v>
      </c>
      <c r="AA116">
        <v>14.62</v>
      </c>
      <c r="AB116">
        <v>0</v>
      </c>
      <c r="AC116">
        <v>0</v>
      </c>
      <c r="AD116">
        <v>0</v>
      </c>
      <c r="AE116">
        <v>2.44</v>
      </c>
      <c r="AF116">
        <v>0</v>
      </c>
      <c r="AG116">
        <v>0</v>
      </c>
      <c r="AH116">
        <v>0</v>
      </c>
      <c r="AI116">
        <v>5.99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0.24</v>
      </c>
      <c r="AU116" t="s">
        <v>6</v>
      </c>
      <c r="AV116">
        <v>0</v>
      </c>
      <c r="AW116">
        <v>2</v>
      </c>
      <c r="AX116">
        <v>16481532</v>
      </c>
      <c r="AY116">
        <v>1</v>
      </c>
      <c r="AZ116">
        <v>0</v>
      </c>
      <c r="BA116">
        <v>103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Y116*Source!I65</f>
        <v>3.2303999999999999E-2</v>
      </c>
      <c r="CY116">
        <f t="shared" ref="CY116:CY124" si="21">AA116</f>
        <v>14.62</v>
      </c>
      <c r="CZ116">
        <f t="shared" ref="CZ116:CZ124" si="22">AE116</f>
        <v>2.44</v>
      </c>
      <c r="DA116">
        <f t="shared" ref="DA116:DA124" si="23">AI116</f>
        <v>5.99</v>
      </c>
      <c r="DB116">
        <v>0</v>
      </c>
    </row>
    <row r="117" spans="1:106" x14ac:dyDescent="0.2">
      <c r="A117">
        <f>ROW(Source!A65)</f>
        <v>65</v>
      </c>
      <c r="B117">
        <v>16481134</v>
      </c>
      <c r="C117">
        <v>16481527</v>
      </c>
      <c r="D117">
        <v>15167766</v>
      </c>
      <c r="E117">
        <v>1</v>
      </c>
      <c r="F117">
        <v>1</v>
      </c>
      <c r="G117">
        <v>1</v>
      </c>
      <c r="H117">
        <v>3</v>
      </c>
      <c r="I117" t="s">
        <v>338</v>
      </c>
      <c r="J117" t="s">
        <v>339</v>
      </c>
      <c r="K117" t="s">
        <v>340</v>
      </c>
      <c r="L117">
        <v>1354</v>
      </c>
      <c r="N117">
        <v>1010</v>
      </c>
      <c r="O117" t="s">
        <v>313</v>
      </c>
      <c r="P117" t="s">
        <v>313</v>
      </c>
      <c r="Q117">
        <v>1</v>
      </c>
      <c r="W117">
        <v>0</v>
      </c>
      <c r="X117">
        <v>-1046673864</v>
      </c>
      <c r="Y117">
        <v>5.0999999999999996</v>
      </c>
      <c r="AA117">
        <v>26.96</v>
      </c>
      <c r="AB117">
        <v>0</v>
      </c>
      <c r="AC117">
        <v>0</v>
      </c>
      <c r="AD117">
        <v>0</v>
      </c>
      <c r="AE117">
        <v>4.5</v>
      </c>
      <c r="AF117">
        <v>0</v>
      </c>
      <c r="AG117">
        <v>0</v>
      </c>
      <c r="AH117">
        <v>0</v>
      </c>
      <c r="AI117">
        <v>5.99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5.0999999999999996</v>
      </c>
      <c r="AU117" t="s">
        <v>6</v>
      </c>
      <c r="AV117">
        <v>0</v>
      </c>
      <c r="AW117">
        <v>2</v>
      </c>
      <c r="AX117">
        <v>16481533</v>
      </c>
      <c r="AY117">
        <v>1</v>
      </c>
      <c r="AZ117">
        <v>0</v>
      </c>
      <c r="BA117">
        <v>104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Y117*Source!I65</f>
        <v>0.68645999999999996</v>
      </c>
      <c r="CY117">
        <f t="shared" si="21"/>
        <v>26.96</v>
      </c>
      <c r="CZ117">
        <f t="shared" si="22"/>
        <v>4.5</v>
      </c>
      <c r="DA117">
        <f t="shared" si="23"/>
        <v>5.99</v>
      </c>
      <c r="DB117">
        <v>0</v>
      </c>
    </row>
    <row r="118" spans="1:106" x14ac:dyDescent="0.2">
      <c r="A118">
        <f>ROW(Source!A65)</f>
        <v>65</v>
      </c>
      <c r="B118">
        <v>16481134</v>
      </c>
      <c r="C118">
        <v>16481527</v>
      </c>
      <c r="D118">
        <v>15168015</v>
      </c>
      <c r="E118">
        <v>1</v>
      </c>
      <c r="F118">
        <v>1</v>
      </c>
      <c r="G118">
        <v>1</v>
      </c>
      <c r="H118">
        <v>3</v>
      </c>
      <c r="I118" t="s">
        <v>341</v>
      </c>
      <c r="J118" t="s">
        <v>342</v>
      </c>
      <c r="K118" t="s">
        <v>343</v>
      </c>
      <c r="L118">
        <v>1348</v>
      </c>
      <c r="N118">
        <v>1009</v>
      </c>
      <c r="O118" t="s">
        <v>57</v>
      </c>
      <c r="P118" t="s">
        <v>57</v>
      </c>
      <c r="Q118">
        <v>1000</v>
      </c>
      <c r="W118">
        <v>0</v>
      </c>
      <c r="X118">
        <v>-526970962</v>
      </c>
      <c r="Y118">
        <v>2.5499999999999998E-2</v>
      </c>
      <c r="AA118">
        <v>3512.96</v>
      </c>
      <c r="AB118">
        <v>0</v>
      </c>
      <c r="AC118">
        <v>0</v>
      </c>
      <c r="AD118">
        <v>0</v>
      </c>
      <c r="AE118">
        <v>586.47</v>
      </c>
      <c r="AF118">
        <v>0</v>
      </c>
      <c r="AG118">
        <v>0</v>
      </c>
      <c r="AH118">
        <v>0</v>
      </c>
      <c r="AI118">
        <v>5.99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2.5499999999999998E-2</v>
      </c>
      <c r="AU118" t="s">
        <v>6</v>
      </c>
      <c r="AV118">
        <v>0</v>
      </c>
      <c r="AW118">
        <v>2</v>
      </c>
      <c r="AX118">
        <v>16481534</v>
      </c>
      <c r="AY118">
        <v>1</v>
      </c>
      <c r="AZ118">
        <v>0</v>
      </c>
      <c r="BA118">
        <v>105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Y118*Source!I65</f>
        <v>3.4322999999999997E-3</v>
      </c>
      <c r="CY118">
        <f t="shared" si="21"/>
        <v>3512.96</v>
      </c>
      <c r="CZ118">
        <f t="shared" si="22"/>
        <v>586.47</v>
      </c>
      <c r="DA118">
        <f t="shared" si="23"/>
        <v>5.99</v>
      </c>
      <c r="DB118">
        <v>0</v>
      </c>
    </row>
    <row r="119" spans="1:106" x14ac:dyDescent="0.2">
      <c r="A119">
        <f>ROW(Source!A65)</f>
        <v>65</v>
      </c>
      <c r="B119">
        <v>16481134</v>
      </c>
      <c r="C119">
        <v>16481527</v>
      </c>
      <c r="D119">
        <v>15170682</v>
      </c>
      <c r="E119">
        <v>1</v>
      </c>
      <c r="F119">
        <v>1</v>
      </c>
      <c r="G119">
        <v>1</v>
      </c>
      <c r="H119">
        <v>3</v>
      </c>
      <c r="I119" t="s">
        <v>344</v>
      </c>
      <c r="J119" t="s">
        <v>345</v>
      </c>
      <c r="K119" t="s">
        <v>346</v>
      </c>
      <c r="L119">
        <v>1327</v>
      </c>
      <c r="N119">
        <v>1005</v>
      </c>
      <c r="O119" t="s">
        <v>32</v>
      </c>
      <c r="P119" t="s">
        <v>32</v>
      </c>
      <c r="Q119">
        <v>1</v>
      </c>
      <c r="W119">
        <v>0</v>
      </c>
      <c r="X119">
        <v>-1987926685</v>
      </c>
      <c r="Y119">
        <v>1.6</v>
      </c>
      <c r="AA119">
        <v>433.2</v>
      </c>
      <c r="AB119">
        <v>0</v>
      </c>
      <c r="AC119">
        <v>0</v>
      </c>
      <c r="AD119">
        <v>0</v>
      </c>
      <c r="AE119">
        <v>72.319999999999993</v>
      </c>
      <c r="AF119">
        <v>0</v>
      </c>
      <c r="AG119">
        <v>0</v>
      </c>
      <c r="AH119">
        <v>0</v>
      </c>
      <c r="AI119">
        <v>5.99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1.6</v>
      </c>
      <c r="AU119" t="s">
        <v>6</v>
      </c>
      <c r="AV119">
        <v>0</v>
      </c>
      <c r="AW119">
        <v>2</v>
      </c>
      <c r="AX119">
        <v>16481535</v>
      </c>
      <c r="AY119">
        <v>1</v>
      </c>
      <c r="AZ119">
        <v>0</v>
      </c>
      <c r="BA119">
        <v>106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Y119*Source!I65</f>
        <v>0.21536</v>
      </c>
      <c r="CY119">
        <f t="shared" si="21"/>
        <v>433.2</v>
      </c>
      <c r="CZ119">
        <f t="shared" si="22"/>
        <v>72.319999999999993</v>
      </c>
      <c r="DA119">
        <f t="shared" si="23"/>
        <v>5.99</v>
      </c>
      <c r="DB119">
        <v>0</v>
      </c>
    </row>
    <row r="120" spans="1:106" x14ac:dyDescent="0.2">
      <c r="A120">
        <f>ROW(Source!A65)</f>
        <v>65</v>
      </c>
      <c r="B120">
        <v>16481134</v>
      </c>
      <c r="C120">
        <v>16481527</v>
      </c>
      <c r="D120">
        <v>15171907</v>
      </c>
      <c r="E120">
        <v>1</v>
      </c>
      <c r="F120">
        <v>1</v>
      </c>
      <c r="G120">
        <v>1</v>
      </c>
      <c r="H120">
        <v>3</v>
      </c>
      <c r="I120" t="s">
        <v>347</v>
      </c>
      <c r="J120" t="s">
        <v>348</v>
      </c>
      <c r="K120" t="s">
        <v>349</v>
      </c>
      <c r="L120">
        <v>1339</v>
      </c>
      <c r="N120">
        <v>1007</v>
      </c>
      <c r="O120" t="s">
        <v>332</v>
      </c>
      <c r="P120" t="s">
        <v>332</v>
      </c>
      <c r="Q120">
        <v>1</v>
      </c>
      <c r="W120">
        <v>0</v>
      </c>
      <c r="X120">
        <v>1795918813</v>
      </c>
      <c r="Y120">
        <v>4.4000000000000003E-3</v>
      </c>
      <c r="AA120">
        <v>446.73</v>
      </c>
      <c r="AB120">
        <v>0</v>
      </c>
      <c r="AC120">
        <v>0</v>
      </c>
      <c r="AD120">
        <v>0</v>
      </c>
      <c r="AE120">
        <v>74.58</v>
      </c>
      <c r="AF120">
        <v>0</v>
      </c>
      <c r="AG120">
        <v>0</v>
      </c>
      <c r="AH120">
        <v>0</v>
      </c>
      <c r="AI120">
        <v>5.99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4.4000000000000003E-3</v>
      </c>
      <c r="AU120" t="s">
        <v>6</v>
      </c>
      <c r="AV120">
        <v>0</v>
      </c>
      <c r="AW120">
        <v>2</v>
      </c>
      <c r="AX120">
        <v>16481536</v>
      </c>
      <c r="AY120">
        <v>1</v>
      </c>
      <c r="AZ120">
        <v>0</v>
      </c>
      <c r="BA120">
        <v>107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Y120*Source!I65</f>
        <v>5.9224000000000006E-4</v>
      </c>
      <c r="CY120">
        <f t="shared" si="21"/>
        <v>446.73</v>
      </c>
      <c r="CZ120">
        <f t="shared" si="22"/>
        <v>74.58</v>
      </c>
      <c r="DA120">
        <f t="shared" si="23"/>
        <v>5.99</v>
      </c>
      <c r="DB120">
        <v>0</v>
      </c>
    </row>
    <row r="121" spans="1:106" x14ac:dyDescent="0.2">
      <c r="A121">
        <f>ROW(Source!A65)</f>
        <v>65</v>
      </c>
      <c r="B121">
        <v>16481134</v>
      </c>
      <c r="C121">
        <v>16481527</v>
      </c>
      <c r="D121">
        <v>15202490</v>
      </c>
      <c r="E121">
        <v>1</v>
      </c>
      <c r="F121">
        <v>1</v>
      </c>
      <c r="G121">
        <v>1</v>
      </c>
      <c r="H121">
        <v>3</v>
      </c>
      <c r="I121" t="s">
        <v>350</v>
      </c>
      <c r="J121" t="s">
        <v>351</v>
      </c>
      <c r="K121" t="s">
        <v>352</v>
      </c>
      <c r="L121">
        <v>1346</v>
      </c>
      <c r="N121">
        <v>1009</v>
      </c>
      <c r="O121" t="s">
        <v>86</v>
      </c>
      <c r="P121" t="s">
        <v>86</v>
      </c>
      <c r="Q121">
        <v>1</v>
      </c>
      <c r="W121">
        <v>0</v>
      </c>
      <c r="X121">
        <v>-1684093315</v>
      </c>
      <c r="Y121">
        <v>4.0199999999999996</v>
      </c>
      <c r="AA121">
        <v>48.46</v>
      </c>
      <c r="AB121">
        <v>0</v>
      </c>
      <c r="AC121">
        <v>0</v>
      </c>
      <c r="AD121">
        <v>0</v>
      </c>
      <c r="AE121">
        <v>8.09</v>
      </c>
      <c r="AF121">
        <v>0</v>
      </c>
      <c r="AG121">
        <v>0</v>
      </c>
      <c r="AH121">
        <v>0</v>
      </c>
      <c r="AI121">
        <v>5.99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4.0199999999999996</v>
      </c>
      <c r="AU121" t="s">
        <v>6</v>
      </c>
      <c r="AV121">
        <v>0</v>
      </c>
      <c r="AW121">
        <v>2</v>
      </c>
      <c r="AX121">
        <v>16481537</v>
      </c>
      <c r="AY121">
        <v>1</v>
      </c>
      <c r="AZ121">
        <v>0</v>
      </c>
      <c r="BA121">
        <v>108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Y121*Source!I65</f>
        <v>0.54109199999999991</v>
      </c>
      <c r="CY121">
        <f t="shared" si="21"/>
        <v>48.46</v>
      </c>
      <c r="CZ121">
        <f t="shared" si="22"/>
        <v>8.09</v>
      </c>
      <c r="DA121">
        <f t="shared" si="23"/>
        <v>5.99</v>
      </c>
      <c r="DB121">
        <v>0</v>
      </c>
    </row>
    <row r="122" spans="1:106" x14ac:dyDescent="0.2">
      <c r="A122">
        <f>ROW(Source!A65)</f>
        <v>65</v>
      </c>
      <c r="B122">
        <v>16481134</v>
      </c>
      <c r="C122">
        <v>16481527</v>
      </c>
      <c r="D122">
        <v>15163054</v>
      </c>
      <c r="E122">
        <v>17</v>
      </c>
      <c r="F122">
        <v>1</v>
      </c>
      <c r="G122">
        <v>1</v>
      </c>
      <c r="H122">
        <v>3</v>
      </c>
      <c r="I122" t="s">
        <v>112</v>
      </c>
      <c r="J122" t="s">
        <v>6</v>
      </c>
      <c r="K122" t="s">
        <v>113</v>
      </c>
      <c r="L122">
        <v>1348</v>
      </c>
      <c r="N122">
        <v>1009</v>
      </c>
      <c r="O122" t="s">
        <v>57</v>
      </c>
      <c r="P122" t="s">
        <v>57</v>
      </c>
      <c r="Q122">
        <v>1000</v>
      </c>
      <c r="W122">
        <v>0</v>
      </c>
      <c r="X122">
        <v>1891904026</v>
      </c>
      <c r="Y122">
        <v>7.0999999999999994E-2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5.99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6</v>
      </c>
      <c r="AT122">
        <v>7.0999999999999994E-2</v>
      </c>
      <c r="AU122" t="s">
        <v>6</v>
      </c>
      <c r="AV122">
        <v>0</v>
      </c>
      <c r="AW122">
        <v>2</v>
      </c>
      <c r="AX122">
        <v>16481538</v>
      </c>
      <c r="AY122">
        <v>1</v>
      </c>
      <c r="AZ122">
        <v>0</v>
      </c>
      <c r="BA122">
        <v>109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Y122*Source!I65</f>
        <v>9.5565999999999984E-3</v>
      </c>
      <c r="CY122">
        <f t="shared" si="21"/>
        <v>0</v>
      </c>
      <c r="CZ122">
        <f t="shared" si="22"/>
        <v>0</v>
      </c>
      <c r="DA122">
        <f t="shared" si="23"/>
        <v>5.99</v>
      </c>
      <c r="DB122">
        <v>0</v>
      </c>
    </row>
    <row r="123" spans="1:106" x14ac:dyDescent="0.2">
      <c r="A123">
        <f>ROW(Source!A65)</f>
        <v>65</v>
      </c>
      <c r="B123">
        <v>16481134</v>
      </c>
      <c r="C123">
        <v>16481527</v>
      </c>
      <c r="D123">
        <v>15203308</v>
      </c>
      <c r="E123">
        <v>1</v>
      </c>
      <c r="F123">
        <v>1</v>
      </c>
      <c r="G123">
        <v>1</v>
      </c>
      <c r="H123">
        <v>3</v>
      </c>
      <c r="I123" t="s">
        <v>115</v>
      </c>
      <c r="J123" t="s">
        <v>117</v>
      </c>
      <c r="K123" t="s">
        <v>116</v>
      </c>
      <c r="L123">
        <v>1348</v>
      </c>
      <c r="N123">
        <v>1009</v>
      </c>
      <c r="O123" t="s">
        <v>57</v>
      </c>
      <c r="P123" t="s">
        <v>57</v>
      </c>
      <c r="Q123">
        <v>1000</v>
      </c>
      <c r="W123">
        <v>0</v>
      </c>
      <c r="X123">
        <v>772632804</v>
      </c>
      <c r="Y123">
        <v>7.1002999999999997E-2</v>
      </c>
      <c r="AA123">
        <v>119642.28</v>
      </c>
      <c r="AB123">
        <v>0</v>
      </c>
      <c r="AC123">
        <v>0</v>
      </c>
      <c r="AD123">
        <v>0</v>
      </c>
      <c r="AE123">
        <v>19973.669999999998</v>
      </c>
      <c r="AF123">
        <v>0</v>
      </c>
      <c r="AG123">
        <v>0</v>
      </c>
      <c r="AH123">
        <v>0</v>
      </c>
      <c r="AI123">
        <v>5.99</v>
      </c>
      <c r="AJ123">
        <v>1</v>
      </c>
      <c r="AK123">
        <v>1</v>
      </c>
      <c r="AL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6</v>
      </c>
      <c r="AT123">
        <v>7.1002999999999997E-2</v>
      </c>
      <c r="AU123" t="s">
        <v>6</v>
      </c>
      <c r="AV123">
        <v>0</v>
      </c>
      <c r="AW123">
        <v>1</v>
      </c>
      <c r="AX123">
        <v>-1</v>
      </c>
      <c r="AY123">
        <v>0</v>
      </c>
      <c r="AZ123">
        <v>0</v>
      </c>
      <c r="BA123" t="s">
        <v>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Y123*Source!I65</f>
        <v>9.5570038E-3</v>
      </c>
      <c r="CY123">
        <f t="shared" si="21"/>
        <v>119642.28</v>
      </c>
      <c r="CZ123">
        <f t="shared" si="22"/>
        <v>19973.669999999998</v>
      </c>
      <c r="DA123">
        <f t="shared" si="23"/>
        <v>5.99</v>
      </c>
      <c r="DB123">
        <v>0</v>
      </c>
    </row>
    <row r="124" spans="1:106" x14ac:dyDescent="0.2">
      <c r="A124">
        <f>ROW(Source!A65)</f>
        <v>65</v>
      </c>
      <c r="B124">
        <v>16481134</v>
      </c>
      <c r="C124">
        <v>16481527</v>
      </c>
      <c r="D124">
        <v>15204729</v>
      </c>
      <c r="E124">
        <v>1</v>
      </c>
      <c r="F124">
        <v>1</v>
      </c>
      <c r="G124">
        <v>1</v>
      </c>
      <c r="H124">
        <v>3</v>
      </c>
      <c r="I124" t="s">
        <v>353</v>
      </c>
      <c r="J124" t="s">
        <v>354</v>
      </c>
      <c r="K124" t="s">
        <v>355</v>
      </c>
      <c r="L124">
        <v>1348</v>
      </c>
      <c r="N124">
        <v>1009</v>
      </c>
      <c r="O124" t="s">
        <v>57</v>
      </c>
      <c r="P124" t="s">
        <v>57</v>
      </c>
      <c r="Q124">
        <v>1000</v>
      </c>
      <c r="W124">
        <v>0</v>
      </c>
      <c r="X124">
        <v>-2084827333</v>
      </c>
      <c r="Y124">
        <v>7.1999999999999995E-2</v>
      </c>
      <c r="AA124">
        <v>25721.06</v>
      </c>
      <c r="AB124">
        <v>0</v>
      </c>
      <c r="AC124">
        <v>0</v>
      </c>
      <c r="AD124">
        <v>0</v>
      </c>
      <c r="AE124">
        <v>4294</v>
      </c>
      <c r="AF124">
        <v>0</v>
      </c>
      <c r="AG124">
        <v>0</v>
      </c>
      <c r="AH124">
        <v>0</v>
      </c>
      <c r="AI124">
        <v>5.99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7.1999999999999995E-2</v>
      </c>
      <c r="AU124" t="s">
        <v>6</v>
      </c>
      <c r="AV124">
        <v>0</v>
      </c>
      <c r="AW124">
        <v>2</v>
      </c>
      <c r="AX124">
        <v>16481539</v>
      </c>
      <c r="AY124">
        <v>1</v>
      </c>
      <c r="AZ124">
        <v>0</v>
      </c>
      <c r="BA124">
        <v>110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Y124*Source!I65</f>
        <v>9.6911999999999988E-3</v>
      </c>
      <c r="CY124">
        <f t="shared" si="21"/>
        <v>25721.06</v>
      </c>
      <c r="CZ124">
        <f t="shared" si="22"/>
        <v>4294</v>
      </c>
      <c r="DA124">
        <f t="shared" si="23"/>
        <v>5.99</v>
      </c>
      <c r="DB124">
        <v>0</v>
      </c>
    </row>
    <row r="125" spans="1:106" x14ac:dyDescent="0.2">
      <c r="A125">
        <f>ROW(Source!A70)</f>
        <v>70</v>
      </c>
      <c r="B125">
        <v>16481133</v>
      </c>
      <c r="C125">
        <v>16481520</v>
      </c>
      <c r="D125">
        <v>15436014</v>
      </c>
      <c r="E125">
        <v>1</v>
      </c>
      <c r="F125">
        <v>1</v>
      </c>
      <c r="G125">
        <v>1</v>
      </c>
      <c r="H125">
        <v>1</v>
      </c>
      <c r="I125" t="s">
        <v>287</v>
      </c>
      <c r="J125" t="s">
        <v>6</v>
      </c>
      <c r="K125" t="s">
        <v>288</v>
      </c>
      <c r="L125">
        <v>1191</v>
      </c>
      <c r="N125">
        <v>1013</v>
      </c>
      <c r="O125" t="s">
        <v>280</v>
      </c>
      <c r="P125" t="s">
        <v>280</v>
      </c>
      <c r="Q125">
        <v>1</v>
      </c>
      <c r="W125">
        <v>0</v>
      </c>
      <c r="X125">
        <v>-784637506</v>
      </c>
      <c r="Y125">
        <v>188.25</v>
      </c>
      <c r="AA125">
        <v>0</v>
      </c>
      <c r="AB125">
        <v>0</v>
      </c>
      <c r="AC125">
        <v>0</v>
      </c>
      <c r="AD125">
        <v>8.74</v>
      </c>
      <c r="AE125">
        <v>0</v>
      </c>
      <c r="AF125">
        <v>0</v>
      </c>
      <c r="AG125">
        <v>0</v>
      </c>
      <c r="AH125">
        <v>8.74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188.25</v>
      </c>
      <c r="AU125" t="s">
        <v>6</v>
      </c>
      <c r="AV125">
        <v>1</v>
      </c>
      <c r="AW125">
        <v>2</v>
      </c>
      <c r="AX125">
        <v>16481521</v>
      </c>
      <c r="AY125">
        <v>1</v>
      </c>
      <c r="AZ125">
        <v>0</v>
      </c>
      <c r="BA125">
        <v>111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Y125*Source!I70</f>
        <v>13.817550000000001</v>
      </c>
      <c r="CY125">
        <f>AD125</f>
        <v>8.74</v>
      </c>
      <c r="CZ125">
        <f>AH125</f>
        <v>8.74</v>
      </c>
      <c r="DA125">
        <f>AL125</f>
        <v>1</v>
      </c>
      <c r="DB125">
        <v>0</v>
      </c>
    </row>
    <row r="126" spans="1:106" x14ac:dyDescent="0.2">
      <c r="A126">
        <f>ROW(Source!A70)</f>
        <v>70</v>
      </c>
      <c r="B126">
        <v>16481133</v>
      </c>
      <c r="C126">
        <v>16481520</v>
      </c>
      <c r="D126">
        <v>15247878</v>
      </c>
      <c r="E126">
        <v>1</v>
      </c>
      <c r="F126">
        <v>1</v>
      </c>
      <c r="G126">
        <v>1</v>
      </c>
      <c r="H126">
        <v>2</v>
      </c>
      <c r="I126" t="s">
        <v>356</v>
      </c>
      <c r="J126" t="s">
        <v>357</v>
      </c>
      <c r="K126" t="s">
        <v>358</v>
      </c>
      <c r="L126">
        <v>1368</v>
      </c>
      <c r="N126">
        <v>1011</v>
      </c>
      <c r="O126" t="s">
        <v>286</v>
      </c>
      <c r="P126" t="s">
        <v>286</v>
      </c>
      <c r="Q126">
        <v>1</v>
      </c>
      <c r="W126">
        <v>0</v>
      </c>
      <c r="X126">
        <v>1047452784</v>
      </c>
      <c r="Y126">
        <v>0.71</v>
      </c>
      <c r="AA126">
        <v>0</v>
      </c>
      <c r="AB126">
        <v>1.7</v>
      </c>
      <c r="AC126">
        <v>0</v>
      </c>
      <c r="AD126">
        <v>0</v>
      </c>
      <c r="AE126">
        <v>0</v>
      </c>
      <c r="AF126">
        <v>1.7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0.71</v>
      </c>
      <c r="AU126" t="s">
        <v>6</v>
      </c>
      <c r="AV126">
        <v>0</v>
      </c>
      <c r="AW126">
        <v>2</v>
      </c>
      <c r="AX126">
        <v>16481522</v>
      </c>
      <c r="AY126">
        <v>1</v>
      </c>
      <c r="AZ126">
        <v>0</v>
      </c>
      <c r="BA126">
        <v>112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Y126*Source!I70</f>
        <v>5.2114000000000001E-2</v>
      </c>
      <c r="CY126">
        <f>AB126</f>
        <v>1.7</v>
      </c>
      <c r="CZ126">
        <f>AF126</f>
        <v>1.7</v>
      </c>
      <c r="DA126">
        <f>AJ126</f>
        <v>1</v>
      </c>
      <c r="DB126">
        <v>0</v>
      </c>
    </row>
    <row r="127" spans="1:106" x14ac:dyDescent="0.2">
      <c r="A127">
        <f>ROW(Source!A70)</f>
        <v>70</v>
      </c>
      <c r="B127">
        <v>16481133</v>
      </c>
      <c r="C127">
        <v>16481520</v>
      </c>
      <c r="D127">
        <v>15167286</v>
      </c>
      <c r="E127">
        <v>1</v>
      </c>
      <c r="F127">
        <v>1</v>
      </c>
      <c r="G127">
        <v>1</v>
      </c>
      <c r="H127">
        <v>3</v>
      </c>
      <c r="I127" t="s">
        <v>329</v>
      </c>
      <c r="J127" t="s">
        <v>330</v>
      </c>
      <c r="K127" t="s">
        <v>331</v>
      </c>
      <c r="L127">
        <v>1339</v>
      </c>
      <c r="N127">
        <v>1007</v>
      </c>
      <c r="O127" t="s">
        <v>332</v>
      </c>
      <c r="P127" t="s">
        <v>332</v>
      </c>
      <c r="Q127">
        <v>1</v>
      </c>
      <c r="W127">
        <v>0</v>
      </c>
      <c r="X127">
        <v>-1660354250</v>
      </c>
      <c r="Y127">
        <v>0.35</v>
      </c>
      <c r="AA127">
        <v>2.44</v>
      </c>
      <c r="AB127">
        <v>0</v>
      </c>
      <c r="AC127">
        <v>0</v>
      </c>
      <c r="AD127">
        <v>0</v>
      </c>
      <c r="AE127">
        <v>2.44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0.35</v>
      </c>
      <c r="AU127" t="s">
        <v>6</v>
      </c>
      <c r="AV127">
        <v>0</v>
      </c>
      <c r="AW127">
        <v>2</v>
      </c>
      <c r="AX127">
        <v>16481523</v>
      </c>
      <c r="AY127">
        <v>1</v>
      </c>
      <c r="AZ127">
        <v>0</v>
      </c>
      <c r="BA127">
        <v>113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Y127*Source!I70</f>
        <v>2.5690000000000001E-2</v>
      </c>
      <c r="CY127">
        <f>AA127</f>
        <v>2.44</v>
      </c>
      <c r="CZ127">
        <f>AE127</f>
        <v>2.44</v>
      </c>
      <c r="DA127">
        <f>AI127</f>
        <v>1</v>
      </c>
      <c r="DB127">
        <v>0</v>
      </c>
    </row>
    <row r="128" spans="1:106" x14ac:dyDescent="0.2">
      <c r="A128">
        <f>ROW(Source!A70)</f>
        <v>70</v>
      </c>
      <c r="B128">
        <v>16481133</v>
      </c>
      <c r="C128">
        <v>16481520</v>
      </c>
      <c r="D128">
        <v>15164566</v>
      </c>
      <c r="E128">
        <v>17</v>
      </c>
      <c r="F128">
        <v>1</v>
      </c>
      <c r="G128">
        <v>1</v>
      </c>
      <c r="H128">
        <v>3</v>
      </c>
      <c r="I128" t="s">
        <v>55</v>
      </c>
      <c r="J128" t="s">
        <v>6</v>
      </c>
      <c r="K128" t="s">
        <v>56</v>
      </c>
      <c r="L128">
        <v>1348</v>
      </c>
      <c r="N128">
        <v>1009</v>
      </c>
      <c r="O128" t="s">
        <v>57</v>
      </c>
      <c r="P128" t="s">
        <v>57</v>
      </c>
      <c r="Q128">
        <v>1000</v>
      </c>
      <c r="W128">
        <v>0</v>
      </c>
      <c r="X128">
        <v>-179832266</v>
      </c>
      <c r="Y128">
        <v>4.84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6</v>
      </c>
      <c r="AT128">
        <v>4.84</v>
      </c>
      <c r="AU128" t="s">
        <v>6</v>
      </c>
      <c r="AV128">
        <v>0</v>
      </c>
      <c r="AW128">
        <v>2</v>
      </c>
      <c r="AX128">
        <v>16481524</v>
      </c>
      <c r="AY128">
        <v>1</v>
      </c>
      <c r="AZ128">
        <v>0</v>
      </c>
      <c r="BA128">
        <v>114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Y128*Source!I70</f>
        <v>0.35525600000000002</v>
      </c>
      <c r="CY128">
        <f>AA128</f>
        <v>0</v>
      </c>
      <c r="CZ128">
        <f>AE128</f>
        <v>0</v>
      </c>
      <c r="DA128">
        <f>AI128</f>
        <v>1</v>
      </c>
      <c r="DB128">
        <v>0</v>
      </c>
    </row>
    <row r="129" spans="1:106" x14ac:dyDescent="0.2">
      <c r="A129">
        <f>ROW(Source!A70)</f>
        <v>70</v>
      </c>
      <c r="B129">
        <v>16481133</v>
      </c>
      <c r="C129">
        <v>16481520</v>
      </c>
      <c r="D129">
        <v>15172875</v>
      </c>
      <c r="E129">
        <v>1</v>
      </c>
      <c r="F129">
        <v>1</v>
      </c>
      <c r="G129">
        <v>1</v>
      </c>
      <c r="H129">
        <v>3</v>
      </c>
      <c r="I129" t="s">
        <v>333</v>
      </c>
      <c r="J129" t="s">
        <v>334</v>
      </c>
      <c r="K129" t="s">
        <v>335</v>
      </c>
      <c r="L129">
        <v>1339</v>
      </c>
      <c r="N129">
        <v>1007</v>
      </c>
      <c r="O129" t="s">
        <v>332</v>
      </c>
      <c r="P129" t="s">
        <v>332</v>
      </c>
      <c r="Q129">
        <v>1</v>
      </c>
      <c r="W129">
        <v>0</v>
      </c>
      <c r="X129">
        <v>-1001479081</v>
      </c>
      <c r="Y129">
        <v>2.2000000000000002</v>
      </c>
      <c r="AA129">
        <v>517.91</v>
      </c>
      <c r="AB129">
        <v>0</v>
      </c>
      <c r="AC129">
        <v>0</v>
      </c>
      <c r="AD129">
        <v>0</v>
      </c>
      <c r="AE129">
        <v>517.91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2.2000000000000002</v>
      </c>
      <c r="AU129" t="s">
        <v>6</v>
      </c>
      <c r="AV129">
        <v>0</v>
      </c>
      <c r="AW129">
        <v>2</v>
      </c>
      <c r="AX129">
        <v>16481525</v>
      </c>
      <c r="AY129">
        <v>1</v>
      </c>
      <c r="AZ129">
        <v>0</v>
      </c>
      <c r="BA129">
        <v>115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Y129*Source!I70</f>
        <v>0.16148000000000004</v>
      </c>
      <c r="CY129">
        <f>AA129</f>
        <v>517.91</v>
      </c>
      <c r="CZ129">
        <f>AE129</f>
        <v>517.91</v>
      </c>
      <c r="DA129">
        <f>AI129</f>
        <v>1</v>
      </c>
      <c r="DB129">
        <v>0</v>
      </c>
    </row>
    <row r="130" spans="1:106" x14ac:dyDescent="0.2">
      <c r="A130">
        <f>ROW(Source!A71)</f>
        <v>71</v>
      </c>
      <c r="B130">
        <v>16481134</v>
      </c>
      <c r="C130">
        <v>16481520</v>
      </c>
      <c r="D130">
        <v>15436014</v>
      </c>
      <c r="E130">
        <v>1</v>
      </c>
      <c r="F130">
        <v>1</v>
      </c>
      <c r="G130">
        <v>1</v>
      </c>
      <c r="H130">
        <v>1</v>
      </c>
      <c r="I130" t="s">
        <v>287</v>
      </c>
      <c r="J130" t="s">
        <v>6</v>
      </c>
      <c r="K130" t="s">
        <v>288</v>
      </c>
      <c r="L130">
        <v>1191</v>
      </c>
      <c r="N130">
        <v>1013</v>
      </c>
      <c r="O130" t="s">
        <v>280</v>
      </c>
      <c r="P130" t="s">
        <v>280</v>
      </c>
      <c r="Q130">
        <v>1</v>
      </c>
      <c r="W130">
        <v>0</v>
      </c>
      <c r="X130">
        <v>-784637506</v>
      </c>
      <c r="Y130">
        <v>188.25</v>
      </c>
      <c r="AA130">
        <v>0</v>
      </c>
      <c r="AB130">
        <v>0</v>
      </c>
      <c r="AC130">
        <v>0</v>
      </c>
      <c r="AD130">
        <v>52.35</v>
      </c>
      <c r="AE130">
        <v>0</v>
      </c>
      <c r="AF130">
        <v>0</v>
      </c>
      <c r="AG130">
        <v>0</v>
      </c>
      <c r="AH130">
        <v>8.74</v>
      </c>
      <c r="AI130">
        <v>1</v>
      </c>
      <c r="AJ130">
        <v>1</v>
      </c>
      <c r="AK130">
        <v>1</v>
      </c>
      <c r="AL130">
        <v>5.99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188.25</v>
      </c>
      <c r="AU130" t="s">
        <v>6</v>
      </c>
      <c r="AV130">
        <v>1</v>
      </c>
      <c r="AW130">
        <v>2</v>
      </c>
      <c r="AX130">
        <v>16481521</v>
      </c>
      <c r="AY130">
        <v>1</v>
      </c>
      <c r="AZ130">
        <v>0</v>
      </c>
      <c r="BA130">
        <v>116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Y130*Source!I71</f>
        <v>13.817550000000001</v>
      </c>
      <c r="CY130">
        <f>AD130</f>
        <v>52.35</v>
      </c>
      <c r="CZ130">
        <f>AH130</f>
        <v>8.74</v>
      </c>
      <c r="DA130">
        <f>AL130</f>
        <v>5.99</v>
      </c>
      <c r="DB130">
        <v>0</v>
      </c>
    </row>
    <row r="131" spans="1:106" x14ac:dyDescent="0.2">
      <c r="A131">
        <f>ROW(Source!A71)</f>
        <v>71</v>
      </c>
      <c r="B131">
        <v>16481134</v>
      </c>
      <c r="C131">
        <v>16481520</v>
      </c>
      <c r="D131">
        <v>15247878</v>
      </c>
      <c r="E131">
        <v>1</v>
      </c>
      <c r="F131">
        <v>1</v>
      </c>
      <c r="G131">
        <v>1</v>
      </c>
      <c r="H131">
        <v>2</v>
      </c>
      <c r="I131" t="s">
        <v>356</v>
      </c>
      <c r="J131" t="s">
        <v>357</v>
      </c>
      <c r="K131" t="s">
        <v>358</v>
      </c>
      <c r="L131">
        <v>1368</v>
      </c>
      <c r="N131">
        <v>1011</v>
      </c>
      <c r="O131" t="s">
        <v>286</v>
      </c>
      <c r="P131" t="s">
        <v>286</v>
      </c>
      <c r="Q131">
        <v>1</v>
      </c>
      <c r="W131">
        <v>0</v>
      </c>
      <c r="X131">
        <v>1047452784</v>
      </c>
      <c r="Y131">
        <v>0.71</v>
      </c>
      <c r="AA131">
        <v>0</v>
      </c>
      <c r="AB131">
        <v>10.18</v>
      </c>
      <c r="AC131">
        <v>0</v>
      </c>
      <c r="AD131">
        <v>0</v>
      </c>
      <c r="AE131">
        <v>0</v>
      </c>
      <c r="AF131">
        <v>1.7</v>
      </c>
      <c r="AG131">
        <v>0</v>
      </c>
      <c r="AH131">
        <v>0</v>
      </c>
      <c r="AI131">
        <v>1</v>
      </c>
      <c r="AJ131">
        <v>5.99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0.71</v>
      </c>
      <c r="AU131" t="s">
        <v>6</v>
      </c>
      <c r="AV131">
        <v>0</v>
      </c>
      <c r="AW131">
        <v>2</v>
      </c>
      <c r="AX131">
        <v>16481522</v>
      </c>
      <c r="AY131">
        <v>1</v>
      </c>
      <c r="AZ131">
        <v>0</v>
      </c>
      <c r="BA131">
        <v>117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Y131*Source!I71</f>
        <v>5.2114000000000001E-2</v>
      </c>
      <c r="CY131">
        <f>AB131</f>
        <v>10.18</v>
      </c>
      <c r="CZ131">
        <f>AF131</f>
        <v>1.7</v>
      </c>
      <c r="DA131">
        <f>AJ131</f>
        <v>5.99</v>
      </c>
      <c r="DB131">
        <v>0</v>
      </c>
    </row>
    <row r="132" spans="1:106" x14ac:dyDescent="0.2">
      <c r="A132">
        <f>ROW(Source!A71)</f>
        <v>71</v>
      </c>
      <c r="B132">
        <v>16481134</v>
      </c>
      <c r="C132">
        <v>16481520</v>
      </c>
      <c r="D132">
        <v>15167286</v>
      </c>
      <c r="E132">
        <v>1</v>
      </c>
      <c r="F132">
        <v>1</v>
      </c>
      <c r="G132">
        <v>1</v>
      </c>
      <c r="H132">
        <v>3</v>
      </c>
      <c r="I132" t="s">
        <v>329</v>
      </c>
      <c r="J132" t="s">
        <v>330</v>
      </c>
      <c r="K132" t="s">
        <v>331</v>
      </c>
      <c r="L132">
        <v>1339</v>
      </c>
      <c r="N132">
        <v>1007</v>
      </c>
      <c r="O132" t="s">
        <v>332</v>
      </c>
      <c r="P132" t="s">
        <v>332</v>
      </c>
      <c r="Q132">
        <v>1</v>
      </c>
      <c r="W132">
        <v>0</v>
      </c>
      <c r="X132">
        <v>-1660354250</v>
      </c>
      <c r="Y132">
        <v>0.35</v>
      </c>
      <c r="AA132">
        <v>14.62</v>
      </c>
      <c r="AB132">
        <v>0</v>
      </c>
      <c r="AC132">
        <v>0</v>
      </c>
      <c r="AD132">
        <v>0</v>
      </c>
      <c r="AE132">
        <v>2.44</v>
      </c>
      <c r="AF132">
        <v>0</v>
      </c>
      <c r="AG132">
        <v>0</v>
      </c>
      <c r="AH132">
        <v>0</v>
      </c>
      <c r="AI132">
        <v>5.99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0.35</v>
      </c>
      <c r="AU132" t="s">
        <v>6</v>
      </c>
      <c r="AV132">
        <v>0</v>
      </c>
      <c r="AW132">
        <v>2</v>
      </c>
      <c r="AX132">
        <v>16481523</v>
      </c>
      <c r="AY132">
        <v>1</v>
      </c>
      <c r="AZ132">
        <v>0</v>
      </c>
      <c r="BA132">
        <v>118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Y132*Source!I71</f>
        <v>2.5690000000000001E-2</v>
      </c>
      <c r="CY132">
        <f>AA132</f>
        <v>14.62</v>
      </c>
      <c r="CZ132">
        <f>AE132</f>
        <v>2.44</v>
      </c>
      <c r="DA132">
        <f>AI132</f>
        <v>5.99</v>
      </c>
      <c r="DB132">
        <v>0</v>
      </c>
    </row>
    <row r="133" spans="1:106" x14ac:dyDescent="0.2">
      <c r="A133">
        <f>ROW(Source!A71)</f>
        <v>71</v>
      </c>
      <c r="B133">
        <v>16481134</v>
      </c>
      <c r="C133">
        <v>16481520</v>
      </c>
      <c r="D133">
        <v>15164566</v>
      </c>
      <c r="E133">
        <v>17</v>
      </c>
      <c r="F133">
        <v>1</v>
      </c>
      <c r="G133">
        <v>1</v>
      </c>
      <c r="H133">
        <v>3</v>
      </c>
      <c r="I133" t="s">
        <v>55</v>
      </c>
      <c r="J133" t="s">
        <v>6</v>
      </c>
      <c r="K133" t="s">
        <v>56</v>
      </c>
      <c r="L133">
        <v>1348</v>
      </c>
      <c r="N133">
        <v>1009</v>
      </c>
      <c r="O133" t="s">
        <v>57</v>
      </c>
      <c r="P133" t="s">
        <v>57</v>
      </c>
      <c r="Q133">
        <v>1000</v>
      </c>
      <c r="W133">
        <v>0</v>
      </c>
      <c r="X133">
        <v>-179832266</v>
      </c>
      <c r="Y133">
        <v>4.84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5.99</v>
      </c>
      <c r="AJ133">
        <v>1</v>
      </c>
      <c r="AK133">
        <v>1</v>
      </c>
      <c r="AL133">
        <v>1</v>
      </c>
      <c r="AN133">
        <v>0</v>
      </c>
      <c r="AO133">
        <v>0</v>
      </c>
      <c r="AP133">
        <v>0</v>
      </c>
      <c r="AQ133">
        <v>0</v>
      </c>
      <c r="AR133">
        <v>0</v>
      </c>
      <c r="AS133" t="s">
        <v>6</v>
      </c>
      <c r="AT133">
        <v>4.84</v>
      </c>
      <c r="AU133" t="s">
        <v>6</v>
      </c>
      <c r="AV133">
        <v>0</v>
      </c>
      <c r="AW133">
        <v>2</v>
      </c>
      <c r="AX133">
        <v>16481524</v>
      </c>
      <c r="AY133">
        <v>1</v>
      </c>
      <c r="AZ133">
        <v>0</v>
      </c>
      <c r="BA133">
        <v>119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Y133*Source!I71</f>
        <v>0.35525600000000002</v>
      </c>
      <c r="CY133">
        <f>AA133</f>
        <v>0</v>
      </c>
      <c r="CZ133">
        <f>AE133</f>
        <v>0</v>
      </c>
      <c r="DA133">
        <f>AI133</f>
        <v>5.99</v>
      </c>
      <c r="DB133">
        <v>0</v>
      </c>
    </row>
    <row r="134" spans="1:106" x14ac:dyDescent="0.2">
      <c r="A134">
        <f>ROW(Source!A71)</f>
        <v>71</v>
      </c>
      <c r="B134">
        <v>16481134</v>
      </c>
      <c r="C134">
        <v>16481520</v>
      </c>
      <c r="D134">
        <v>15172875</v>
      </c>
      <c r="E134">
        <v>1</v>
      </c>
      <c r="F134">
        <v>1</v>
      </c>
      <c r="G134">
        <v>1</v>
      </c>
      <c r="H134">
        <v>3</v>
      </c>
      <c r="I134" t="s">
        <v>333</v>
      </c>
      <c r="J134" t="s">
        <v>334</v>
      </c>
      <c r="K134" t="s">
        <v>335</v>
      </c>
      <c r="L134">
        <v>1339</v>
      </c>
      <c r="N134">
        <v>1007</v>
      </c>
      <c r="O134" t="s">
        <v>332</v>
      </c>
      <c r="P134" t="s">
        <v>332</v>
      </c>
      <c r="Q134">
        <v>1</v>
      </c>
      <c r="W134">
        <v>0</v>
      </c>
      <c r="X134">
        <v>-1001479081</v>
      </c>
      <c r="Y134">
        <v>2.2000000000000002</v>
      </c>
      <c r="AA134">
        <v>3102.28</v>
      </c>
      <c r="AB134">
        <v>0</v>
      </c>
      <c r="AC134">
        <v>0</v>
      </c>
      <c r="AD134">
        <v>0</v>
      </c>
      <c r="AE134">
        <v>517.91</v>
      </c>
      <c r="AF134">
        <v>0</v>
      </c>
      <c r="AG134">
        <v>0</v>
      </c>
      <c r="AH134">
        <v>0</v>
      </c>
      <c r="AI134">
        <v>5.99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2.2000000000000002</v>
      </c>
      <c r="AU134" t="s">
        <v>6</v>
      </c>
      <c r="AV134">
        <v>0</v>
      </c>
      <c r="AW134">
        <v>2</v>
      </c>
      <c r="AX134">
        <v>16481525</v>
      </c>
      <c r="AY134">
        <v>1</v>
      </c>
      <c r="AZ134">
        <v>0</v>
      </c>
      <c r="BA134">
        <v>120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Y134*Source!I71</f>
        <v>0.16148000000000004</v>
      </c>
      <c r="CY134">
        <f>AA134</f>
        <v>3102.28</v>
      </c>
      <c r="CZ134">
        <f>AE134</f>
        <v>517.91</v>
      </c>
      <c r="DA134">
        <f>AI134</f>
        <v>5.99</v>
      </c>
      <c r="DB134">
        <v>0</v>
      </c>
    </row>
    <row r="135" spans="1:106" x14ac:dyDescent="0.2">
      <c r="A135">
        <f>ROW(Source!A74)</f>
        <v>74</v>
      </c>
      <c r="B135">
        <v>16481133</v>
      </c>
      <c r="C135">
        <v>16481484</v>
      </c>
      <c r="D135">
        <v>15430447</v>
      </c>
      <c r="E135">
        <v>1</v>
      </c>
      <c r="F135">
        <v>1</v>
      </c>
      <c r="G135">
        <v>1</v>
      </c>
      <c r="H135">
        <v>1</v>
      </c>
      <c r="I135" t="s">
        <v>359</v>
      </c>
      <c r="J135" t="s">
        <v>6</v>
      </c>
      <c r="K135" t="s">
        <v>360</v>
      </c>
      <c r="L135">
        <v>1191</v>
      </c>
      <c r="N135">
        <v>1013</v>
      </c>
      <c r="O135" t="s">
        <v>280</v>
      </c>
      <c r="P135" t="s">
        <v>280</v>
      </c>
      <c r="Q135">
        <v>1</v>
      </c>
      <c r="W135">
        <v>0</v>
      </c>
      <c r="X135">
        <v>145020957</v>
      </c>
      <c r="Y135">
        <v>14.39</v>
      </c>
      <c r="AA135">
        <v>0</v>
      </c>
      <c r="AB135">
        <v>0</v>
      </c>
      <c r="AC135">
        <v>0</v>
      </c>
      <c r="AD135">
        <v>9.07</v>
      </c>
      <c r="AE135">
        <v>0</v>
      </c>
      <c r="AF135">
        <v>0</v>
      </c>
      <c r="AG135">
        <v>0</v>
      </c>
      <c r="AH135">
        <v>9.07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14.39</v>
      </c>
      <c r="AU135" t="s">
        <v>6</v>
      </c>
      <c r="AV135">
        <v>1</v>
      </c>
      <c r="AW135">
        <v>2</v>
      </c>
      <c r="AX135">
        <v>16481507</v>
      </c>
      <c r="AY135">
        <v>1</v>
      </c>
      <c r="AZ135">
        <v>0</v>
      </c>
      <c r="BA135">
        <v>121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Y135*Source!I74</f>
        <v>1.0562260000000001</v>
      </c>
      <c r="CY135">
        <f>AD135</f>
        <v>9.07</v>
      </c>
      <c r="CZ135">
        <f>AH135</f>
        <v>9.07</v>
      </c>
      <c r="DA135">
        <f>AL135</f>
        <v>1</v>
      </c>
      <c r="DB135">
        <v>0</v>
      </c>
    </row>
    <row r="136" spans="1:106" x14ac:dyDescent="0.2">
      <c r="A136">
        <f>ROW(Source!A74)</f>
        <v>74</v>
      </c>
      <c r="B136">
        <v>16481133</v>
      </c>
      <c r="C136">
        <v>16481484</v>
      </c>
      <c r="D136">
        <v>15430395</v>
      </c>
      <c r="E136">
        <v>1</v>
      </c>
      <c r="F136">
        <v>1</v>
      </c>
      <c r="G136">
        <v>1</v>
      </c>
      <c r="H136">
        <v>1</v>
      </c>
      <c r="I136" t="s">
        <v>281</v>
      </c>
      <c r="J136" t="s">
        <v>6</v>
      </c>
      <c r="K136" t="s">
        <v>282</v>
      </c>
      <c r="L136">
        <v>1191</v>
      </c>
      <c r="N136">
        <v>1013</v>
      </c>
      <c r="O136" t="s">
        <v>280</v>
      </c>
      <c r="P136" t="s">
        <v>280</v>
      </c>
      <c r="Q136">
        <v>1</v>
      </c>
      <c r="W136">
        <v>0</v>
      </c>
      <c r="X136">
        <v>-1417349443</v>
      </c>
      <c r="Y136">
        <v>0.12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0.12</v>
      </c>
      <c r="AU136" t="s">
        <v>6</v>
      </c>
      <c r="AV136">
        <v>2</v>
      </c>
      <c r="AW136">
        <v>2</v>
      </c>
      <c r="AX136">
        <v>16481508</v>
      </c>
      <c r="AY136">
        <v>1</v>
      </c>
      <c r="AZ136">
        <v>0</v>
      </c>
      <c r="BA136">
        <v>122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Y136*Source!I74</f>
        <v>8.8079999999999999E-3</v>
      </c>
      <c r="CY136">
        <f>AD136</f>
        <v>0</v>
      </c>
      <c r="CZ136">
        <f>AH136</f>
        <v>0</v>
      </c>
      <c r="DA136">
        <f>AL136</f>
        <v>1</v>
      </c>
      <c r="DB136">
        <v>0</v>
      </c>
    </row>
    <row r="137" spans="1:106" x14ac:dyDescent="0.2">
      <c r="A137">
        <f>ROW(Source!A74)</f>
        <v>74</v>
      </c>
      <c r="B137">
        <v>16481133</v>
      </c>
      <c r="C137">
        <v>16481484</v>
      </c>
      <c r="D137">
        <v>15247878</v>
      </c>
      <c r="E137">
        <v>1</v>
      </c>
      <c r="F137">
        <v>1</v>
      </c>
      <c r="G137">
        <v>1</v>
      </c>
      <c r="H137">
        <v>2</v>
      </c>
      <c r="I137" t="s">
        <v>356</v>
      </c>
      <c r="J137" t="s">
        <v>357</v>
      </c>
      <c r="K137" t="s">
        <v>358</v>
      </c>
      <c r="L137">
        <v>1368</v>
      </c>
      <c r="N137">
        <v>1011</v>
      </c>
      <c r="O137" t="s">
        <v>286</v>
      </c>
      <c r="P137" t="s">
        <v>286</v>
      </c>
      <c r="Q137">
        <v>1</v>
      </c>
      <c r="W137">
        <v>0</v>
      </c>
      <c r="X137">
        <v>1047452784</v>
      </c>
      <c r="Y137">
        <v>0.24</v>
      </c>
      <c r="AA137">
        <v>0</v>
      </c>
      <c r="AB137">
        <v>1.7</v>
      </c>
      <c r="AC137">
        <v>0</v>
      </c>
      <c r="AD137">
        <v>0</v>
      </c>
      <c r="AE137">
        <v>0</v>
      </c>
      <c r="AF137">
        <v>1.7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0.24</v>
      </c>
      <c r="AU137" t="s">
        <v>6</v>
      </c>
      <c r="AV137">
        <v>0</v>
      </c>
      <c r="AW137">
        <v>2</v>
      </c>
      <c r="AX137">
        <v>16481509</v>
      </c>
      <c r="AY137">
        <v>1</v>
      </c>
      <c r="AZ137">
        <v>0</v>
      </c>
      <c r="BA137">
        <v>123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Y137*Source!I74</f>
        <v>1.7616E-2</v>
      </c>
      <c r="CY137">
        <f>AB137</f>
        <v>1.7</v>
      </c>
      <c r="CZ137">
        <f>AF137</f>
        <v>1.7</v>
      </c>
      <c r="DA137">
        <f>AJ137</f>
        <v>1</v>
      </c>
      <c r="DB137">
        <v>0</v>
      </c>
    </row>
    <row r="138" spans="1:106" x14ac:dyDescent="0.2">
      <c r="A138">
        <f>ROW(Source!A74)</f>
        <v>74</v>
      </c>
      <c r="B138">
        <v>16481133</v>
      </c>
      <c r="C138">
        <v>16481484</v>
      </c>
      <c r="D138">
        <v>15249073</v>
      </c>
      <c r="E138">
        <v>1</v>
      </c>
      <c r="F138">
        <v>1</v>
      </c>
      <c r="G138">
        <v>1</v>
      </c>
      <c r="H138">
        <v>2</v>
      </c>
      <c r="I138" t="s">
        <v>289</v>
      </c>
      <c r="J138" t="s">
        <v>290</v>
      </c>
      <c r="K138" t="s">
        <v>291</v>
      </c>
      <c r="L138">
        <v>1368</v>
      </c>
      <c r="N138">
        <v>1011</v>
      </c>
      <c r="O138" t="s">
        <v>286</v>
      </c>
      <c r="P138" t="s">
        <v>286</v>
      </c>
      <c r="Q138">
        <v>1</v>
      </c>
      <c r="W138">
        <v>0</v>
      </c>
      <c r="X138">
        <v>1372534845</v>
      </c>
      <c r="Y138">
        <v>0.12</v>
      </c>
      <c r="AA138">
        <v>0</v>
      </c>
      <c r="AB138">
        <v>65.709999999999994</v>
      </c>
      <c r="AC138">
        <v>11.6</v>
      </c>
      <c r="AD138">
        <v>0</v>
      </c>
      <c r="AE138">
        <v>0</v>
      </c>
      <c r="AF138">
        <v>65.709999999999994</v>
      </c>
      <c r="AG138">
        <v>11.6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0.12</v>
      </c>
      <c r="AU138" t="s">
        <v>6</v>
      </c>
      <c r="AV138">
        <v>0</v>
      </c>
      <c r="AW138">
        <v>2</v>
      </c>
      <c r="AX138">
        <v>16481510</v>
      </c>
      <c r="AY138">
        <v>1</v>
      </c>
      <c r="AZ138">
        <v>0</v>
      </c>
      <c r="BA138">
        <v>124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Y138*Source!I74</f>
        <v>8.8079999999999999E-3</v>
      </c>
      <c r="CY138">
        <f>AB138</f>
        <v>65.709999999999994</v>
      </c>
      <c r="CZ138">
        <f>AF138</f>
        <v>65.709999999999994</v>
      </c>
      <c r="DA138">
        <f>AJ138</f>
        <v>1</v>
      </c>
      <c r="DB138">
        <v>0</v>
      </c>
    </row>
    <row r="139" spans="1:106" x14ac:dyDescent="0.2">
      <c r="A139">
        <f>ROW(Source!A74)</f>
        <v>74</v>
      </c>
      <c r="B139">
        <v>16481133</v>
      </c>
      <c r="C139">
        <v>16481484</v>
      </c>
      <c r="D139">
        <v>15171018</v>
      </c>
      <c r="E139">
        <v>1</v>
      </c>
      <c r="F139">
        <v>1</v>
      </c>
      <c r="G139">
        <v>1</v>
      </c>
      <c r="H139">
        <v>3</v>
      </c>
      <c r="I139" t="s">
        <v>324</v>
      </c>
      <c r="J139" t="s">
        <v>325</v>
      </c>
      <c r="K139" t="s">
        <v>326</v>
      </c>
      <c r="L139">
        <v>1346</v>
      </c>
      <c r="N139">
        <v>1009</v>
      </c>
      <c r="O139" t="s">
        <v>86</v>
      </c>
      <c r="P139" t="s">
        <v>86</v>
      </c>
      <c r="Q139">
        <v>1</v>
      </c>
      <c r="W139">
        <v>0</v>
      </c>
      <c r="X139">
        <v>813963326</v>
      </c>
      <c r="Y139">
        <v>0.41</v>
      </c>
      <c r="AA139">
        <v>1.82</v>
      </c>
      <c r="AB139">
        <v>0</v>
      </c>
      <c r="AC139">
        <v>0</v>
      </c>
      <c r="AD139">
        <v>0</v>
      </c>
      <c r="AE139">
        <v>1.82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0.41</v>
      </c>
      <c r="AU139" t="s">
        <v>6</v>
      </c>
      <c r="AV139">
        <v>0</v>
      </c>
      <c r="AW139">
        <v>2</v>
      </c>
      <c r="AX139">
        <v>16481511</v>
      </c>
      <c r="AY139">
        <v>1</v>
      </c>
      <c r="AZ139">
        <v>0</v>
      </c>
      <c r="BA139">
        <v>125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Y139*Source!I74</f>
        <v>3.0094000000000003E-2</v>
      </c>
      <c r="CY139">
        <f t="shared" ref="CY139:CY145" si="24">AA139</f>
        <v>1.82</v>
      </c>
      <c r="CZ139">
        <f t="shared" ref="CZ139:CZ145" si="25">AE139</f>
        <v>1.82</v>
      </c>
      <c r="DA139">
        <f t="shared" ref="DA139:DA145" si="26">AI139</f>
        <v>1</v>
      </c>
      <c r="DB139">
        <v>0</v>
      </c>
    </row>
    <row r="140" spans="1:106" x14ac:dyDescent="0.2">
      <c r="A140">
        <f>ROW(Source!A74)</f>
        <v>74</v>
      </c>
      <c r="B140">
        <v>16481133</v>
      </c>
      <c r="C140">
        <v>16481484</v>
      </c>
      <c r="D140">
        <v>15171907</v>
      </c>
      <c r="E140">
        <v>1</v>
      </c>
      <c r="F140">
        <v>1</v>
      </c>
      <c r="G140">
        <v>1</v>
      </c>
      <c r="H140">
        <v>3</v>
      </c>
      <c r="I140" t="s">
        <v>347</v>
      </c>
      <c r="J140" t="s">
        <v>348</v>
      </c>
      <c r="K140" t="s">
        <v>349</v>
      </c>
      <c r="L140">
        <v>1339</v>
      </c>
      <c r="N140">
        <v>1007</v>
      </c>
      <c r="O140" t="s">
        <v>332</v>
      </c>
      <c r="P140" t="s">
        <v>332</v>
      </c>
      <c r="Q140">
        <v>1</v>
      </c>
      <c r="W140">
        <v>0</v>
      </c>
      <c r="X140">
        <v>1795918813</v>
      </c>
      <c r="Y140">
        <v>4.7000000000000002E-3</v>
      </c>
      <c r="AA140">
        <v>74.58</v>
      </c>
      <c r="AB140">
        <v>0</v>
      </c>
      <c r="AC140">
        <v>0</v>
      </c>
      <c r="AD140">
        <v>0</v>
      </c>
      <c r="AE140">
        <v>74.58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4.7000000000000002E-3</v>
      </c>
      <c r="AU140" t="s">
        <v>6</v>
      </c>
      <c r="AV140">
        <v>0</v>
      </c>
      <c r="AW140">
        <v>2</v>
      </c>
      <c r="AX140">
        <v>16481512</v>
      </c>
      <c r="AY140">
        <v>1</v>
      </c>
      <c r="AZ140">
        <v>0</v>
      </c>
      <c r="BA140">
        <v>126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Y140*Source!I74</f>
        <v>3.4498000000000005E-4</v>
      </c>
      <c r="CY140">
        <f t="shared" si="24"/>
        <v>74.58</v>
      </c>
      <c r="CZ140">
        <f t="shared" si="25"/>
        <v>74.58</v>
      </c>
      <c r="DA140">
        <f t="shared" si="26"/>
        <v>1</v>
      </c>
      <c r="DB140">
        <v>0</v>
      </c>
    </row>
    <row r="141" spans="1:106" x14ac:dyDescent="0.2">
      <c r="A141">
        <f>ROW(Source!A74)</f>
        <v>74</v>
      </c>
      <c r="B141">
        <v>16481133</v>
      </c>
      <c r="C141">
        <v>16481484</v>
      </c>
      <c r="D141">
        <v>15203663</v>
      </c>
      <c r="E141">
        <v>1</v>
      </c>
      <c r="F141">
        <v>1</v>
      </c>
      <c r="G141">
        <v>1</v>
      </c>
      <c r="H141">
        <v>3</v>
      </c>
      <c r="I141" t="s">
        <v>361</v>
      </c>
      <c r="J141" t="s">
        <v>362</v>
      </c>
      <c r="K141" t="s">
        <v>363</v>
      </c>
      <c r="L141">
        <v>1348</v>
      </c>
      <c r="N141">
        <v>1009</v>
      </c>
      <c r="O141" t="s">
        <v>57</v>
      </c>
      <c r="P141" t="s">
        <v>57</v>
      </c>
      <c r="Q141">
        <v>1000</v>
      </c>
      <c r="W141">
        <v>0</v>
      </c>
      <c r="X141">
        <v>344500605</v>
      </c>
      <c r="Y141">
        <v>1.4999999999999999E-2</v>
      </c>
      <c r="AA141">
        <v>18362</v>
      </c>
      <c r="AB141">
        <v>0</v>
      </c>
      <c r="AC141">
        <v>0</v>
      </c>
      <c r="AD141">
        <v>0</v>
      </c>
      <c r="AE141">
        <v>18362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1.4999999999999999E-2</v>
      </c>
      <c r="AU141" t="s">
        <v>6</v>
      </c>
      <c r="AV141">
        <v>0</v>
      </c>
      <c r="AW141">
        <v>2</v>
      </c>
      <c r="AX141">
        <v>16481513</v>
      </c>
      <c r="AY141">
        <v>1</v>
      </c>
      <c r="AZ141">
        <v>0</v>
      </c>
      <c r="BA141">
        <v>127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Y141*Source!I74</f>
        <v>1.101E-3</v>
      </c>
      <c r="CY141">
        <f t="shared" si="24"/>
        <v>18362</v>
      </c>
      <c r="CZ141">
        <f t="shared" si="25"/>
        <v>18362</v>
      </c>
      <c r="DA141">
        <f t="shared" si="26"/>
        <v>1</v>
      </c>
      <c r="DB141">
        <v>0</v>
      </c>
    </row>
    <row r="142" spans="1:106" x14ac:dyDescent="0.2">
      <c r="A142">
        <f>ROW(Source!A74)</f>
        <v>74</v>
      </c>
      <c r="B142">
        <v>16481133</v>
      </c>
      <c r="C142">
        <v>16481484</v>
      </c>
      <c r="D142">
        <v>15163065</v>
      </c>
      <c r="E142">
        <v>17</v>
      </c>
      <c r="F142">
        <v>1</v>
      </c>
      <c r="G142">
        <v>1</v>
      </c>
      <c r="H142">
        <v>3</v>
      </c>
      <c r="I142" t="s">
        <v>128</v>
      </c>
      <c r="J142" t="s">
        <v>6</v>
      </c>
      <c r="K142" t="s">
        <v>129</v>
      </c>
      <c r="L142">
        <v>1348</v>
      </c>
      <c r="N142">
        <v>1009</v>
      </c>
      <c r="O142" t="s">
        <v>57</v>
      </c>
      <c r="P142" t="s">
        <v>57</v>
      </c>
      <c r="Q142">
        <v>1000</v>
      </c>
      <c r="W142">
        <v>0</v>
      </c>
      <c r="X142">
        <v>1182840811</v>
      </c>
      <c r="Y142">
        <v>5.8999999999999997E-2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6</v>
      </c>
      <c r="AT142">
        <v>5.8999999999999997E-2</v>
      </c>
      <c r="AU142" t="s">
        <v>6</v>
      </c>
      <c r="AV142">
        <v>0</v>
      </c>
      <c r="AW142">
        <v>2</v>
      </c>
      <c r="AX142">
        <v>16481514</v>
      </c>
      <c r="AY142">
        <v>1</v>
      </c>
      <c r="AZ142">
        <v>0</v>
      </c>
      <c r="BA142">
        <v>128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Y142*Source!I74</f>
        <v>4.3306000000000004E-3</v>
      </c>
      <c r="CY142">
        <f t="shared" si="24"/>
        <v>0</v>
      </c>
      <c r="CZ142">
        <f t="shared" si="25"/>
        <v>0</v>
      </c>
      <c r="DA142">
        <f t="shared" si="26"/>
        <v>1</v>
      </c>
      <c r="DB142">
        <v>0</v>
      </c>
    </row>
    <row r="143" spans="1:106" x14ac:dyDescent="0.2">
      <c r="A143">
        <f>ROW(Source!A74)</f>
        <v>74</v>
      </c>
      <c r="B143">
        <v>16481133</v>
      </c>
      <c r="C143">
        <v>16481484</v>
      </c>
      <c r="D143">
        <v>15203823</v>
      </c>
      <c r="E143">
        <v>1</v>
      </c>
      <c r="F143">
        <v>1</v>
      </c>
      <c r="G143">
        <v>1</v>
      </c>
      <c r="H143">
        <v>3</v>
      </c>
      <c r="I143" t="s">
        <v>131</v>
      </c>
      <c r="J143" t="s">
        <v>133</v>
      </c>
      <c r="K143" t="s">
        <v>132</v>
      </c>
      <c r="L143">
        <v>1348</v>
      </c>
      <c r="N143">
        <v>1009</v>
      </c>
      <c r="O143" t="s">
        <v>57</v>
      </c>
      <c r="P143" t="s">
        <v>57</v>
      </c>
      <c r="Q143">
        <v>1000</v>
      </c>
      <c r="W143">
        <v>0</v>
      </c>
      <c r="X143">
        <v>2085149391</v>
      </c>
      <c r="Y143">
        <v>5.9005000000000002E-2</v>
      </c>
      <c r="AA143">
        <v>15989</v>
      </c>
      <c r="AB143">
        <v>0</v>
      </c>
      <c r="AC143">
        <v>0</v>
      </c>
      <c r="AD143">
        <v>0</v>
      </c>
      <c r="AE143">
        <v>15989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6</v>
      </c>
      <c r="AT143">
        <v>5.9005000000000002E-2</v>
      </c>
      <c r="AU143" t="s">
        <v>6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6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Y143*Source!I74</f>
        <v>4.3309670000000007E-3</v>
      </c>
      <c r="CY143">
        <f t="shared" si="24"/>
        <v>15989</v>
      </c>
      <c r="CZ143">
        <f t="shared" si="25"/>
        <v>15989</v>
      </c>
      <c r="DA143">
        <f t="shared" si="26"/>
        <v>1</v>
      </c>
      <c r="DB143">
        <v>0</v>
      </c>
    </row>
    <row r="144" spans="1:106" x14ac:dyDescent="0.2">
      <c r="A144">
        <f>ROW(Source!A74)</f>
        <v>74</v>
      </c>
      <c r="B144">
        <v>16481133</v>
      </c>
      <c r="C144">
        <v>16481484</v>
      </c>
      <c r="D144">
        <v>15204703</v>
      </c>
      <c r="E144">
        <v>1</v>
      </c>
      <c r="F144">
        <v>1</v>
      </c>
      <c r="G144">
        <v>1</v>
      </c>
      <c r="H144">
        <v>3</v>
      </c>
      <c r="I144" t="s">
        <v>364</v>
      </c>
      <c r="J144" t="s">
        <v>365</v>
      </c>
      <c r="K144" t="s">
        <v>366</v>
      </c>
      <c r="L144">
        <v>1348</v>
      </c>
      <c r="N144">
        <v>1009</v>
      </c>
      <c r="O144" t="s">
        <v>57</v>
      </c>
      <c r="P144" t="s">
        <v>57</v>
      </c>
      <c r="Q144">
        <v>1000</v>
      </c>
      <c r="W144">
        <v>0</v>
      </c>
      <c r="X144">
        <v>-2124557522</v>
      </c>
      <c r="Y144">
        <v>0.01</v>
      </c>
      <c r="AA144">
        <v>6667</v>
      </c>
      <c r="AB144">
        <v>0</v>
      </c>
      <c r="AC144">
        <v>0</v>
      </c>
      <c r="AD144">
        <v>0</v>
      </c>
      <c r="AE144">
        <v>6667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0.01</v>
      </c>
      <c r="AU144" t="s">
        <v>6</v>
      </c>
      <c r="AV144">
        <v>0</v>
      </c>
      <c r="AW144">
        <v>2</v>
      </c>
      <c r="AX144">
        <v>16481515</v>
      </c>
      <c r="AY144">
        <v>1</v>
      </c>
      <c r="AZ144">
        <v>0</v>
      </c>
      <c r="BA144">
        <v>129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Y144*Source!I74</f>
        <v>7.3400000000000006E-4</v>
      </c>
      <c r="CY144">
        <f t="shared" si="24"/>
        <v>6667</v>
      </c>
      <c r="CZ144">
        <f t="shared" si="25"/>
        <v>6667</v>
      </c>
      <c r="DA144">
        <f t="shared" si="26"/>
        <v>1</v>
      </c>
      <c r="DB144">
        <v>0</v>
      </c>
    </row>
    <row r="145" spans="1:106" x14ac:dyDescent="0.2">
      <c r="A145">
        <f>ROW(Source!A74)</f>
        <v>74</v>
      </c>
      <c r="B145">
        <v>16481133</v>
      </c>
      <c r="C145">
        <v>16481484</v>
      </c>
      <c r="D145">
        <v>15204788</v>
      </c>
      <c r="E145">
        <v>1</v>
      </c>
      <c r="F145">
        <v>1</v>
      </c>
      <c r="G145">
        <v>1</v>
      </c>
      <c r="H145">
        <v>3</v>
      </c>
      <c r="I145" t="s">
        <v>367</v>
      </c>
      <c r="J145" t="s">
        <v>368</v>
      </c>
      <c r="K145" t="s">
        <v>369</v>
      </c>
      <c r="L145">
        <v>1348</v>
      </c>
      <c r="N145">
        <v>1009</v>
      </c>
      <c r="O145" t="s">
        <v>57</v>
      </c>
      <c r="P145" t="s">
        <v>57</v>
      </c>
      <c r="Q145">
        <v>1000</v>
      </c>
      <c r="W145">
        <v>0</v>
      </c>
      <c r="X145">
        <v>-251271162</v>
      </c>
      <c r="Y145">
        <v>1.2E-2</v>
      </c>
      <c r="AA145">
        <v>16950</v>
      </c>
      <c r="AB145">
        <v>0</v>
      </c>
      <c r="AC145">
        <v>0</v>
      </c>
      <c r="AD145">
        <v>0</v>
      </c>
      <c r="AE145">
        <v>16950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1.2E-2</v>
      </c>
      <c r="AU145" t="s">
        <v>6</v>
      </c>
      <c r="AV145">
        <v>0</v>
      </c>
      <c r="AW145">
        <v>2</v>
      </c>
      <c r="AX145">
        <v>16481516</v>
      </c>
      <c r="AY145">
        <v>1</v>
      </c>
      <c r="AZ145">
        <v>0</v>
      </c>
      <c r="BA145">
        <v>130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Y145*Source!I74</f>
        <v>8.8080000000000005E-4</v>
      </c>
      <c r="CY145">
        <f t="shared" si="24"/>
        <v>16950</v>
      </c>
      <c r="CZ145">
        <f t="shared" si="25"/>
        <v>16950</v>
      </c>
      <c r="DA145">
        <f t="shared" si="26"/>
        <v>1</v>
      </c>
      <c r="DB145">
        <v>0</v>
      </c>
    </row>
    <row r="146" spans="1:106" x14ac:dyDescent="0.2">
      <c r="A146">
        <f>ROW(Source!A75)</f>
        <v>75</v>
      </c>
      <c r="B146">
        <v>16481134</v>
      </c>
      <c r="C146">
        <v>16481484</v>
      </c>
      <c r="D146">
        <v>15430447</v>
      </c>
      <c r="E146">
        <v>1</v>
      </c>
      <c r="F146">
        <v>1</v>
      </c>
      <c r="G146">
        <v>1</v>
      </c>
      <c r="H146">
        <v>1</v>
      </c>
      <c r="I146" t="s">
        <v>359</v>
      </c>
      <c r="J146" t="s">
        <v>6</v>
      </c>
      <c r="K146" t="s">
        <v>360</v>
      </c>
      <c r="L146">
        <v>1191</v>
      </c>
      <c r="N146">
        <v>1013</v>
      </c>
      <c r="O146" t="s">
        <v>280</v>
      </c>
      <c r="P146" t="s">
        <v>280</v>
      </c>
      <c r="Q146">
        <v>1</v>
      </c>
      <c r="W146">
        <v>0</v>
      </c>
      <c r="X146">
        <v>145020957</v>
      </c>
      <c r="Y146">
        <v>14.39</v>
      </c>
      <c r="AA146">
        <v>0</v>
      </c>
      <c r="AB146">
        <v>0</v>
      </c>
      <c r="AC146">
        <v>0</v>
      </c>
      <c r="AD146">
        <v>54.33</v>
      </c>
      <c r="AE146">
        <v>0</v>
      </c>
      <c r="AF146">
        <v>0</v>
      </c>
      <c r="AG146">
        <v>0</v>
      </c>
      <c r="AH146">
        <v>9.07</v>
      </c>
      <c r="AI146">
        <v>1</v>
      </c>
      <c r="AJ146">
        <v>1</v>
      </c>
      <c r="AK146">
        <v>1</v>
      </c>
      <c r="AL146">
        <v>5.99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14.39</v>
      </c>
      <c r="AU146" t="s">
        <v>6</v>
      </c>
      <c r="AV146">
        <v>1</v>
      </c>
      <c r="AW146">
        <v>2</v>
      </c>
      <c r="AX146">
        <v>16481507</v>
      </c>
      <c r="AY146">
        <v>1</v>
      </c>
      <c r="AZ146">
        <v>0</v>
      </c>
      <c r="BA146">
        <v>131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Y146*Source!I75</f>
        <v>1.0562260000000001</v>
      </c>
      <c r="CY146">
        <f>AD146</f>
        <v>54.33</v>
      </c>
      <c r="CZ146">
        <f>AH146</f>
        <v>9.07</v>
      </c>
      <c r="DA146">
        <f>AL146</f>
        <v>5.99</v>
      </c>
      <c r="DB146">
        <v>0</v>
      </c>
    </row>
    <row r="147" spans="1:106" x14ac:dyDescent="0.2">
      <c r="A147">
        <f>ROW(Source!A75)</f>
        <v>75</v>
      </c>
      <c r="B147">
        <v>16481134</v>
      </c>
      <c r="C147">
        <v>16481484</v>
      </c>
      <c r="D147">
        <v>15430395</v>
      </c>
      <c r="E147">
        <v>1</v>
      </c>
      <c r="F147">
        <v>1</v>
      </c>
      <c r="G147">
        <v>1</v>
      </c>
      <c r="H147">
        <v>1</v>
      </c>
      <c r="I147" t="s">
        <v>281</v>
      </c>
      <c r="J147" t="s">
        <v>6</v>
      </c>
      <c r="K147" t="s">
        <v>282</v>
      </c>
      <c r="L147">
        <v>1191</v>
      </c>
      <c r="N147">
        <v>1013</v>
      </c>
      <c r="O147" t="s">
        <v>280</v>
      </c>
      <c r="P147" t="s">
        <v>280</v>
      </c>
      <c r="Q147">
        <v>1</v>
      </c>
      <c r="W147">
        <v>0</v>
      </c>
      <c r="X147">
        <v>-1417349443</v>
      </c>
      <c r="Y147">
        <v>0.12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5.99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0.12</v>
      </c>
      <c r="AU147" t="s">
        <v>6</v>
      </c>
      <c r="AV147">
        <v>2</v>
      </c>
      <c r="AW147">
        <v>2</v>
      </c>
      <c r="AX147">
        <v>16481508</v>
      </c>
      <c r="AY147">
        <v>1</v>
      </c>
      <c r="AZ147">
        <v>0</v>
      </c>
      <c r="BA147">
        <v>132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Y147*Source!I75</f>
        <v>8.8079999999999999E-3</v>
      </c>
      <c r="CY147">
        <f>AD147</f>
        <v>0</v>
      </c>
      <c r="CZ147">
        <f>AH147</f>
        <v>0</v>
      </c>
      <c r="DA147">
        <f>AL147</f>
        <v>1</v>
      </c>
      <c r="DB147">
        <v>0</v>
      </c>
    </row>
    <row r="148" spans="1:106" x14ac:dyDescent="0.2">
      <c r="A148">
        <f>ROW(Source!A75)</f>
        <v>75</v>
      </c>
      <c r="B148">
        <v>16481134</v>
      </c>
      <c r="C148">
        <v>16481484</v>
      </c>
      <c r="D148">
        <v>15247878</v>
      </c>
      <c r="E148">
        <v>1</v>
      </c>
      <c r="F148">
        <v>1</v>
      </c>
      <c r="G148">
        <v>1</v>
      </c>
      <c r="H148">
        <v>2</v>
      </c>
      <c r="I148" t="s">
        <v>356</v>
      </c>
      <c r="J148" t="s">
        <v>357</v>
      </c>
      <c r="K148" t="s">
        <v>358</v>
      </c>
      <c r="L148">
        <v>1368</v>
      </c>
      <c r="N148">
        <v>1011</v>
      </c>
      <c r="O148" t="s">
        <v>286</v>
      </c>
      <c r="P148" t="s">
        <v>286</v>
      </c>
      <c r="Q148">
        <v>1</v>
      </c>
      <c r="W148">
        <v>0</v>
      </c>
      <c r="X148">
        <v>1047452784</v>
      </c>
      <c r="Y148">
        <v>0.24</v>
      </c>
      <c r="AA148">
        <v>0</v>
      </c>
      <c r="AB148">
        <v>10.18</v>
      </c>
      <c r="AC148">
        <v>0</v>
      </c>
      <c r="AD148">
        <v>0</v>
      </c>
      <c r="AE148">
        <v>0</v>
      </c>
      <c r="AF148">
        <v>1.7</v>
      </c>
      <c r="AG148">
        <v>0</v>
      </c>
      <c r="AH148">
        <v>0</v>
      </c>
      <c r="AI148">
        <v>1</v>
      </c>
      <c r="AJ148">
        <v>5.99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0.24</v>
      </c>
      <c r="AU148" t="s">
        <v>6</v>
      </c>
      <c r="AV148">
        <v>0</v>
      </c>
      <c r="AW148">
        <v>2</v>
      </c>
      <c r="AX148">
        <v>16481509</v>
      </c>
      <c r="AY148">
        <v>1</v>
      </c>
      <c r="AZ148">
        <v>0</v>
      </c>
      <c r="BA148">
        <v>133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Y148*Source!I75</f>
        <v>1.7616E-2</v>
      </c>
      <c r="CY148">
        <f>AB148</f>
        <v>10.18</v>
      </c>
      <c r="CZ148">
        <f>AF148</f>
        <v>1.7</v>
      </c>
      <c r="DA148">
        <f>AJ148</f>
        <v>5.99</v>
      </c>
      <c r="DB148">
        <v>0</v>
      </c>
    </row>
    <row r="149" spans="1:106" x14ac:dyDescent="0.2">
      <c r="A149">
        <f>ROW(Source!A75)</f>
        <v>75</v>
      </c>
      <c r="B149">
        <v>16481134</v>
      </c>
      <c r="C149">
        <v>16481484</v>
      </c>
      <c r="D149">
        <v>15249073</v>
      </c>
      <c r="E149">
        <v>1</v>
      </c>
      <c r="F149">
        <v>1</v>
      </c>
      <c r="G149">
        <v>1</v>
      </c>
      <c r="H149">
        <v>2</v>
      </c>
      <c r="I149" t="s">
        <v>289</v>
      </c>
      <c r="J149" t="s">
        <v>290</v>
      </c>
      <c r="K149" t="s">
        <v>291</v>
      </c>
      <c r="L149">
        <v>1368</v>
      </c>
      <c r="N149">
        <v>1011</v>
      </c>
      <c r="O149" t="s">
        <v>286</v>
      </c>
      <c r="P149" t="s">
        <v>286</v>
      </c>
      <c r="Q149">
        <v>1</v>
      </c>
      <c r="W149">
        <v>0</v>
      </c>
      <c r="X149">
        <v>1372534845</v>
      </c>
      <c r="Y149">
        <v>0.12</v>
      </c>
      <c r="AA149">
        <v>0</v>
      </c>
      <c r="AB149">
        <v>393.6</v>
      </c>
      <c r="AC149">
        <v>11.6</v>
      </c>
      <c r="AD149">
        <v>0</v>
      </c>
      <c r="AE149">
        <v>0</v>
      </c>
      <c r="AF149">
        <v>65.709999999999994</v>
      </c>
      <c r="AG149">
        <v>11.6</v>
      </c>
      <c r="AH149">
        <v>0</v>
      </c>
      <c r="AI149">
        <v>1</v>
      </c>
      <c r="AJ149">
        <v>5.99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0.12</v>
      </c>
      <c r="AU149" t="s">
        <v>6</v>
      </c>
      <c r="AV149">
        <v>0</v>
      </c>
      <c r="AW149">
        <v>2</v>
      </c>
      <c r="AX149">
        <v>16481510</v>
      </c>
      <c r="AY149">
        <v>1</v>
      </c>
      <c r="AZ149">
        <v>0</v>
      </c>
      <c r="BA149">
        <v>134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Y149*Source!I75</f>
        <v>8.8079999999999999E-3</v>
      </c>
      <c r="CY149">
        <f>AB149</f>
        <v>393.6</v>
      </c>
      <c r="CZ149">
        <f>AF149</f>
        <v>65.709999999999994</v>
      </c>
      <c r="DA149">
        <f>AJ149</f>
        <v>5.99</v>
      </c>
      <c r="DB149">
        <v>0</v>
      </c>
    </row>
    <row r="150" spans="1:106" x14ac:dyDescent="0.2">
      <c r="A150">
        <f>ROW(Source!A75)</f>
        <v>75</v>
      </c>
      <c r="B150">
        <v>16481134</v>
      </c>
      <c r="C150">
        <v>16481484</v>
      </c>
      <c r="D150">
        <v>15171018</v>
      </c>
      <c r="E150">
        <v>1</v>
      </c>
      <c r="F150">
        <v>1</v>
      </c>
      <c r="G150">
        <v>1</v>
      </c>
      <c r="H150">
        <v>3</v>
      </c>
      <c r="I150" t="s">
        <v>324</v>
      </c>
      <c r="J150" t="s">
        <v>325</v>
      </c>
      <c r="K150" t="s">
        <v>326</v>
      </c>
      <c r="L150">
        <v>1346</v>
      </c>
      <c r="N150">
        <v>1009</v>
      </c>
      <c r="O150" t="s">
        <v>86</v>
      </c>
      <c r="P150" t="s">
        <v>86</v>
      </c>
      <c r="Q150">
        <v>1</v>
      </c>
      <c r="W150">
        <v>0</v>
      </c>
      <c r="X150">
        <v>813963326</v>
      </c>
      <c r="Y150">
        <v>0.41</v>
      </c>
      <c r="AA150">
        <v>10.9</v>
      </c>
      <c r="AB150">
        <v>0</v>
      </c>
      <c r="AC150">
        <v>0</v>
      </c>
      <c r="AD150">
        <v>0</v>
      </c>
      <c r="AE150">
        <v>1.82</v>
      </c>
      <c r="AF150">
        <v>0</v>
      </c>
      <c r="AG150">
        <v>0</v>
      </c>
      <c r="AH150">
        <v>0</v>
      </c>
      <c r="AI150">
        <v>5.99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0.41</v>
      </c>
      <c r="AU150" t="s">
        <v>6</v>
      </c>
      <c r="AV150">
        <v>0</v>
      </c>
      <c r="AW150">
        <v>2</v>
      </c>
      <c r="AX150">
        <v>16481511</v>
      </c>
      <c r="AY150">
        <v>1</v>
      </c>
      <c r="AZ150">
        <v>0</v>
      </c>
      <c r="BA150">
        <v>135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Y150*Source!I75</f>
        <v>3.0094000000000003E-2</v>
      </c>
      <c r="CY150">
        <f t="shared" ref="CY150:CY156" si="27">AA150</f>
        <v>10.9</v>
      </c>
      <c r="CZ150">
        <f t="shared" ref="CZ150:CZ156" si="28">AE150</f>
        <v>1.82</v>
      </c>
      <c r="DA150">
        <f t="shared" ref="DA150:DA156" si="29">AI150</f>
        <v>5.99</v>
      </c>
      <c r="DB150">
        <v>0</v>
      </c>
    </row>
    <row r="151" spans="1:106" x14ac:dyDescent="0.2">
      <c r="A151">
        <f>ROW(Source!A75)</f>
        <v>75</v>
      </c>
      <c r="B151">
        <v>16481134</v>
      </c>
      <c r="C151">
        <v>16481484</v>
      </c>
      <c r="D151">
        <v>15171907</v>
      </c>
      <c r="E151">
        <v>1</v>
      </c>
      <c r="F151">
        <v>1</v>
      </c>
      <c r="G151">
        <v>1</v>
      </c>
      <c r="H151">
        <v>3</v>
      </c>
      <c r="I151" t="s">
        <v>347</v>
      </c>
      <c r="J151" t="s">
        <v>348</v>
      </c>
      <c r="K151" t="s">
        <v>349</v>
      </c>
      <c r="L151">
        <v>1339</v>
      </c>
      <c r="N151">
        <v>1007</v>
      </c>
      <c r="O151" t="s">
        <v>332</v>
      </c>
      <c r="P151" t="s">
        <v>332</v>
      </c>
      <c r="Q151">
        <v>1</v>
      </c>
      <c r="W151">
        <v>0</v>
      </c>
      <c r="X151">
        <v>1795918813</v>
      </c>
      <c r="Y151">
        <v>4.7000000000000002E-3</v>
      </c>
      <c r="AA151">
        <v>446.73</v>
      </c>
      <c r="AB151">
        <v>0</v>
      </c>
      <c r="AC151">
        <v>0</v>
      </c>
      <c r="AD151">
        <v>0</v>
      </c>
      <c r="AE151">
        <v>74.58</v>
      </c>
      <c r="AF151">
        <v>0</v>
      </c>
      <c r="AG151">
        <v>0</v>
      </c>
      <c r="AH151">
        <v>0</v>
      </c>
      <c r="AI151">
        <v>5.99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4.7000000000000002E-3</v>
      </c>
      <c r="AU151" t="s">
        <v>6</v>
      </c>
      <c r="AV151">
        <v>0</v>
      </c>
      <c r="AW151">
        <v>2</v>
      </c>
      <c r="AX151">
        <v>16481512</v>
      </c>
      <c r="AY151">
        <v>1</v>
      </c>
      <c r="AZ151">
        <v>0</v>
      </c>
      <c r="BA151">
        <v>136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Y151*Source!I75</f>
        <v>3.4498000000000005E-4</v>
      </c>
      <c r="CY151">
        <f t="shared" si="27"/>
        <v>446.73</v>
      </c>
      <c r="CZ151">
        <f t="shared" si="28"/>
        <v>74.58</v>
      </c>
      <c r="DA151">
        <f t="shared" si="29"/>
        <v>5.99</v>
      </c>
      <c r="DB151">
        <v>0</v>
      </c>
    </row>
    <row r="152" spans="1:106" x14ac:dyDescent="0.2">
      <c r="A152">
        <f>ROW(Source!A75)</f>
        <v>75</v>
      </c>
      <c r="B152">
        <v>16481134</v>
      </c>
      <c r="C152">
        <v>16481484</v>
      </c>
      <c r="D152">
        <v>15203663</v>
      </c>
      <c r="E152">
        <v>1</v>
      </c>
      <c r="F152">
        <v>1</v>
      </c>
      <c r="G152">
        <v>1</v>
      </c>
      <c r="H152">
        <v>3</v>
      </c>
      <c r="I152" t="s">
        <v>361</v>
      </c>
      <c r="J152" t="s">
        <v>362</v>
      </c>
      <c r="K152" t="s">
        <v>363</v>
      </c>
      <c r="L152">
        <v>1348</v>
      </c>
      <c r="N152">
        <v>1009</v>
      </c>
      <c r="O152" t="s">
        <v>57</v>
      </c>
      <c r="P152" t="s">
        <v>57</v>
      </c>
      <c r="Q152">
        <v>1000</v>
      </c>
      <c r="W152">
        <v>0</v>
      </c>
      <c r="X152">
        <v>344500605</v>
      </c>
      <c r="Y152">
        <v>1.4999999999999999E-2</v>
      </c>
      <c r="AA152">
        <v>109988.38</v>
      </c>
      <c r="AB152">
        <v>0</v>
      </c>
      <c r="AC152">
        <v>0</v>
      </c>
      <c r="AD152">
        <v>0</v>
      </c>
      <c r="AE152">
        <v>18362</v>
      </c>
      <c r="AF152">
        <v>0</v>
      </c>
      <c r="AG152">
        <v>0</v>
      </c>
      <c r="AH152">
        <v>0</v>
      </c>
      <c r="AI152">
        <v>5.99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1.4999999999999999E-2</v>
      </c>
      <c r="AU152" t="s">
        <v>6</v>
      </c>
      <c r="AV152">
        <v>0</v>
      </c>
      <c r="AW152">
        <v>2</v>
      </c>
      <c r="AX152">
        <v>16481513</v>
      </c>
      <c r="AY152">
        <v>1</v>
      </c>
      <c r="AZ152">
        <v>0</v>
      </c>
      <c r="BA152">
        <v>137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Y152*Source!I75</f>
        <v>1.101E-3</v>
      </c>
      <c r="CY152">
        <f t="shared" si="27"/>
        <v>109988.38</v>
      </c>
      <c r="CZ152">
        <f t="shared" si="28"/>
        <v>18362</v>
      </c>
      <c r="DA152">
        <f t="shared" si="29"/>
        <v>5.99</v>
      </c>
      <c r="DB152">
        <v>0</v>
      </c>
    </row>
    <row r="153" spans="1:106" x14ac:dyDescent="0.2">
      <c r="A153">
        <f>ROW(Source!A75)</f>
        <v>75</v>
      </c>
      <c r="B153">
        <v>16481134</v>
      </c>
      <c r="C153">
        <v>16481484</v>
      </c>
      <c r="D153">
        <v>15163065</v>
      </c>
      <c r="E153">
        <v>17</v>
      </c>
      <c r="F153">
        <v>1</v>
      </c>
      <c r="G153">
        <v>1</v>
      </c>
      <c r="H153">
        <v>3</v>
      </c>
      <c r="I153" t="s">
        <v>128</v>
      </c>
      <c r="J153" t="s">
        <v>6</v>
      </c>
      <c r="K153" t="s">
        <v>129</v>
      </c>
      <c r="L153">
        <v>1348</v>
      </c>
      <c r="N153">
        <v>1009</v>
      </c>
      <c r="O153" t="s">
        <v>57</v>
      </c>
      <c r="P153" t="s">
        <v>57</v>
      </c>
      <c r="Q153">
        <v>1000</v>
      </c>
      <c r="W153">
        <v>0</v>
      </c>
      <c r="X153">
        <v>1182840811</v>
      </c>
      <c r="Y153">
        <v>5.8999999999999997E-2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5.99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6</v>
      </c>
      <c r="AT153">
        <v>5.8999999999999997E-2</v>
      </c>
      <c r="AU153" t="s">
        <v>6</v>
      </c>
      <c r="AV153">
        <v>0</v>
      </c>
      <c r="AW153">
        <v>2</v>
      </c>
      <c r="AX153">
        <v>16481514</v>
      </c>
      <c r="AY153">
        <v>1</v>
      </c>
      <c r="AZ153">
        <v>0</v>
      </c>
      <c r="BA153">
        <v>138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Y153*Source!I75</f>
        <v>4.3306000000000004E-3</v>
      </c>
      <c r="CY153">
        <f t="shared" si="27"/>
        <v>0</v>
      </c>
      <c r="CZ153">
        <f t="shared" si="28"/>
        <v>0</v>
      </c>
      <c r="DA153">
        <f t="shared" si="29"/>
        <v>5.99</v>
      </c>
      <c r="DB153">
        <v>0</v>
      </c>
    </row>
    <row r="154" spans="1:106" x14ac:dyDescent="0.2">
      <c r="A154">
        <f>ROW(Source!A75)</f>
        <v>75</v>
      </c>
      <c r="B154">
        <v>16481134</v>
      </c>
      <c r="C154">
        <v>16481484</v>
      </c>
      <c r="D154">
        <v>15203823</v>
      </c>
      <c r="E154">
        <v>1</v>
      </c>
      <c r="F154">
        <v>1</v>
      </c>
      <c r="G154">
        <v>1</v>
      </c>
      <c r="H154">
        <v>3</v>
      </c>
      <c r="I154" t="s">
        <v>131</v>
      </c>
      <c r="J154" t="s">
        <v>133</v>
      </c>
      <c r="K154" t="s">
        <v>132</v>
      </c>
      <c r="L154">
        <v>1348</v>
      </c>
      <c r="N154">
        <v>1009</v>
      </c>
      <c r="O154" t="s">
        <v>57</v>
      </c>
      <c r="P154" t="s">
        <v>57</v>
      </c>
      <c r="Q154">
        <v>1000</v>
      </c>
      <c r="W154">
        <v>0</v>
      </c>
      <c r="X154">
        <v>2085149391</v>
      </c>
      <c r="Y154">
        <v>5.9005000000000002E-2</v>
      </c>
      <c r="AA154">
        <v>95774.11</v>
      </c>
      <c r="AB154">
        <v>0</v>
      </c>
      <c r="AC154">
        <v>0</v>
      </c>
      <c r="AD154">
        <v>0</v>
      </c>
      <c r="AE154">
        <v>15989</v>
      </c>
      <c r="AF154">
        <v>0</v>
      </c>
      <c r="AG154">
        <v>0</v>
      </c>
      <c r="AH154">
        <v>0</v>
      </c>
      <c r="AI154">
        <v>5.99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6</v>
      </c>
      <c r="AT154">
        <v>5.9005000000000002E-2</v>
      </c>
      <c r="AU154" t="s">
        <v>6</v>
      </c>
      <c r="AV154">
        <v>0</v>
      </c>
      <c r="AW154">
        <v>1</v>
      </c>
      <c r="AX154">
        <v>-1</v>
      </c>
      <c r="AY154">
        <v>0</v>
      </c>
      <c r="AZ154">
        <v>0</v>
      </c>
      <c r="BA154" t="s">
        <v>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Y154*Source!I75</f>
        <v>4.3309670000000007E-3</v>
      </c>
      <c r="CY154">
        <f t="shared" si="27"/>
        <v>95774.11</v>
      </c>
      <c r="CZ154">
        <f t="shared" si="28"/>
        <v>15989</v>
      </c>
      <c r="DA154">
        <f t="shared" si="29"/>
        <v>5.99</v>
      </c>
      <c r="DB154">
        <v>0</v>
      </c>
    </row>
    <row r="155" spans="1:106" x14ac:dyDescent="0.2">
      <c r="A155">
        <f>ROW(Source!A75)</f>
        <v>75</v>
      </c>
      <c r="B155">
        <v>16481134</v>
      </c>
      <c r="C155">
        <v>16481484</v>
      </c>
      <c r="D155">
        <v>15204703</v>
      </c>
      <c r="E155">
        <v>1</v>
      </c>
      <c r="F155">
        <v>1</v>
      </c>
      <c r="G155">
        <v>1</v>
      </c>
      <c r="H155">
        <v>3</v>
      </c>
      <c r="I155" t="s">
        <v>364</v>
      </c>
      <c r="J155" t="s">
        <v>365</v>
      </c>
      <c r="K155" t="s">
        <v>366</v>
      </c>
      <c r="L155">
        <v>1348</v>
      </c>
      <c r="N155">
        <v>1009</v>
      </c>
      <c r="O155" t="s">
        <v>57</v>
      </c>
      <c r="P155" t="s">
        <v>57</v>
      </c>
      <c r="Q155">
        <v>1000</v>
      </c>
      <c r="W155">
        <v>0</v>
      </c>
      <c r="X155">
        <v>-2124557522</v>
      </c>
      <c r="Y155">
        <v>0.01</v>
      </c>
      <c r="AA155">
        <v>39935.33</v>
      </c>
      <c r="AB155">
        <v>0</v>
      </c>
      <c r="AC155">
        <v>0</v>
      </c>
      <c r="AD155">
        <v>0</v>
      </c>
      <c r="AE155">
        <v>6667</v>
      </c>
      <c r="AF155">
        <v>0</v>
      </c>
      <c r="AG155">
        <v>0</v>
      </c>
      <c r="AH155">
        <v>0</v>
      </c>
      <c r="AI155">
        <v>5.99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0.01</v>
      </c>
      <c r="AU155" t="s">
        <v>6</v>
      </c>
      <c r="AV155">
        <v>0</v>
      </c>
      <c r="AW155">
        <v>2</v>
      </c>
      <c r="AX155">
        <v>16481515</v>
      </c>
      <c r="AY155">
        <v>1</v>
      </c>
      <c r="AZ155">
        <v>0</v>
      </c>
      <c r="BA155">
        <v>139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Y155*Source!I75</f>
        <v>7.3400000000000006E-4</v>
      </c>
      <c r="CY155">
        <f t="shared" si="27"/>
        <v>39935.33</v>
      </c>
      <c r="CZ155">
        <f t="shared" si="28"/>
        <v>6667</v>
      </c>
      <c r="DA155">
        <f t="shared" si="29"/>
        <v>5.99</v>
      </c>
      <c r="DB155">
        <v>0</v>
      </c>
    </row>
    <row r="156" spans="1:106" x14ac:dyDescent="0.2">
      <c r="A156">
        <f>ROW(Source!A75)</f>
        <v>75</v>
      </c>
      <c r="B156">
        <v>16481134</v>
      </c>
      <c r="C156">
        <v>16481484</v>
      </c>
      <c r="D156">
        <v>15204788</v>
      </c>
      <c r="E156">
        <v>1</v>
      </c>
      <c r="F156">
        <v>1</v>
      </c>
      <c r="G156">
        <v>1</v>
      </c>
      <c r="H156">
        <v>3</v>
      </c>
      <c r="I156" t="s">
        <v>367</v>
      </c>
      <c r="J156" t="s">
        <v>368</v>
      </c>
      <c r="K156" t="s">
        <v>369</v>
      </c>
      <c r="L156">
        <v>1348</v>
      </c>
      <c r="N156">
        <v>1009</v>
      </c>
      <c r="O156" t="s">
        <v>57</v>
      </c>
      <c r="P156" t="s">
        <v>57</v>
      </c>
      <c r="Q156">
        <v>1000</v>
      </c>
      <c r="W156">
        <v>0</v>
      </c>
      <c r="X156">
        <v>-251271162</v>
      </c>
      <c r="Y156">
        <v>1.2E-2</v>
      </c>
      <c r="AA156">
        <v>101530.5</v>
      </c>
      <c r="AB156">
        <v>0</v>
      </c>
      <c r="AC156">
        <v>0</v>
      </c>
      <c r="AD156">
        <v>0</v>
      </c>
      <c r="AE156">
        <v>16950</v>
      </c>
      <c r="AF156">
        <v>0</v>
      </c>
      <c r="AG156">
        <v>0</v>
      </c>
      <c r="AH156">
        <v>0</v>
      </c>
      <c r="AI156">
        <v>5.99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1.2E-2</v>
      </c>
      <c r="AU156" t="s">
        <v>6</v>
      </c>
      <c r="AV156">
        <v>0</v>
      </c>
      <c r="AW156">
        <v>2</v>
      </c>
      <c r="AX156">
        <v>16481516</v>
      </c>
      <c r="AY156">
        <v>1</v>
      </c>
      <c r="AZ156">
        <v>0</v>
      </c>
      <c r="BA156">
        <v>140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Y156*Source!I75</f>
        <v>8.8080000000000005E-4</v>
      </c>
      <c r="CY156">
        <f t="shared" si="27"/>
        <v>101530.5</v>
      </c>
      <c r="CZ156">
        <f t="shared" si="28"/>
        <v>16950</v>
      </c>
      <c r="DA156">
        <f t="shared" si="29"/>
        <v>5.99</v>
      </c>
      <c r="DB15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16481200</v>
      </c>
      <c r="C1">
        <v>16481196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278</v>
      </c>
      <c r="J1" t="s">
        <v>6</v>
      </c>
      <c r="K1" t="s">
        <v>279</v>
      </c>
      <c r="L1">
        <v>1191</v>
      </c>
      <c r="N1">
        <v>1013</v>
      </c>
      <c r="O1" t="s">
        <v>280</v>
      </c>
      <c r="P1" t="s">
        <v>280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16481197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16481201</v>
      </c>
      <c r="C2">
        <v>16481196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281</v>
      </c>
      <c r="J2" t="s">
        <v>6</v>
      </c>
      <c r="K2" t="s">
        <v>282</v>
      </c>
      <c r="L2">
        <v>1191</v>
      </c>
      <c r="N2">
        <v>1013</v>
      </c>
      <c r="O2" t="s">
        <v>280</v>
      </c>
      <c r="P2" t="s">
        <v>280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16481198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16481202</v>
      </c>
      <c r="C3">
        <v>16481196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283</v>
      </c>
      <c r="J3" t="s">
        <v>284</v>
      </c>
      <c r="K3" t="s">
        <v>285</v>
      </c>
      <c r="L3">
        <v>1368</v>
      </c>
      <c r="N3">
        <v>1011</v>
      </c>
      <c r="O3" t="s">
        <v>286</v>
      </c>
      <c r="P3" t="s">
        <v>286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16481199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16481200</v>
      </c>
      <c r="C4">
        <v>16481196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278</v>
      </c>
      <c r="J4" t="s">
        <v>6</v>
      </c>
      <c r="K4" t="s">
        <v>279</v>
      </c>
      <c r="L4">
        <v>1191</v>
      </c>
      <c r="N4">
        <v>1013</v>
      </c>
      <c r="O4" t="s">
        <v>280</v>
      </c>
      <c r="P4" t="s">
        <v>280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188.54</v>
      </c>
      <c r="AH4">
        <v>2</v>
      </c>
      <c r="AI4">
        <v>16481197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16481201</v>
      </c>
      <c r="C5">
        <v>16481196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281</v>
      </c>
      <c r="J5" t="s">
        <v>6</v>
      </c>
      <c r="K5" t="s">
        <v>282</v>
      </c>
      <c r="L5">
        <v>1191</v>
      </c>
      <c r="N5">
        <v>1013</v>
      </c>
      <c r="O5" t="s">
        <v>280</v>
      </c>
      <c r="P5" t="s">
        <v>280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16481198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16481202</v>
      </c>
      <c r="C6">
        <v>16481196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283</v>
      </c>
      <c r="J6" t="s">
        <v>284</v>
      </c>
      <c r="K6" t="s">
        <v>285</v>
      </c>
      <c r="L6">
        <v>1368</v>
      </c>
      <c r="N6">
        <v>1011</v>
      </c>
      <c r="O6" t="s">
        <v>286</v>
      </c>
      <c r="P6" t="s">
        <v>286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16481199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16481216</v>
      </c>
      <c r="C7">
        <v>16481203</v>
      </c>
      <c r="D7">
        <v>15436014</v>
      </c>
      <c r="E7">
        <v>1</v>
      </c>
      <c r="F7">
        <v>1</v>
      </c>
      <c r="G7">
        <v>1</v>
      </c>
      <c r="H7">
        <v>1</v>
      </c>
      <c r="I7" t="s">
        <v>287</v>
      </c>
      <c r="J7" t="s">
        <v>6</v>
      </c>
      <c r="K7" t="s">
        <v>288</v>
      </c>
      <c r="L7">
        <v>1191</v>
      </c>
      <c r="N7">
        <v>1013</v>
      </c>
      <c r="O7" t="s">
        <v>280</v>
      </c>
      <c r="P7" t="s">
        <v>280</v>
      </c>
      <c r="Q7">
        <v>1</v>
      </c>
      <c r="X7">
        <v>149.16</v>
      </c>
      <c r="Y7">
        <v>0</v>
      </c>
      <c r="Z7">
        <v>0</v>
      </c>
      <c r="AA7">
        <v>0</v>
      </c>
      <c r="AB7">
        <v>8.74</v>
      </c>
      <c r="AC7">
        <v>0</v>
      </c>
      <c r="AD7">
        <v>1</v>
      </c>
      <c r="AE7">
        <v>1</v>
      </c>
      <c r="AF7" t="s">
        <v>6</v>
      </c>
      <c r="AG7">
        <v>149.16</v>
      </c>
      <c r="AH7">
        <v>2</v>
      </c>
      <c r="AI7">
        <v>16481204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16481217</v>
      </c>
      <c r="C8">
        <v>16481203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281</v>
      </c>
      <c r="J8" t="s">
        <v>6</v>
      </c>
      <c r="K8" t="s">
        <v>282</v>
      </c>
      <c r="L8">
        <v>1191</v>
      </c>
      <c r="N8">
        <v>1013</v>
      </c>
      <c r="O8" t="s">
        <v>280</v>
      </c>
      <c r="P8" t="s">
        <v>280</v>
      </c>
      <c r="Q8">
        <v>1</v>
      </c>
      <c r="X8">
        <v>4.2300000000000004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6</v>
      </c>
      <c r="AG8">
        <v>4.2300000000000004</v>
      </c>
      <c r="AH8">
        <v>2</v>
      </c>
      <c r="AI8">
        <v>16481205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16481218</v>
      </c>
      <c r="C9">
        <v>16481203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283</v>
      </c>
      <c r="J9" t="s">
        <v>284</v>
      </c>
      <c r="K9" t="s">
        <v>285</v>
      </c>
      <c r="L9">
        <v>1368</v>
      </c>
      <c r="N9">
        <v>1011</v>
      </c>
      <c r="O9" t="s">
        <v>286</v>
      </c>
      <c r="P9" t="s">
        <v>286</v>
      </c>
      <c r="Q9">
        <v>1</v>
      </c>
      <c r="X9">
        <v>0.66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0.66</v>
      </c>
      <c r="AH9">
        <v>2</v>
      </c>
      <c r="AI9">
        <v>16481206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16481219</v>
      </c>
      <c r="C10">
        <v>16481203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289</v>
      </c>
      <c r="J10" t="s">
        <v>290</v>
      </c>
      <c r="K10" t="s">
        <v>291</v>
      </c>
      <c r="L10">
        <v>1368</v>
      </c>
      <c r="N10">
        <v>1011</v>
      </c>
      <c r="O10" t="s">
        <v>286</v>
      </c>
      <c r="P10" t="s">
        <v>286</v>
      </c>
      <c r="Q10">
        <v>1</v>
      </c>
      <c r="X10">
        <v>3.57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6</v>
      </c>
      <c r="AG10">
        <v>3.57</v>
      </c>
      <c r="AH10">
        <v>2</v>
      </c>
      <c r="AI10">
        <v>16481207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16481220</v>
      </c>
      <c r="C11">
        <v>16481203</v>
      </c>
      <c r="D11">
        <v>15167551</v>
      </c>
      <c r="E11">
        <v>1</v>
      </c>
      <c r="F11">
        <v>1</v>
      </c>
      <c r="G11">
        <v>1</v>
      </c>
      <c r="H11">
        <v>3</v>
      </c>
      <c r="I11" t="s">
        <v>292</v>
      </c>
      <c r="J11" t="s">
        <v>293</v>
      </c>
      <c r="K11" t="s">
        <v>294</v>
      </c>
      <c r="L11">
        <v>1301</v>
      </c>
      <c r="N11">
        <v>1003</v>
      </c>
      <c r="O11" t="s">
        <v>45</v>
      </c>
      <c r="P11" t="s">
        <v>45</v>
      </c>
      <c r="Q11">
        <v>1</v>
      </c>
      <c r="X11">
        <v>253</v>
      </c>
      <c r="Y11">
        <v>6.38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253</v>
      </c>
      <c r="AH11">
        <v>2</v>
      </c>
      <c r="AI11">
        <v>16481208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16481221</v>
      </c>
      <c r="C12">
        <v>16481203</v>
      </c>
      <c r="D12">
        <v>15167552</v>
      </c>
      <c r="E12">
        <v>1</v>
      </c>
      <c r="F12">
        <v>1</v>
      </c>
      <c r="G12">
        <v>1</v>
      </c>
      <c r="H12">
        <v>3</v>
      </c>
      <c r="I12" t="s">
        <v>295</v>
      </c>
      <c r="J12" t="s">
        <v>296</v>
      </c>
      <c r="K12" t="s">
        <v>297</v>
      </c>
      <c r="L12">
        <v>1301</v>
      </c>
      <c r="N12">
        <v>1003</v>
      </c>
      <c r="O12" t="s">
        <v>45</v>
      </c>
      <c r="P12" t="s">
        <v>45</v>
      </c>
      <c r="Q12">
        <v>1</v>
      </c>
      <c r="X12">
        <v>59</v>
      </c>
      <c r="Y12">
        <v>7.95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59</v>
      </c>
      <c r="AH12">
        <v>2</v>
      </c>
      <c r="AI12">
        <v>16481209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16481222</v>
      </c>
      <c r="C13">
        <v>16481203</v>
      </c>
      <c r="D13">
        <v>15167640</v>
      </c>
      <c r="E13">
        <v>1</v>
      </c>
      <c r="F13">
        <v>1</v>
      </c>
      <c r="G13">
        <v>1</v>
      </c>
      <c r="H13">
        <v>3</v>
      </c>
      <c r="I13" t="s">
        <v>298</v>
      </c>
      <c r="J13" t="s">
        <v>299</v>
      </c>
      <c r="K13" t="s">
        <v>300</v>
      </c>
      <c r="L13">
        <v>1302</v>
      </c>
      <c r="N13">
        <v>1003</v>
      </c>
      <c r="O13" t="s">
        <v>301</v>
      </c>
      <c r="P13" t="s">
        <v>301</v>
      </c>
      <c r="Q13">
        <v>10</v>
      </c>
      <c r="X13">
        <v>15.9</v>
      </c>
      <c r="Y13">
        <v>64.099999999999994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15.9</v>
      </c>
      <c r="AH13">
        <v>2</v>
      </c>
      <c r="AI13">
        <v>16481210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ROW(Source!A26)</f>
        <v>26</v>
      </c>
      <c r="B14">
        <v>16481223</v>
      </c>
      <c r="C14">
        <v>16481203</v>
      </c>
      <c r="D14">
        <v>15170065</v>
      </c>
      <c r="E14">
        <v>1</v>
      </c>
      <c r="F14">
        <v>1</v>
      </c>
      <c r="G14">
        <v>1</v>
      </c>
      <c r="H14">
        <v>3</v>
      </c>
      <c r="I14" t="s">
        <v>302</v>
      </c>
      <c r="J14" t="s">
        <v>303</v>
      </c>
      <c r="K14" t="s">
        <v>304</v>
      </c>
      <c r="L14">
        <v>1358</v>
      </c>
      <c r="N14">
        <v>1010</v>
      </c>
      <c r="O14" t="s">
        <v>305</v>
      </c>
      <c r="P14" t="s">
        <v>305</v>
      </c>
      <c r="Q14">
        <v>10</v>
      </c>
      <c r="X14">
        <v>41.2</v>
      </c>
      <c r="Y14">
        <v>7.03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41.2</v>
      </c>
      <c r="AH14">
        <v>2</v>
      </c>
      <c r="AI14">
        <v>16481211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ROW(Source!A26)</f>
        <v>26</v>
      </c>
      <c r="B15">
        <v>16481224</v>
      </c>
      <c r="C15">
        <v>16481203</v>
      </c>
      <c r="D15">
        <v>15162466</v>
      </c>
      <c r="E15">
        <v>17</v>
      </c>
      <c r="F15">
        <v>1</v>
      </c>
      <c r="G15">
        <v>1</v>
      </c>
      <c r="H15">
        <v>3</v>
      </c>
      <c r="I15" t="s">
        <v>30</v>
      </c>
      <c r="J15" t="s">
        <v>6</v>
      </c>
      <c r="K15" t="s">
        <v>31</v>
      </c>
      <c r="L15">
        <v>1327</v>
      </c>
      <c r="N15">
        <v>1005</v>
      </c>
      <c r="O15" t="s">
        <v>32</v>
      </c>
      <c r="P15" t="s">
        <v>32</v>
      </c>
      <c r="Q15">
        <v>1</v>
      </c>
      <c r="X15">
        <v>100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 t="s">
        <v>6</v>
      </c>
      <c r="AG15">
        <v>100</v>
      </c>
      <c r="AH15">
        <v>2</v>
      </c>
      <c r="AI15">
        <v>16481212</v>
      </c>
      <c r="AJ15">
        <v>16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ROW(Source!A26)</f>
        <v>26</v>
      </c>
      <c r="B16">
        <v>16481225</v>
      </c>
      <c r="C16">
        <v>16481203</v>
      </c>
      <c r="D16">
        <v>15197780</v>
      </c>
      <c r="E16">
        <v>1</v>
      </c>
      <c r="F16">
        <v>1</v>
      </c>
      <c r="G16">
        <v>1</v>
      </c>
      <c r="H16">
        <v>3</v>
      </c>
      <c r="I16" t="s">
        <v>306</v>
      </c>
      <c r="J16" t="s">
        <v>307</v>
      </c>
      <c r="K16" t="s">
        <v>308</v>
      </c>
      <c r="L16">
        <v>1355</v>
      </c>
      <c r="N16">
        <v>1010</v>
      </c>
      <c r="O16" t="s">
        <v>309</v>
      </c>
      <c r="P16" t="s">
        <v>309</v>
      </c>
      <c r="Q16">
        <v>100</v>
      </c>
      <c r="X16">
        <v>8</v>
      </c>
      <c r="Y16">
        <v>50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8</v>
      </c>
      <c r="AH16">
        <v>2</v>
      </c>
      <c r="AI16">
        <v>16481213</v>
      </c>
      <c r="AJ16">
        <v>17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ROW(Source!A26)</f>
        <v>26</v>
      </c>
      <c r="B17">
        <v>16481226</v>
      </c>
      <c r="C17">
        <v>16481203</v>
      </c>
      <c r="D17">
        <v>15204239</v>
      </c>
      <c r="E17">
        <v>1</v>
      </c>
      <c r="F17">
        <v>1</v>
      </c>
      <c r="G17">
        <v>1</v>
      </c>
      <c r="H17">
        <v>3</v>
      </c>
      <c r="I17" t="s">
        <v>310</v>
      </c>
      <c r="J17" t="s">
        <v>311</v>
      </c>
      <c r="K17" t="s">
        <v>312</v>
      </c>
      <c r="L17">
        <v>1354</v>
      </c>
      <c r="N17">
        <v>1010</v>
      </c>
      <c r="O17" t="s">
        <v>313</v>
      </c>
      <c r="P17" t="s">
        <v>313</v>
      </c>
      <c r="Q17">
        <v>1</v>
      </c>
      <c r="X17">
        <v>71</v>
      </c>
      <c r="Y17">
        <v>67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71</v>
      </c>
      <c r="AH17">
        <v>2</v>
      </c>
      <c r="AI17">
        <v>16481214</v>
      </c>
      <c r="AJ17">
        <v>18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16481216</v>
      </c>
      <c r="C18">
        <v>16481203</v>
      </c>
      <c r="D18">
        <v>15436014</v>
      </c>
      <c r="E18">
        <v>1</v>
      </c>
      <c r="F18">
        <v>1</v>
      </c>
      <c r="G18">
        <v>1</v>
      </c>
      <c r="H18">
        <v>1</v>
      </c>
      <c r="I18" t="s">
        <v>287</v>
      </c>
      <c r="J18" t="s">
        <v>6</v>
      </c>
      <c r="K18" t="s">
        <v>288</v>
      </c>
      <c r="L18">
        <v>1191</v>
      </c>
      <c r="N18">
        <v>1013</v>
      </c>
      <c r="O18" t="s">
        <v>280</v>
      </c>
      <c r="P18" t="s">
        <v>280</v>
      </c>
      <c r="Q18">
        <v>1</v>
      </c>
      <c r="X18">
        <v>149.16</v>
      </c>
      <c r="Y18">
        <v>0</v>
      </c>
      <c r="Z18">
        <v>0</v>
      </c>
      <c r="AA18">
        <v>0</v>
      </c>
      <c r="AB18">
        <v>8.74</v>
      </c>
      <c r="AC18">
        <v>0</v>
      </c>
      <c r="AD18">
        <v>1</v>
      </c>
      <c r="AE18">
        <v>1</v>
      </c>
      <c r="AF18" t="s">
        <v>6</v>
      </c>
      <c r="AG18">
        <v>149.16</v>
      </c>
      <c r="AH18">
        <v>2</v>
      </c>
      <c r="AI18">
        <v>16481204</v>
      </c>
      <c r="AJ18">
        <v>19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16481217</v>
      </c>
      <c r="C19">
        <v>16481203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281</v>
      </c>
      <c r="J19" t="s">
        <v>6</v>
      </c>
      <c r="K19" t="s">
        <v>282</v>
      </c>
      <c r="L19">
        <v>1191</v>
      </c>
      <c r="N19">
        <v>1013</v>
      </c>
      <c r="O19" t="s">
        <v>280</v>
      </c>
      <c r="P19" t="s">
        <v>280</v>
      </c>
      <c r="Q19">
        <v>1</v>
      </c>
      <c r="X19">
        <v>4.2300000000000004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</v>
      </c>
      <c r="AF19" t="s">
        <v>6</v>
      </c>
      <c r="AG19">
        <v>4.2300000000000004</v>
      </c>
      <c r="AH19">
        <v>2</v>
      </c>
      <c r="AI19">
        <v>16481205</v>
      </c>
      <c r="AJ19">
        <v>20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16481218</v>
      </c>
      <c r="C20">
        <v>16481203</v>
      </c>
      <c r="D20">
        <v>15247974</v>
      </c>
      <c r="E20">
        <v>1</v>
      </c>
      <c r="F20">
        <v>1</v>
      </c>
      <c r="G20">
        <v>1</v>
      </c>
      <c r="H20">
        <v>2</v>
      </c>
      <c r="I20" t="s">
        <v>283</v>
      </c>
      <c r="J20" t="s">
        <v>284</v>
      </c>
      <c r="K20" t="s">
        <v>285</v>
      </c>
      <c r="L20">
        <v>1368</v>
      </c>
      <c r="N20">
        <v>1011</v>
      </c>
      <c r="O20" t="s">
        <v>286</v>
      </c>
      <c r="P20" t="s">
        <v>286</v>
      </c>
      <c r="Q20">
        <v>1</v>
      </c>
      <c r="X20">
        <v>0.66</v>
      </c>
      <c r="Y20">
        <v>0</v>
      </c>
      <c r="Z20">
        <v>31.26</v>
      </c>
      <c r="AA20">
        <v>13.5</v>
      </c>
      <c r="AB20">
        <v>0</v>
      </c>
      <c r="AC20">
        <v>0</v>
      </c>
      <c r="AD20">
        <v>1</v>
      </c>
      <c r="AE20">
        <v>0</v>
      </c>
      <c r="AF20" t="s">
        <v>6</v>
      </c>
      <c r="AG20">
        <v>0.66</v>
      </c>
      <c r="AH20">
        <v>2</v>
      </c>
      <c r="AI20">
        <v>16481206</v>
      </c>
      <c r="AJ20">
        <v>21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16481219</v>
      </c>
      <c r="C21">
        <v>16481203</v>
      </c>
      <c r="D21">
        <v>15249073</v>
      </c>
      <c r="E21">
        <v>1</v>
      </c>
      <c r="F21">
        <v>1</v>
      </c>
      <c r="G21">
        <v>1</v>
      </c>
      <c r="H21">
        <v>2</v>
      </c>
      <c r="I21" t="s">
        <v>289</v>
      </c>
      <c r="J21" t="s">
        <v>290</v>
      </c>
      <c r="K21" t="s">
        <v>291</v>
      </c>
      <c r="L21">
        <v>1368</v>
      </c>
      <c r="N21">
        <v>1011</v>
      </c>
      <c r="O21" t="s">
        <v>286</v>
      </c>
      <c r="P21" t="s">
        <v>286</v>
      </c>
      <c r="Q21">
        <v>1</v>
      </c>
      <c r="X21">
        <v>3.57</v>
      </c>
      <c r="Y21">
        <v>0</v>
      </c>
      <c r="Z21">
        <v>65.709999999999994</v>
      </c>
      <c r="AA21">
        <v>11.6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3.57</v>
      </c>
      <c r="AH21">
        <v>2</v>
      </c>
      <c r="AI21">
        <v>16481207</v>
      </c>
      <c r="AJ21">
        <v>22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ROW(Source!A27)</f>
        <v>27</v>
      </c>
      <c r="B22">
        <v>16481220</v>
      </c>
      <c r="C22">
        <v>16481203</v>
      </c>
      <c r="D22">
        <v>15167551</v>
      </c>
      <c r="E22">
        <v>1</v>
      </c>
      <c r="F22">
        <v>1</v>
      </c>
      <c r="G22">
        <v>1</v>
      </c>
      <c r="H22">
        <v>3</v>
      </c>
      <c r="I22" t="s">
        <v>292</v>
      </c>
      <c r="J22" t="s">
        <v>293</v>
      </c>
      <c r="K22" t="s">
        <v>294</v>
      </c>
      <c r="L22">
        <v>1301</v>
      </c>
      <c r="N22">
        <v>1003</v>
      </c>
      <c r="O22" t="s">
        <v>45</v>
      </c>
      <c r="P22" t="s">
        <v>45</v>
      </c>
      <c r="Q22">
        <v>1</v>
      </c>
      <c r="X22">
        <v>253</v>
      </c>
      <c r="Y22">
        <v>6.38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253</v>
      </c>
      <c r="AH22">
        <v>2</v>
      </c>
      <c r="AI22">
        <v>16481208</v>
      </c>
      <c r="AJ22">
        <v>23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ROW(Source!A27)</f>
        <v>27</v>
      </c>
      <c r="B23">
        <v>16481221</v>
      </c>
      <c r="C23">
        <v>16481203</v>
      </c>
      <c r="D23">
        <v>15167552</v>
      </c>
      <c r="E23">
        <v>1</v>
      </c>
      <c r="F23">
        <v>1</v>
      </c>
      <c r="G23">
        <v>1</v>
      </c>
      <c r="H23">
        <v>3</v>
      </c>
      <c r="I23" t="s">
        <v>295</v>
      </c>
      <c r="J23" t="s">
        <v>296</v>
      </c>
      <c r="K23" t="s">
        <v>297</v>
      </c>
      <c r="L23">
        <v>1301</v>
      </c>
      <c r="N23">
        <v>1003</v>
      </c>
      <c r="O23" t="s">
        <v>45</v>
      </c>
      <c r="P23" t="s">
        <v>45</v>
      </c>
      <c r="Q23">
        <v>1</v>
      </c>
      <c r="X23">
        <v>59</v>
      </c>
      <c r="Y23">
        <v>7.95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59</v>
      </c>
      <c r="AH23">
        <v>2</v>
      </c>
      <c r="AI23">
        <v>16481209</v>
      </c>
      <c r="AJ23">
        <v>24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ROW(Source!A27)</f>
        <v>27</v>
      </c>
      <c r="B24">
        <v>16481222</v>
      </c>
      <c r="C24">
        <v>16481203</v>
      </c>
      <c r="D24">
        <v>15167640</v>
      </c>
      <c r="E24">
        <v>1</v>
      </c>
      <c r="F24">
        <v>1</v>
      </c>
      <c r="G24">
        <v>1</v>
      </c>
      <c r="H24">
        <v>3</v>
      </c>
      <c r="I24" t="s">
        <v>298</v>
      </c>
      <c r="J24" t="s">
        <v>299</v>
      </c>
      <c r="K24" t="s">
        <v>300</v>
      </c>
      <c r="L24">
        <v>1302</v>
      </c>
      <c r="N24">
        <v>1003</v>
      </c>
      <c r="O24" t="s">
        <v>301</v>
      </c>
      <c r="P24" t="s">
        <v>301</v>
      </c>
      <c r="Q24">
        <v>10</v>
      </c>
      <c r="X24">
        <v>15.9</v>
      </c>
      <c r="Y24">
        <v>64.099999999999994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15.9</v>
      </c>
      <c r="AH24">
        <v>2</v>
      </c>
      <c r="AI24">
        <v>16481210</v>
      </c>
      <c r="AJ24">
        <v>25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ROW(Source!A27)</f>
        <v>27</v>
      </c>
      <c r="B25">
        <v>16481223</v>
      </c>
      <c r="C25">
        <v>16481203</v>
      </c>
      <c r="D25">
        <v>15170065</v>
      </c>
      <c r="E25">
        <v>1</v>
      </c>
      <c r="F25">
        <v>1</v>
      </c>
      <c r="G25">
        <v>1</v>
      </c>
      <c r="H25">
        <v>3</v>
      </c>
      <c r="I25" t="s">
        <v>302</v>
      </c>
      <c r="J25" t="s">
        <v>303</v>
      </c>
      <c r="K25" t="s">
        <v>304</v>
      </c>
      <c r="L25">
        <v>1358</v>
      </c>
      <c r="N25">
        <v>1010</v>
      </c>
      <c r="O25" t="s">
        <v>305</v>
      </c>
      <c r="P25" t="s">
        <v>305</v>
      </c>
      <c r="Q25">
        <v>10</v>
      </c>
      <c r="X25">
        <v>41.2</v>
      </c>
      <c r="Y25">
        <v>7.03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41.2</v>
      </c>
      <c r="AH25">
        <v>2</v>
      </c>
      <c r="AI25">
        <v>16481211</v>
      </c>
      <c r="AJ25">
        <v>26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ROW(Source!A27)</f>
        <v>27</v>
      </c>
      <c r="B26">
        <v>16481224</v>
      </c>
      <c r="C26">
        <v>16481203</v>
      </c>
      <c r="D26">
        <v>15162466</v>
      </c>
      <c r="E26">
        <v>17</v>
      </c>
      <c r="F26">
        <v>1</v>
      </c>
      <c r="G26">
        <v>1</v>
      </c>
      <c r="H26">
        <v>3</v>
      </c>
      <c r="I26" t="s">
        <v>30</v>
      </c>
      <c r="J26" t="s">
        <v>6</v>
      </c>
      <c r="K26" t="s">
        <v>31</v>
      </c>
      <c r="L26">
        <v>1327</v>
      </c>
      <c r="N26">
        <v>1005</v>
      </c>
      <c r="O26" t="s">
        <v>32</v>
      </c>
      <c r="P26" t="s">
        <v>32</v>
      </c>
      <c r="Q26">
        <v>1</v>
      </c>
      <c r="X26">
        <v>100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100</v>
      </c>
      <c r="AH26">
        <v>2</v>
      </c>
      <c r="AI26">
        <v>16481212</v>
      </c>
      <c r="AJ26">
        <v>28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ROW(Source!A27)</f>
        <v>27</v>
      </c>
      <c r="B27">
        <v>16481225</v>
      </c>
      <c r="C27">
        <v>16481203</v>
      </c>
      <c r="D27">
        <v>15197780</v>
      </c>
      <c r="E27">
        <v>1</v>
      </c>
      <c r="F27">
        <v>1</v>
      </c>
      <c r="G27">
        <v>1</v>
      </c>
      <c r="H27">
        <v>3</v>
      </c>
      <c r="I27" t="s">
        <v>306</v>
      </c>
      <c r="J27" t="s">
        <v>307</v>
      </c>
      <c r="K27" t="s">
        <v>308</v>
      </c>
      <c r="L27">
        <v>1355</v>
      </c>
      <c r="N27">
        <v>1010</v>
      </c>
      <c r="O27" t="s">
        <v>309</v>
      </c>
      <c r="P27" t="s">
        <v>309</v>
      </c>
      <c r="Q27">
        <v>100</v>
      </c>
      <c r="X27">
        <v>8</v>
      </c>
      <c r="Y27">
        <v>50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8</v>
      </c>
      <c r="AH27">
        <v>2</v>
      </c>
      <c r="AI27">
        <v>16481213</v>
      </c>
      <c r="AJ27">
        <v>29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ROW(Source!A27)</f>
        <v>27</v>
      </c>
      <c r="B28">
        <v>16481226</v>
      </c>
      <c r="C28">
        <v>16481203</v>
      </c>
      <c r="D28">
        <v>15204239</v>
      </c>
      <c r="E28">
        <v>1</v>
      </c>
      <c r="F28">
        <v>1</v>
      </c>
      <c r="G28">
        <v>1</v>
      </c>
      <c r="H28">
        <v>3</v>
      </c>
      <c r="I28" t="s">
        <v>310</v>
      </c>
      <c r="J28" t="s">
        <v>311</v>
      </c>
      <c r="K28" t="s">
        <v>312</v>
      </c>
      <c r="L28">
        <v>1354</v>
      </c>
      <c r="N28">
        <v>1010</v>
      </c>
      <c r="O28" t="s">
        <v>313</v>
      </c>
      <c r="P28" t="s">
        <v>313</v>
      </c>
      <c r="Q28">
        <v>1</v>
      </c>
      <c r="X28">
        <v>71</v>
      </c>
      <c r="Y28">
        <v>67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71</v>
      </c>
      <c r="AH28">
        <v>2</v>
      </c>
      <c r="AI28">
        <v>16481214</v>
      </c>
      <c r="AJ28">
        <v>30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ROW(Source!A32)</f>
        <v>32</v>
      </c>
      <c r="B29">
        <v>16481237</v>
      </c>
      <c r="C29">
        <v>16481229</v>
      </c>
      <c r="D29">
        <v>15430767</v>
      </c>
      <c r="E29">
        <v>1</v>
      </c>
      <c r="F29">
        <v>1</v>
      </c>
      <c r="G29">
        <v>1</v>
      </c>
      <c r="H29">
        <v>1</v>
      </c>
      <c r="I29" t="s">
        <v>314</v>
      </c>
      <c r="J29" t="s">
        <v>6</v>
      </c>
      <c r="K29" t="s">
        <v>315</v>
      </c>
      <c r="L29">
        <v>1191</v>
      </c>
      <c r="N29">
        <v>1013</v>
      </c>
      <c r="O29" t="s">
        <v>280</v>
      </c>
      <c r="P29" t="s">
        <v>280</v>
      </c>
      <c r="Q29">
        <v>1</v>
      </c>
      <c r="X29">
        <v>21.38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6</v>
      </c>
      <c r="AG29">
        <v>21.38</v>
      </c>
      <c r="AH29">
        <v>2</v>
      </c>
      <c r="AI29">
        <v>16481230</v>
      </c>
      <c r="AJ29">
        <v>31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ROW(Source!A32)</f>
        <v>32</v>
      </c>
      <c r="B30">
        <v>16481238</v>
      </c>
      <c r="C30">
        <v>16481229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281</v>
      </c>
      <c r="J30" t="s">
        <v>6</v>
      </c>
      <c r="K30" t="s">
        <v>282</v>
      </c>
      <c r="L30">
        <v>1191</v>
      </c>
      <c r="N30">
        <v>1013</v>
      </c>
      <c r="O30" t="s">
        <v>280</v>
      </c>
      <c r="P30" t="s">
        <v>280</v>
      </c>
      <c r="Q30">
        <v>1</v>
      </c>
      <c r="X30">
        <v>0.37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6</v>
      </c>
      <c r="AG30">
        <v>0.37</v>
      </c>
      <c r="AH30">
        <v>2</v>
      </c>
      <c r="AI30">
        <v>16481231</v>
      </c>
      <c r="AJ30">
        <v>32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ROW(Source!A32)</f>
        <v>32</v>
      </c>
      <c r="B31">
        <v>16481239</v>
      </c>
      <c r="C31">
        <v>16481229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283</v>
      </c>
      <c r="J31" t="s">
        <v>284</v>
      </c>
      <c r="K31" t="s">
        <v>285</v>
      </c>
      <c r="L31">
        <v>1368</v>
      </c>
      <c r="N31">
        <v>1011</v>
      </c>
      <c r="O31" t="s">
        <v>286</v>
      </c>
      <c r="P31" t="s">
        <v>286</v>
      </c>
      <c r="Q31">
        <v>1</v>
      </c>
      <c r="X31">
        <v>7.0000000000000007E-2</v>
      </c>
      <c r="Y31">
        <v>0</v>
      </c>
      <c r="Z31">
        <v>31.26</v>
      </c>
      <c r="AA31">
        <v>13.5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7.0000000000000007E-2</v>
      </c>
      <c r="AH31">
        <v>2</v>
      </c>
      <c r="AI31">
        <v>16481232</v>
      </c>
      <c r="AJ31">
        <v>33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ROW(Source!A32)</f>
        <v>32</v>
      </c>
      <c r="B32">
        <v>16481240</v>
      </c>
      <c r="C32">
        <v>16481229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289</v>
      </c>
      <c r="J32" t="s">
        <v>290</v>
      </c>
      <c r="K32" t="s">
        <v>291</v>
      </c>
      <c r="L32">
        <v>1368</v>
      </c>
      <c r="N32">
        <v>1011</v>
      </c>
      <c r="O32" t="s">
        <v>286</v>
      </c>
      <c r="P32" t="s">
        <v>286</v>
      </c>
      <c r="Q32">
        <v>1</v>
      </c>
      <c r="X32">
        <v>0.3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0.3</v>
      </c>
      <c r="AH32">
        <v>2</v>
      </c>
      <c r="AI32">
        <v>16481233</v>
      </c>
      <c r="AJ32">
        <v>34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ROW(Source!A32)</f>
        <v>32</v>
      </c>
      <c r="B33">
        <v>16481241</v>
      </c>
      <c r="C33">
        <v>16481229</v>
      </c>
      <c r="D33">
        <v>15162469</v>
      </c>
      <c r="E33">
        <v>17</v>
      </c>
      <c r="F33">
        <v>1</v>
      </c>
      <c r="G33">
        <v>1</v>
      </c>
      <c r="H33">
        <v>3</v>
      </c>
      <c r="I33" t="s">
        <v>370</v>
      </c>
      <c r="J33" t="s">
        <v>6</v>
      </c>
      <c r="K33" t="s">
        <v>371</v>
      </c>
      <c r="L33">
        <v>1301</v>
      </c>
      <c r="N33">
        <v>1003</v>
      </c>
      <c r="O33" t="s">
        <v>45</v>
      </c>
      <c r="P33" t="s">
        <v>45</v>
      </c>
      <c r="Q33">
        <v>1</v>
      </c>
      <c r="X33">
        <v>0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 t="s">
        <v>6</v>
      </c>
      <c r="AG33">
        <v>0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ROW(Source!A32)</f>
        <v>32</v>
      </c>
      <c r="B34">
        <v>16481242</v>
      </c>
      <c r="C34">
        <v>16481229</v>
      </c>
      <c r="D34">
        <v>15197780</v>
      </c>
      <c r="E34">
        <v>1</v>
      </c>
      <c r="F34">
        <v>1</v>
      </c>
      <c r="G34">
        <v>1</v>
      </c>
      <c r="H34">
        <v>3</v>
      </c>
      <c r="I34" t="s">
        <v>306</v>
      </c>
      <c r="J34" t="s">
        <v>307</v>
      </c>
      <c r="K34" t="s">
        <v>308</v>
      </c>
      <c r="L34">
        <v>1355</v>
      </c>
      <c r="N34">
        <v>1010</v>
      </c>
      <c r="O34" t="s">
        <v>309</v>
      </c>
      <c r="P34" t="s">
        <v>309</v>
      </c>
      <c r="Q34">
        <v>100</v>
      </c>
      <c r="X34">
        <v>4</v>
      </c>
      <c r="Y34">
        <v>50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4</v>
      </c>
      <c r="AH34">
        <v>2</v>
      </c>
      <c r="AI34">
        <v>16481234</v>
      </c>
      <c r="AJ34">
        <v>36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ROW(Source!A32)</f>
        <v>32</v>
      </c>
      <c r="B35">
        <v>16481243</v>
      </c>
      <c r="C35">
        <v>16481229</v>
      </c>
      <c r="D35">
        <v>15204239</v>
      </c>
      <c r="E35">
        <v>1</v>
      </c>
      <c r="F35">
        <v>1</v>
      </c>
      <c r="G35">
        <v>1</v>
      </c>
      <c r="H35">
        <v>3</v>
      </c>
      <c r="I35" t="s">
        <v>310</v>
      </c>
      <c r="J35" t="s">
        <v>311</v>
      </c>
      <c r="K35" t="s">
        <v>312</v>
      </c>
      <c r="L35">
        <v>1354</v>
      </c>
      <c r="N35">
        <v>1010</v>
      </c>
      <c r="O35" t="s">
        <v>313</v>
      </c>
      <c r="P35" t="s">
        <v>313</v>
      </c>
      <c r="Q35">
        <v>1</v>
      </c>
      <c r="X35">
        <v>90.7</v>
      </c>
      <c r="Y35">
        <v>67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90.7</v>
      </c>
      <c r="AH35">
        <v>2</v>
      </c>
      <c r="AI35">
        <v>16481235</v>
      </c>
      <c r="AJ35">
        <v>37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ROW(Source!A33)</f>
        <v>33</v>
      </c>
      <c r="B36">
        <v>16481237</v>
      </c>
      <c r="C36">
        <v>16481229</v>
      </c>
      <c r="D36">
        <v>15430767</v>
      </c>
      <c r="E36">
        <v>1</v>
      </c>
      <c r="F36">
        <v>1</v>
      </c>
      <c r="G36">
        <v>1</v>
      </c>
      <c r="H36">
        <v>1</v>
      </c>
      <c r="I36" t="s">
        <v>314</v>
      </c>
      <c r="J36" t="s">
        <v>6</v>
      </c>
      <c r="K36" t="s">
        <v>315</v>
      </c>
      <c r="L36">
        <v>1191</v>
      </c>
      <c r="N36">
        <v>1013</v>
      </c>
      <c r="O36" t="s">
        <v>280</v>
      </c>
      <c r="P36" t="s">
        <v>280</v>
      </c>
      <c r="Q36">
        <v>1</v>
      </c>
      <c r="X36">
        <v>21.38</v>
      </c>
      <c r="Y36">
        <v>0</v>
      </c>
      <c r="Z36">
        <v>0</v>
      </c>
      <c r="AA36">
        <v>0</v>
      </c>
      <c r="AB36">
        <v>8.5299999999999994</v>
      </c>
      <c r="AC36">
        <v>0</v>
      </c>
      <c r="AD36">
        <v>1</v>
      </c>
      <c r="AE36">
        <v>1</v>
      </c>
      <c r="AF36" t="s">
        <v>6</v>
      </c>
      <c r="AG36">
        <v>21.38</v>
      </c>
      <c r="AH36">
        <v>2</v>
      </c>
      <c r="AI36">
        <v>16481230</v>
      </c>
      <c r="AJ36">
        <v>38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ROW(Source!A33)</f>
        <v>33</v>
      </c>
      <c r="B37">
        <v>16481238</v>
      </c>
      <c r="C37">
        <v>16481229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281</v>
      </c>
      <c r="J37" t="s">
        <v>6</v>
      </c>
      <c r="K37" t="s">
        <v>282</v>
      </c>
      <c r="L37">
        <v>1191</v>
      </c>
      <c r="N37">
        <v>1013</v>
      </c>
      <c r="O37" t="s">
        <v>280</v>
      </c>
      <c r="P37" t="s">
        <v>280</v>
      </c>
      <c r="Q37">
        <v>1</v>
      </c>
      <c r="X37">
        <v>0.37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6</v>
      </c>
      <c r="AG37">
        <v>0.37</v>
      </c>
      <c r="AH37">
        <v>2</v>
      </c>
      <c r="AI37">
        <v>16481231</v>
      </c>
      <c r="AJ37">
        <v>39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ROW(Source!A33)</f>
        <v>33</v>
      </c>
      <c r="B38">
        <v>16481239</v>
      </c>
      <c r="C38">
        <v>16481229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283</v>
      </c>
      <c r="J38" t="s">
        <v>284</v>
      </c>
      <c r="K38" t="s">
        <v>285</v>
      </c>
      <c r="L38">
        <v>1368</v>
      </c>
      <c r="N38">
        <v>1011</v>
      </c>
      <c r="O38" t="s">
        <v>286</v>
      </c>
      <c r="P38" t="s">
        <v>286</v>
      </c>
      <c r="Q38">
        <v>1</v>
      </c>
      <c r="X38">
        <v>7.0000000000000007E-2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7.0000000000000007E-2</v>
      </c>
      <c r="AH38">
        <v>2</v>
      </c>
      <c r="AI38">
        <v>16481232</v>
      </c>
      <c r="AJ38">
        <v>40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ROW(Source!A33)</f>
        <v>33</v>
      </c>
      <c r="B39">
        <v>16481240</v>
      </c>
      <c r="C39">
        <v>16481229</v>
      </c>
      <c r="D39">
        <v>15249073</v>
      </c>
      <c r="E39">
        <v>1</v>
      </c>
      <c r="F39">
        <v>1</v>
      </c>
      <c r="G39">
        <v>1</v>
      </c>
      <c r="H39">
        <v>2</v>
      </c>
      <c r="I39" t="s">
        <v>289</v>
      </c>
      <c r="J39" t="s">
        <v>290</v>
      </c>
      <c r="K39" t="s">
        <v>291</v>
      </c>
      <c r="L39">
        <v>1368</v>
      </c>
      <c r="N39">
        <v>1011</v>
      </c>
      <c r="O39" t="s">
        <v>286</v>
      </c>
      <c r="P39" t="s">
        <v>286</v>
      </c>
      <c r="Q39">
        <v>1</v>
      </c>
      <c r="X39">
        <v>0.3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0.3</v>
      </c>
      <c r="AH39">
        <v>2</v>
      </c>
      <c r="AI39">
        <v>16481233</v>
      </c>
      <c r="AJ39">
        <v>41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ROW(Source!A33)</f>
        <v>33</v>
      </c>
      <c r="B40">
        <v>16481241</v>
      </c>
      <c r="C40">
        <v>16481229</v>
      </c>
      <c r="D40">
        <v>15162469</v>
      </c>
      <c r="E40">
        <v>17</v>
      </c>
      <c r="F40">
        <v>1</v>
      </c>
      <c r="G40">
        <v>1</v>
      </c>
      <c r="H40">
        <v>3</v>
      </c>
      <c r="I40" t="s">
        <v>370</v>
      </c>
      <c r="J40" t="s">
        <v>6</v>
      </c>
      <c r="K40" t="s">
        <v>371</v>
      </c>
      <c r="L40">
        <v>1301</v>
      </c>
      <c r="N40">
        <v>1003</v>
      </c>
      <c r="O40" t="s">
        <v>45</v>
      </c>
      <c r="P40" t="s">
        <v>45</v>
      </c>
      <c r="Q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0</v>
      </c>
      <c r="AF40" t="s">
        <v>6</v>
      </c>
      <c r="AG40">
        <v>0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ROW(Source!A33)</f>
        <v>33</v>
      </c>
      <c r="B41">
        <v>16481242</v>
      </c>
      <c r="C41">
        <v>16481229</v>
      </c>
      <c r="D41">
        <v>15197780</v>
      </c>
      <c r="E41">
        <v>1</v>
      </c>
      <c r="F41">
        <v>1</v>
      </c>
      <c r="G41">
        <v>1</v>
      </c>
      <c r="H41">
        <v>3</v>
      </c>
      <c r="I41" t="s">
        <v>306</v>
      </c>
      <c r="J41" t="s">
        <v>307</v>
      </c>
      <c r="K41" t="s">
        <v>308</v>
      </c>
      <c r="L41">
        <v>1355</v>
      </c>
      <c r="N41">
        <v>1010</v>
      </c>
      <c r="O41" t="s">
        <v>309</v>
      </c>
      <c r="P41" t="s">
        <v>309</v>
      </c>
      <c r="Q41">
        <v>100</v>
      </c>
      <c r="X41">
        <v>4</v>
      </c>
      <c r="Y41">
        <v>50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4</v>
      </c>
      <c r="AH41">
        <v>2</v>
      </c>
      <c r="AI41">
        <v>16481234</v>
      </c>
      <c r="AJ41">
        <v>43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ROW(Source!A33)</f>
        <v>33</v>
      </c>
      <c r="B42">
        <v>16481243</v>
      </c>
      <c r="C42">
        <v>16481229</v>
      </c>
      <c r="D42">
        <v>15204239</v>
      </c>
      <c r="E42">
        <v>1</v>
      </c>
      <c r="F42">
        <v>1</v>
      </c>
      <c r="G42">
        <v>1</v>
      </c>
      <c r="H42">
        <v>3</v>
      </c>
      <c r="I42" t="s">
        <v>310</v>
      </c>
      <c r="J42" t="s">
        <v>311</v>
      </c>
      <c r="K42" t="s">
        <v>312</v>
      </c>
      <c r="L42">
        <v>1354</v>
      </c>
      <c r="N42">
        <v>1010</v>
      </c>
      <c r="O42" t="s">
        <v>313</v>
      </c>
      <c r="P42" t="s">
        <v>313</v>
      </c>
      <c r="Q42">
        <v>1</v>
      </c>
      <c r="X42">
        <v>90.7</v>
      </c>
      <c r="Y42">
        <v>67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90.7</v>
      </c>
      <c r="AH42">
        <v>2</v>
      </c>
      <c r="AI42">
        <v>16481235</v>
      </c>
      <c r="AJ42">
        <v>44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ROW(Source!A36)</f>
        <v>36</v>
      </c>
      <c r="B43">
        <v>16481256</v>
      </c>
      <c r="C43">
        <v>16481245</v>
      </c>
      <c r="D43">
        <v>15430767</v>
      </c>
      <c r="E43">
        <v>1</v>
      </c>
      <c r="F43">
        <v>1</v>
      </c>
      <c r="G43">
        <v>1</v>
      </c>
      <c r="H43">
        <v>1</v>
      </c>
      <c r="I43" t="s">
        <v>314</v>
      </c>
      <c r="J43" t="s">
        <v>6</v>
      </c>
      <c r="K43" t="s">
        <v>315</v>
      </c>
      <c r="L43">
        <v>1191</v>
      </c>
      <c r="N43">
        <v>1013</v>
      </c>
      <c r="O43" t="s">
        <v>280</v>
      </c>
      <c r="P43" t="s">
        <v>280</v>
      </c>
      <c r="Q43">
        <v>1</v>
      </c>
      <c r="X43">
        <v>41.41</v>
      </c>
      <c r="Y43">
        <v>0</v>
      </c>
      <c r="Z43">
        <v>0</v>
      </c>
      <c r="AA43">
        <v>0</v>
      </c>
      <c r="AB43">
        <v>8.5299999999999994</v>
      </c>
      <c r="AC43">
        <v>0</v>
      </c>
      <c r="AD43">
        <v>1</v>
      </c>
      <c r="AE43">
        <v>1</v>
      </c>
      <c r="AF43" t="s">
        <v>6</v>
      </c>
      <c r="AG43">
        <v>41.41</v>
      </c>
      <c r="AH43">
        <v>2</v>
      </c>
      <c r="AI43">
        <v>16481246</v>
      </c>
      <c r="AJ43">
        <v>45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ROW(Source!A36)</f>
        <v>36</v>
      </c>
      <c r="B44">
        <v>16481257</v>
      </c>
      <c r="C44">
        <v>16481245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281</v>
      </c>
      <c r="J44" t="s">
        <v>6</v>
      </c>
      <c r="K44" t="s">
        <v>282</v>
      </c>
      <c r="L44">
        <v>1191</v>
      </c>
      <c r="N44">
        <v>1013</v>
      </c>
      <c r="O44" t="s">
        <v>280</v>
      </c>
      <c r="P44" t="s">
        <v>280</v>
      </c>
      <c r="Q44">
        <v>1</v>
      </c>
      <c r="X44">
        <v>0.12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6</v>
      </c>
      <c r="AG44">
        <v>0.12</v>
      </c>
      <c r="AH44">
        <v>2</v>
      </c>
      <c r="AI44">
        <v>16481247</v>
      </c>
      <c r="AJ44">
        <v>46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ROW(Source!A36)</f>
        <v>36</v>
      </c>
      <c r="B45">
        <v>16481258</v>
      </c>
      <c r="C45">
        <v>16481245</v>
      </c>
      <c r="D45">
        <v>15247974</v>
      </c>
      <c r="E45">
        <v>1</v>
      </c>
      <c r="F45">
        <v>1</v>
      </c>
      <c r="G45">
        <v>1</v>
      </c>
      <c r="H45">
        <v>2</v>
      </c>
      <c r="I45" t="s">
        <v>283</v>
      </c>
      <c r="J45" t="s">
        <v>284</v>
      </c>
      <c r="K45" t="s">
        <v>285</v>
      </c>
      <c r="L45">
        <v>1368</v>
      </c>
      <c r="N45">
        <v>1011</v>
      </c>
      <c r="O45" t="s">
        <v>286</v>
      </c>
      <c r="P45" t="s">
        <v>286</v>
      </c>
      <c r="Q45">
        <v>1</v>
      </c>
      <c r="X45">
        <v>0.08</v>
      </c>
      <c r="Y45">
        <v>0</v>
      </c>
      <c r="Z45">
        <v>31.26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0.08</v>
      </c>
      <c r="AH45">
        <v>2</v>
      </c>
      <c r="AI45">
        <v>16481248</v>
      </c>
      <c r="AJ45">
        <v>47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ROW(Source!A36)</f>
        <v>36</v>
      </c>
      <c r="B46">
        <v>16481259</v>
      </c>
      <c r="C46">
        <v>16481245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289</v>
      </c>
      <c r="J46" t="s">
        <v>290</v>
      </c>
      <c r="K46" t="s">
        <v>291</v>
      </c>
      <c r="L46">
        <v>1368</v>
      </c>
      <c r="N46">
        <v>1011</v>
      </c>
      <c r="O46" t="s">
        <v>286</v>
      </c>
      <c r="P46" t="s">
        <v>286</v>
      </c>
      <c r="Q46">
        <v>1</v>
      </c>
      <c r="X46">
        <v>0.04</v>
      </c>
      <c r="Y46">
        <v>0</v>
      </c>
      <c r="Z46">
        <v>65.709999999999994</v>
      </c>
      <c r="AA46">
        <v>11.6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0.04</v>
      </c>
      <c r="AH46">
        <v>2</v>
      </c>
      <c r="AI46">
        <v>16481249</v>
      </c>
      <c r="AJ46">
        <v>48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ROW(Source!A36)</f>
        <v>36</v>
      </c>
      <c r="B47">
        <v>16481260</v>
      </c>
      <c r="C47">
        <v>16481245</v>
      </c>
      <c r="D47">
        <v>15164566</v>
      </c>
      <c r="E47">
        <v>17</v>
      </c>
      <c r="F47">
        <v>1</v>
      </c>
      <c r="G47">
        <v>1</v>
      </c>
      <c r="H47">
        <v>3</v>
      </c>
      <c r="I47" t="s">
        <v>55</v>
      </c>
      <c r="J47" t="s">
        <v>6</v>
      </c>
      <c r="K47" t="s">
        <v>56</v>
      </c>
      <c r="L47">
        <v>1348</v>
      </c>
      <c r="N47">
        <v>1009</v>
      </c>
      <c r="O47" t="s">
        <v>57</v>
      </c>
      <c r="P47" t="s">
        <v>57</v>
      </c>
      <c r="Q47">
        <v>1000</v>
      </c>
      <c r="X47">
        <v>0.224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6</v>
      </c>
      <c r="AG47">
        <v>0.224</v>
      </c>
      <c r="AH47">
        <v>2</v>
      </c>
      <c r="AI47">
        <v>16481250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ROW(Source!A36)</f>
        <v>36</v>
      </c>
      <c r="B48">
        <v>16481261</v>
      </c>
      <c r="C48">
        <v>16481245</v>
      </c>
      <c r="D48">
        <v>15170039</v>
      </c>
      <c r="E48">
        <v>1</v>
      </c>
      <c r="F48">
        <v>1</v>
      </c>
      <c r="G48">
        <v>1</v>
      </c>
      <c r="H48">
        <v>3</v>
      </c>
      <c r="I48" t="s">
        <v>316</v>
      </c>
      <c r="J48" t="s">
        <v>317</v>
      </c>
      <c r="K48" t="s">
        <v>318</v>
      </c>
      <c r="L48">
        <v>1348</v>
      </c>
      <c r="N48">
        <v>1009</v>
      </c>
      <c r="O48" t="s">
        <v>57</v>
      </c>
      <c r="P48" t="s">
        <v>57</v>
      </c>
      <c r="Q48">
        <v>1000</v>
      </c>
      <c r="X48">
        <v>4.0000000000000001E-3</v>
      </c>
      <c r="Y48">
        <v>11978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4.0000000000000001E-3</v>
      </c>
      <c r="AH48">
        <v>2</v>
      </c>
      <c r="AI48">
        <v>16481251</v>
      </c>
      <c r="AJ48">
        <v>50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ROW(Source!A36)</f>
        <v>36</v>
      </c>
      <c r="B49">
        <v>16481262</v>
      </c>
      <c r="C49">
        <v>16481245</v>
      </c>
      <c r="D49">
        <v>15191139</v>
      </c>
      <c r="E49">
        <v>1</v>
      </c>
      <c r="F49">
        <v>1</v>
      </c>
      <c r="G49">
        <v>1</v>
      </c>
      <c r="H49">
        <v>3</v>
      </c>
      <c r="I49" t="s">
        <v>319</v>
      </c>
      <c r="J49" t="s">
        <v>320</v>
      </c>
      <c r="K49" t="s">
        <v>321</v>
      </c>
      <c r="L49">
        <v>1348</v>
      </c>
      <c r="N49">
        <v>1009</v>
      </c>
      <c r="O49" t="s">
        <v>57</v>
      </c>
      <c r="P49" t="s">
        <v>57</v>
      </c>
      <c r="Q49">
        <v>1000</v>
      </c>
      <c r="X49">
        <v>6.0000000000000001E-3</v>
      </c>
      <c r="Y49">
        <v>8023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6.0000000000000001E-3</v>
      </c>
      <c r="AH49">
        <v>2</v>
      </c>
      <c r="AI49">
        <v>16481252</v>
      </c>
      <c r="AJ49">
        <v>52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ROW(Source!A36)</f>
        <v>36</v>
      </c>
      <c r="B50">
        <v>16481263</v>
      </c>
      <c r="C50">
        <v>16481245</v>
      </c>
      <c r="D50">
        <v>15164570</v>
      </c>
      <c r="E50">
        <v>17</v>
      </c>
      <c r="F50">
        <v>1</v>
      </c>
      <c r="G50">
        <v>1</v>
      </c>
      <c r="H50">
        <v>3</v>
      </c>
      <c r="I50" t="s">
        <v>59</v>
      </c>
      <c r="J50" t="s">
        <v>6</v>
      </c>
      <c r="K50" t="s">
        <v>60</v>
      </c>
      <c r="L50">
        <v>1348</v>
      </c>
      <c r="N50">
        <v>1009</v>
      </c>
      <c r="O50" t="s">
        <v>57</v>
      </c>
      <c r="P50" t="s">
        <v>57</v>
      </c>
      <c r="Q50">
        <v>1000</v>
      </c>
      <c r="X50">
        <v>0.184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6</v>
      </c>
      <c r="AG50">
        <v>0.184</v>
      </c>
      <c r="AH50">
        <v>2</v>
      </c>
      <c r="AI50">
        <v>16481253</v>
      </c>
      <c r="AJ50">
        <v>53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ROW(Source!A37)</f>
        <v>37</v>
      </c>
      <c r="B51">
        <v>16481256</v>
      </c>
      <c r="C51">
        <v>16481245</v>
      </c>
      <c r="D51">
        <v>15430767</v>
      </c>
      <c r="E51">
        <v>1</v>
      </c>
      <c r="F51">
        <v>1</v>
      </c>
      <c r="G51">
        <v>1</v>
      </c>
      <c r="H51">
        <v>1</v>
      </c>
      <c r="I51" t="s">
        <v>314</v>
      </c>
      <c r="J51" t="s">
        <v>6</v>
      </c>
      <c r="K51" t="s">
        <v>315</v>
      </c>
      <c r="L51">
        <v>1191</v>
      </c>
      <c r="N51">
        <v>1013</v>
      </c>
      <c r="O51" t="s">
        <v>280</v>
      </c>
      <c r="P51" t="s">
        <v>280</v>
      </c>
      <c r="Q51">
        <v>1</v>
      </c>
      <c r="X51">
        <v>41.41</v>
      </c>
      <c r="Y51">
        <v>0</v>
      </c>
      <c r="Z51">
        <v>0</v>
      </c>
      <c r="AA51">
        <v>0</v>
      </c>
      <c r="AB51">
        <v>8.5299999999999994</v>
      </c>
      <c r="AC51">
        <v>0</v>
      </c>
      <c r="AD51">
        <v>1</v>
      </c>
      <c r="AE51">
        <v>1</v>
      </c>
      <c r="AF51" t="s">
        <v>6</v>
      </c>
      <c r="AG51">
        <v>41.41</v>
      </c>
      <c r="AH51">
        <v>2</v>
      </c>
      <c r="AI51">
        <v>16481246</v>
      </c>
      <c r="AJ51">
        <v>55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ROW(Source!A37)</f>
        <v>37</v>
      </c>
      <c r="B52">
        <v>16481257</v>
      </c>
      <c r="C52">
        <v>16481245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281</v>
      </c>
      <c r="J52" t="s">
        <v>6</v>
      </c>
      <c r="K52" t="s">
        <v>282</v>
      </c>
      <c r="L52">
        <v>1191</v>
      </c>
      <c r="N52">
        <v>1013</v>
      </c>
      <c r="O52" t="s">
        <v>280</v>
      </c>
      <c r="P52" t="s">
        <v>280</v>
      </c>
      <c r="Q52">
        <v>1</v>
      </c>
      <c r="X52">
        <v>0.12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6</v>
      </c>
      <c r="AG52">
        <v>0.12</v>
      </c>
      <c r="AH52">
        <v>2</v>
      </c>
      <c r="AI52">
        <v>16481247</v>
      </c>
      <c r="AJ52">
        <v>56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ROW(Source!A37)</f>
        <v>37</v>
      </c>
      <c r="B53">
        <v>16481258</v>
      </c>
      <c r="C53">
        <v>16481245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283</v>
      </c>
      <c r="J53" t="s">
        <v>284</v>
      </c>
      <c r="K53" t="s">
        <v>285</v>
      </c>
      <c r="L53">
        <v>1368</v>
      </c>
      <c r="N53">
        <v>1011</v>
      </c>
      <c r="O53" t="s">
        <v>286</v>
      </c>
      <c r="P53" t="s">
        <v>286</v>
      </c>
      <c r="Q53">
        <v>1</v>
      </c>
      <c r="X53">
        <v>0.08</v>
      </c>
      <c r="Y53">
        <v>0</v>
      </c>
      <c r="Z53">
        <v>31.26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0.08</v>
      </c>
      <c r="AH53">
        <v>2</v>
      </c>
      <c r="AI53">
        <v>16481248</v>
      </c>
      <c r="AJ53">
        <v>57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ROW(Source!A37)</f>
        <v>37</v>
      </c>
      <c r="B54">
        <v>16481259</v>
      </c>
      <c r="C54">
        <v>16481245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289</v>
      </c>
      <c r="J54" t="s">
        <v>290</v>
      </c>
      <c r="K54" t="s">
        <v>291</v>
      </c>
      <c r="L54">
        <v>1368</v>
      </c>
      <c r="N54">
        <v>1011</v>
      </c>
      <c r="O54" t="s">
        <v>286</v>
      </c>
      <c r="P54" t="s">
        <v>286</v>
      </c>
      <c r="Q54">
        <v>1</v>
      </c>
      <c r="X54">
        <v>0.04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0.04</v>
      </c>
      <c r="AH54">
        <v>2</v>
      </c>
      <c r="AI54">
        <v>16481249</v>
      </c>
      <c r="AJ54">
        <v>58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ROW(Source!A37)</f>
        <v>37</v>
      </c>
      <c r="B55">
        <v>16481260</v>
      </c>
      <c r="C55">
        <v>16481245</v>
      </c>
      <c r="D55">
        <v>15164566</v>
      </c>
      <c r="E55">
        <v>17</v>
      </c>
      <c r="F55">
        <v>1</v>
      </c>
      <c r="G55">
        <v>1</v>
      </c>
      <c r="H55">
        <v>3</v>
      </c>
      <c r="I55" t="s">
        <v>55</v>
      </c>
      <c r="J55" t="s">
        <v>6</v>
      </c>
      <c r="K55" t="s">
        <v>56</v>
      </c>
      <c r="L55">
        <v>1348</v>
      </c>
      <c r="N55">
        <v>1009</v>
      </c>
      <c r="O55" t="s">
        <v>57</v>
      </c>
      <c r="P55" t="s">
        <v>57</v>
      </c>
      <c r="Q55">
        <v>1000</v>
      </c>
      <c r="X55">
        <v>0.224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6</v>
      </c>
      <c r="AG55">
        <v>0.224</v>
      </c>
      <c r="AH55">
        <v>2</v>
      </c>
      <c r="AI55">
        <v>16481250</v>
      </c>
      <c r="AJ55">
        <v>59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ROW(Source!A37)</f>
        <v>37</v>
      </c>
      <c r="B56">
        <v>16481261</v>
      </c>
      <c r="C56">
        <v>16481245</v>
      </c>
      <c r="D56">
        <v>15170039</v>
      </c>
      <c r="E56">
        <v>1</v>
      </c>
      <c r="F56">
        <v>1</v>
      </c>
      <c r="G56">
        <v>1</v>
      </c>
      <c r="H56">
        <v>3</v>
      </c>
      <c r="I56" t="s">
        <v>316</v>
      </c>
      <c r="J56" t="s">
        <v>317</v>
      </c>
      <c r="K56" t="s">
        <v>318</v>
      </c>
      <c r="L56">
        <v>1348</v>
      </c>
      <c r="N56">
        <v>1009</v>
      </c>
      <c r="O56" t="s">
        <v>57</v>
      </c>
      <c r="P56" t="s">
        <v>57</v>
      </c>
      <c r="Q56">
        <v>1000</v>
      </c>
      <c r="X56">
        <v>4.0000000000000001E-3</v>
      </c>
      <c r="Y56">
        <v>11978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4.0000000000000001E-3</v>
      </c>
      <c r="AH56">
        <v>2</v>
      </c>
      <c r="AI56">
        <v>16481251</v>
      </c>
      <c r="AJ56">
        <v>60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ROW(Source!A37)</f>
        <v>37</v>
      </c>
      <c r="B57">
        <v>16481262</v>
      </c>
      <c r="C57">
        <v>16481245</v>
      </c>
      <c r="D57">
        <v>15191139</v>
      </c>
      <c r="E57">
        <v>1</v>
      </c>
      <c r="F57">
        <v>1</v>
      </c>
      <c r="G57">
        <v>1</v>
      </c>
      <c r="H57">
        <v>3</v>
      </c>
      <c r="I57" t="s">
        <v>319</v>
      </c>
      <c r="J57" t="s">
        <v>320</v>
      </c>
      <c r="K57" t="s">
        <v>321</v>
      </c>
      <c r="L57">
        <v>1348</v>
      </c>
      <c r="N57">
        <v>1009</v>
      </c>
      <c r="O57" t="s">
        <v>57</v>
      </c>
      <c r="P57" t="s">
        <v>57</v>
      </c>
      <c r="Q57">
        <v>1000</v>
      </c>
      <c r="X57">
        <v>6.0000000000000001E-3</v>
      </c>
      <c r="Y57">
        <v>8023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6</v>
      </c>
      <c r="AG57">
        <v>6.0000000000000001E-3</v>
      </c>
      <c r="AH57">
        <v>2</v>
      </c>
      <c r="AI57">
        <v>16481252</v>
      </c>
      <c r="AJ57">
        <v>62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ROW(Source!A37)</f>
        <v>37</v>
      </c>
      <c r="B58">
        <v>16481263</v>
      </c>
      <c r="C58">
        <v>16481245</v>
      </c>
      <c r="D58">
        <v>15164570</v>
      </c>
      <c r="E58">
        <v>17</v>
      </c>
      <c r="F58">
        <v>1</v>
      </c>
      <c r="G58">
        <v>1</v>
      </c>
      <c r="H58">
        <v>3</v>
      </c>
      <c r="I58" t="s">
        <v>59</v>
      </c>
      <c r="J58" t="s">
        <v>6</v>
      </c>
      <c r="K58" t="s">
        <v>60</v>
      </c>
      <c r="L58">
        <v>1348</v>
      </c>
      <c r="N58">
        <v>1009</v>
      </c>
      <c r="O58" t="s">
        <v>57</v>
      </c>
      <c r="P58" t="s">
        <v>57</v>
      </c>
      <c r="Q58">
        <v>1000</v>
      </c>
      <c r="X58">
        <v>0.184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6</v>
      </c>
      <c r="AG58">
        <v>0.184</v>
      </c>
      <c r="AH58">
        <v>2</v>
      </c>
      <c r="AI58">
        <v>16481253</v>
      </c>
      <c r="AJ58">
        <v>63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ROW(Source!A46)</f>
        <v>46</v>
      </c>
      <c r="B59">
        <v>16481280</v>
      </c>
      <c r="C59">
        <v>16481268</v>
      </c>
      <c r="D59">
        <v>15438286</v>
      </c>
      <c r="E59">
        <v>1</v>
      </c>
      <c r="F59">
        <v>1</v>
      </c>
      <c r="G59">
        <v>1</v>
      </c>
      <c r="H59">
        <v>1</v>
      </c>
      <c r="I59" t="s">
        <v>322</v>
      </c>
      <c r="J59" t="s">
        <v>6</v>
      </c>
      <c r="K59" t="s">
        <v>323</v>
      </c>
      <c r="L59">
        <v>1191</v>
      </c>
      <c r="N59">
        <v>1013</v>
      </c>
      <c r="O59" t="s">
        <v>280</v>
      </c>
      <c r="P59" t="s">
        <v>280</v>
      </c>
      <c r="Q59">
        <v>1</v>
      </c>
      <c r="X59">
        <v>166.47</v>
      </c>
      <c r="Y59">
        <v>0</v>
      </c>
      <c r="Z59">
        <v>0</v>
      </c>
      <c r="AA59">
        <v>0</v>
      </c>
      <c r="AB59">
        <v>9.18</v>
      </c>
      <c r="AC59">
        <v>0</v>
      </c>
      <c r="AD59">
        <v>1</v>
      </c>
      <c r="AE59">
        <v>1</v>
      </c>
      <c r="AF59" t="s">
        <v>6</v>
      </c>
      <c r="AG59">
        <v>166.47</v>
      </c>
      <c r="AH59">
        <v>2</v>
      </c>
      <c r="AI59">
        <v>16481269</v>
      </c>
      <c r="AJ59">
        <v>65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ROW(Source!A46)</f>
        <v>46</v>
      </c>
      <c r="B60">
        <v>16481281</v>
      </c>
      <c r="C60">
        <v>16481268</v>
      </c>
      <c r="D60">
        <v>15430395</v>
      </c>
      <c r="E60">
        <v>1</v>
      </c>
      <c r="F60">
        <v>1</v>
      </c>
      <c r="G60">
        <v>1</v>
      </c>
      <c r="H60">
        <v>1</v>
      </c>
      <c r="I60" t="s">
        <v>281</v>
      </c>
      <c r="J60" t="s">
        <v>6</v>
      </c>
      <c r="K60" t="s">
        <v>282</v>
      </c>
      <c r="L60">
        <v>1191</v>
      </c>
      <c r="N60">
        <v>1013</v>
      </c>
      <c r="O60" t="s">
        <v>280</v>
      </c>
      <c r="P60" t="s">
        <v>280</v>
      </c>
      <c r="Q60">
        <v>1</v>
      </c>
      <c r="X60">
        <v>0.57999999999999996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2</v>
      </c>
      <c r="AF60" t="s">
        <v>6</v>
      </c>
      <c r="AG60">
        <v>0.57999999999999996</v>
      </c>
      <c r="AH60">
        <v>2</v>
      </c>
      <c r="AI60">
        <v>16481270</v>
      </c>
      <c r="AJ60">
        <v>66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ROW(Source!A46)</f>
        <v>46</v>
      </c>
      <c r="B61">
        <v>16481282</v>
      </c>
      <c r="C61">
        <v>16481268</v>
      </c>
      <c r="D61">
        <v>15247974</v>
      </c>
      <c r="E61">
        <v>1</v>
      </c>
      <c r="F61">
        <v>1</v>
      </c>
      <c r="G61">
        <v>1</v>
      </c>
      <c r="H61">
        <v>2</v>
      </c>
      <c r="I61" t="s">
        <v>283</v>
      </c>
      <c r="J61" t="s">
        <v>284</v>
      </c>
      <c r="K61" t="s">
        <v>285</v>
      </c>
      <c r="L61">
        <v>1368</v>
      </c>
      <c r="N61">
        <v>1011</v>
      </c>
      <c r="O61" t="s">
        <v>286</v>
      </c>
      <c r="P61" t="s">
        <v>286</v>
      </c>
      <c r="Q61">
        <v>1</v>
      </c>
      <c r="X61">
        <v>0.08</v>
      </c>
      <c r="Y61">
        <v>0</v>
      </c>
      <c r="Z61">
        <v>31.26</v>
      </c>
      <c r="AA61">
        <v>13.5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0.08</v>
      </c>
      <c r="AH61">
        <v>2</v>
      </c>
      <c r="AI61">
        <v>16481271</v>
      </c>
      <c r="AJ61">
        <v>67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ROW(Source!A46)</f>
        <v>46</v>
      </c>
      <c r="B62">
        <v>16481283</v>
      </c>
      <c r="C62">
        <v>16481268</v>
      </c>
      <c r="D62">
        <v>15249073</v>
      </c>
      <c r="E62">
        <v>1</v>
      </c>
      <c r="F62">
        <v>1</v>
      </c>
      <c r="G62">
        <v>1</v>
      </c>
      <c r="H62">
        <v>2</v>
      </c>
      <c r="I62" t="s">
        <v>289</v>
      </c>
      <c r="J62" t="s">
        <v>290</v>
      </c>
      <c r="K62" t="s">
        <v>291</v>
      </c>
      <c r="L62">
        <v>1368</v>
      </c>
      <c r="N62">
        <v>1011</v>
      </c>
      <c r="O62" t="s">
        <v>286</v>
      </c>
      <c r="P62" t="s">
        <v>286</v>
      </c>
      <c r="Q62">
        <v>1</v>
      </c>
      <c r="X62">
        <v>0.5</v>
      </c>
      <c r="Y62">
        <v>0</v>
      </c>
      <c r="Z62">
        <v>65.709999999999994</v>
      </c>
      <c r="AA62">
        <v>11.6</v>
      </c>
      <c r="AB62">
        <v>0</v>
      </c>
      <c r="AC62">
        <v>0</v>
      </c>
      <c r="AD62">
        <v>1</v>
      </c>
      <c r="AE62">
        <v>0</v>
      </c>
      <c r="AF62" t="s">
        <v>6</v>
      </c>
      <c r="AG62">
        <v>0.5</v>
      </c>
      <c r="AH62">
        <v>2</v>
      </c>
      <c r="AI62">
        <v>16481272</v>
      </c>
      <c r="AJ62">
        <v>68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ROW(Source!A46)</f>
        <v>46</v>
      </c>
      <c r="B63">
        <v>16481284</v>
      </c>
      <c r="C63">
        <v>16481268</v>
      </c>
      <c r="D63">
        <v>15162966</v>
      </c>
      <c r="E63">
        <v>17</v>
      </c>
      <c r="F63">
        <v>1</v>
      </c>
      <c r="G63">
        <v>1</v>
      </c>
      <c r="H63">
        <v>3</v>
      </c>
      <c r="I63" t="s">
        <v>77</v>
      </c>
      <c r="J63" t="s">
        <v>6</v>
      </c>
      <c r="K63" t="s">
        <v>78</v>
      </c>
      <c r="L63">
        <v>1327</v>
      </c>
      <c r="N63">
        <v>1005</v>
      </c>
      <c r="O63" t="s">
        <v>32</v>
      </c>
      <c r="P63" t="s">
        <v>32</v>
      </c>
      <c r="Q63">
        <v>1</v>
      </c>
      <c r="X63">
        <v>105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6</v>
      </c>
      <c r="AG63">
        <v>105</v>
      </c>
      <c r="AH63">
        <v>2</v>
      </c>
      <c r="AI63">
        <v>16481273</v>
      </c>
      <c r="AJ63">
        <v>69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ROW(Source!A46)</f>
        <v>46</v>
      </c>
      <c r="B64">
        <v>16481285</v>
      </c>
      <c r="C64">
        <v>16481268</v>
      </c>
      <c r="D64">
        <v>15171018</v>
      </c>
      <c r="E64">
        <v>1</v>
      </c>
      <c r="F64">
        <v>1</v>
      </c>
      <c r="G64">
        <v>1</v>
      </c>
      <c r="H64">
        <v>3</v>
      </c>
      <c r="I64" t="s">
        <v>324</v>
      </c>
      <c r="J64" t="s">
        <v>325</v>
      </c>
      <c r="K64" t="s">
        <v>326</v>
      </c>
      <c r="L64">
        <v>1346</v>
      </c>
      <c r="N64">
        <v>1009</v>
      </c>
      <c r="O64" t="s">
        <v>86</v>
      </c>
      <c r="P64" t="s">
        <v>86</v>
      </c>
      <c r="Q64">
        <v>1</v>
      </c>
      <c r="X64">
        <v>0.2</v>
      </c>
      <c r="Y64">
        <v>1.82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0.2</v>
      </c>
      <c r="AH64">
        <v>2</v>
      </c>
      <c r="AI64">
        <v>16481274</v>
      </c>
      <c r="AJ64">
        <v>70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ROW(Source!A46)</f>
        <v>46</v>
      </c>
      <c r="B65">
        <v>16481286</v>
      </c>
      <c r="C65">
        <v>16481268</v>
      </c>
      <c r="D65">
        <v>15162257</v>
      </c>
      <c r="E65">
        <v>17</v>
      </c>
      <c r="F65">
        <v>1</v>
      </c>
      <c r="G65">
        <v>1</v>
      </c>
      <c r="H65">
        <v>3</v>
      </c>
      <c r="I65" t="s">
        <v>84</v>
      </c>
      <c r="J65" t="s">
        <v>6</v>
      </c>
      <c r="K65" t="s">
        <v>85</v>
      </c>
      <c r="L65">
        <v>1346</v>
      </c>
      <c r="N65">
        <v>1009</v>
      </c>
      <c r="O65" t="s">
        <v>86</v>
      </c>
      <c r="P65" t="s">
        <v>86</v>
      </c>
      <c r="Q65">
        <v>1</v>
      </c>
      <c r="X65">
        <v>30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6</v>
      </c>
      <c r="AG65">
        <v>30</v>
      </c>
      <c r="AH65">
        <v>2</v>
      </c>
      <c r="AI65">
        <v>16481275</v>
      </c>
      <c r="AJ65">
        <v>73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ROW(Source!A46)</f>
        <v>46</v>
      </c>
      <c r="B66">
        <v>16481287</v>
      </c>
      <c r="C66">
        <v>16481268</v>
      </c>
      <c r="D66">
        <v>15162572</v>
      </c>
      <c r="E66">
        <v>17</v>
      </c>
      <c r="F66">
        <v>1</v>
      </c>
      <c r="G66">
        <v>1</v>
      </c>
      <c r="H66">
        <v>3</v>
      </c>
      <c r="I66" t="s">
        <v>96</v>
      </c>
      <c r="J66" t="s">
        <v>6</v>
      </c>
      <c r="K66" t="s">
        <v>97</v>
      </c>
      <c r="L66">
        <v>1348</v>
      </c>
      <c r="N66">
        <v>1009</v>
      </c>
      <c r="O66" t="s">
        <v>57</v>
      </c>
      <c r="P66" t="s">
        <v>57</v>
      </c>
      <c r="Q66">
        <v>1000</v>
      </c>
      <c r="X66">
        <v>8.8999999999999999E-3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 t="s">
        <v>6</v>
      </c>
      <c r="AG66">
        <v>8.8999999999999999E-3</v>
      </c>
      <c r="AH66">
        <v>2</v>
      </c>
      <c r="AI66">
        <v>16481276</v>
      </c>
      <c r="AJ66">
        <v>75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ROW(Source!A47)</f>
        <v>47</v>
      </c>
      <c r="B67">
        <v>16481280</v>
      </c>
      <c r="C67">
        <v>16481268</v>
      </c>
      <c r="D67">
        <v>15438286</v>
      </c>
      <c r="E67">
        <v>1</v>
      </c>
      <c r="F67">
        <v>1</v>
      </c>
      <c r="G67">
        <v>1</v>
      </c>
      <c r="H67">
        <v>1</v>
      </c>
      <c r="I67" t="s">
        <v>322</v>
      </c>
      <c r="J67" t="s">
        <v>6</v>
      </c>
      <c r="K67" t="s">
        <v>323</v>
      </c>
      <c r="L67">
        <v>1191</v>
      </c>
      <c r="N67">
        <v>1013</v>
      </c>
      <c r="O67" t="s">
        <v>280</v>
      </c>
      <c r="P67" t="s">
        <v>280</v>
      </c>
      <c r="Q67">
        <v>1</v>
      </c>
      <c r="X67">
        <v>166.47</v>
      </c>
      <c r="Y67">
        <v>0</v>
      </c>
      <c r="Z67">
        <v>0</v>
      </c>
      <c r="AA67">
        <v>0</v>
      </c>
      <c r="AB67">
        <v>9.18</v>
      </c>
      <c r="AC67">
        <v>0</v>
      </c>
      <c r="AD67">
        <v>1</v>
      </c>
      <c r="AE67">
        <v>1</v>
      </c>
      <c r="AF67" t="s">
        <v>6</v>
      </c>
      <c r="AG67">
        <v>166.47</v>
      </c>
      <c r="AH67">
        <v>2</v>
      </c>
      <c r="AI67">
        <v>16481269</v>
      </c>
      <c r="AJ67">
        <v>76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ROW(Source!A47)</f>
        <v>47</v>
      </c>
      <c r="B68">
        <v>16481281</v>
      </c>
      <c r="C68">
        <v>16481268</v>
      </c>
      <c r="D68">
        <v>15430395</v>
      </c>
      <c r="E68">
        <v>1</v>
      </c>
      <c r="F68">
        <v>1</v>
      </c>
      <c r="G68">
        <v>1</v>
      </c>
      <c r="H68">
        <v>1</v>
      </c>
      <c r="I68" t="s">
        <v>281</v>
      </c>
      <c r="J68" t="s">
        <v>6</v>
      </c>
      <c r="K68" t="s">
        <v>282</v>
      </c>
      <c r="L68">
        <v>1191</v>
      </c>
      <c r="N68">
        <v>1013</v>
      </c>
      <c r="O68" t="s">
        <v>280</v>
      </c>
      <c r="P68" t="s">
        <v>280</v>
      </c>
      <c r="Q68">
        <v>1</v>
      </c>
      <c r="X68">
        <v>0.57999999999999996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2</v>
      </c>
      <c r="AF68" t="s">
        <v>6</v>
      </c>
      <c r="AG68">
        <v>0.57999999999999996</v>
      </c>
      <c r="AH68">
        <v>2</v>
      </c>
      <c r="AI68">
        <v>16481270</v>
      </c>
      <c r="AJ68">
        <v>77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ROW(Source!A47)</f>
        <v>47</v>
      </c>
      <c r="B69">
        <v>16481282</v>
      </c>
      <c r="C69">
        <v>16481268</v>
      </c>
      <c r="D69">
        <v>15247974</v>
      </c>
      <c r="E69">
        <v>1</v>
      </c>
      <c r="F69">
        <v>1</v>
      </c>
      <c r="G69">
        <v>1</v>
      </c>
      <c r="H69">
        <v>2</v>
      </c>
      <c r="I69" t="s">
        <v>283</v>
      </c>
      <c r="J69" t="s">
        <v>284</v>
      </c>
      <c r="K69" t="s">
        <v>285</v>
      </c>
      <c r="L69">
        <v>1368</v>
      </c>
      <c r="N69">
        <v>1011</v>
      </c>
      <c r="O69" t="s">
        <v>286</v>
      </c>
      <c r="P69" t="s">
        <v>286</v>
      </c>
      <c r="Q69">
        <v>1</v>
      </c>
      <c r="X69">
        <v>0.08</v>
      </c>
      <c r="Y69">
        <v>0</v>
      </c>
      <c r="Z69">
        <v>31.26</v>
      </c>
      <c r="AA69">
        <v>13.5</v>
      </c>
      <c r="AB69">
        <v>0</v>
      </c>
      <c r="AC69">
        <v>0</v>
      </c>
      <c r="AD69">
        <v>1</v>
      </c>
      <c r="AE69">
        <v>0</v>
      </c>
      <c r="AF69" t="s">
        <v>6</v>
      </c>
      <c r="AG69">
        <v>0.08</v>
      </c>
      <c r="AH69">
        <v>2</v>
      </c>
      <c r="AI69">
        <v>16481271</v>
      </c>
      <c r="AJ69">
        <v>78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ROW(Source!A47)</f>
        <v>47</v>
      </c>
      <c r="B70">
        <v>16481283</v>
      </c>
      <c r="C70">
        <v>16481268</v>
      </c>
      <c r="D70">
        <v>15249073</v>
      </c>
      <c r="E70">
        <v>1</v>
      </c>
      <c r="F70">
        <v>1</v>
      </c>
      <c r="G70">
        <v>1</v>
      </c>
      <c r="H70">
        <v>2</v>
      </c>
      <c r="I70" t="s">
        <v>289</v>
      </c>
      <c r="J70" t="s">
        <v>290</v>
      </c>
      <c r="K70" t="s">
        <v>291</v>
      </c>
      <c r="L70">
        <v>1368</v>
      </c>
      <c r="N70">
        <v>1011</v>
      </c>
      <c r="O70" t="s">
        <v>286</v>
      </c>
      <c r="P70" t="s">
        <v>286</v>
      </c>
      <c r="Q70">
        <v>1</v>
      </c>
      <c r="X70">
        <v>0.5</v>
      </c>
      <c r="Y70">
        <v>0</v>
      </c>
      <c r="Z70">
        <v>65.709999999999994</v>
      </c>
      <c r="AA70">
        <v>11.6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0.5</v>
      </c>
      <c r="AH70">
        <v>2</v>
      </c>
      <c r="AI70">
        <v>16481272</v>
      </c>
      <c r="AJ70">
        <v>79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ROW(Source!A47)</f>
        <v>47</v>
      </c>
      <c r="B71">
        <v>16481284</v>
      </c>
      <c r="C71">
        <v>16481268</v>
      </c>
      <c r="D71">
        <v>15162966</v>
      </c>
      <c r="E71">
        <v>17</v>
      </c>
      <c r="F71">
        <v>1</v>
      </c>
      <c r="G71">
        <v>1</v>
      </c>
      <c r="H71">
        <v>3</v>
      </c>
      <c r="I71" t="s">
        <v>77</v>
      </c>
      <c r="J71" t="s">
        <v>6</v>
      </c>
      <c r="K71" t="s">
        <v>78</v>
      </c>
      <c r="L71">
        <v>1327</v>
      </c>
      <c r="N71">
        <v>1005</v>
      </c>
      <c r="O71" t="s">
        <v>32</v>
      </c>
      <c r="P71" t="s">
        <v>32</v>
      </c>
      <c r="Q71">
        <v>1</v>
      </c>
      <c r="X71">
        <v>105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 t="s">
        <v>6</v>
      </c>
      <c r="AG71">
        <v>105</v>
      </c>
      <c r="AH71">
        <v>2</v>
      </c>
      <c r="AI71">
        <v>16481273</v>
      </c>
      <c r="AJ71">
        <v>80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ROW(Source!A47)</f>
        <v>47</v>
      </c>
      <c r="B72">
        <v>16481285</v>
      </c>
      <c r="C72">
        <v>16481268</v>
      </c>
      <c r="D72">
        <v>15171018</v>
      </c>
      <c r="E72">
        <v>1</v>
      </c>
      <c r="F72">
        <v>1</v>
      </c>
      <c r="G72">
        <v>1</v>
      </c>
      <c r="H72">
        <v>3</v>
      </c>
      <c r="I72" t="s">
        <v>324</v>
      </c>
      <c r="J72" t="s">
        <v>325</v>
      </c>
      <c r="K72" t="s">
        <v>326</v>
      </c>
      <c r="L72">
        <v>1346</v>
      </c>
      <c r="N72">
        <v>1009</v>
      </c>
      <c r="O72" t="s">
        <v>86</v>
      </c>
      <c r="P72" t="s">
        <v>86</v>
      </c>
      <c r="Q72">
        <v>1</v>
      </c>
      <c r="X72">
        <v>0.2</v>
      </c>
      <c r="Y72">
        <v>1.82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0.2</v>
      </c>
      <c r="AH72">
        <v>2</v>
      </c>
      <c r="AI72">
        <v>16481274</v>
      </c>
      <c r="AJ72">
        <v>81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ROW(Source!A47)</f>
        <v>47</v>
      </c>
      <c r="B73">
        <v>16481286</v>
      </c>
      <c r="C73">
        <v>16481268</v>
      </c>
      <c r="D73">
        <v>15162257</v>
      </c>
      <c r="E73">
        <v>17</v>
      </c>
      <c r="F73">
        <v>1</v>
      </c>
      <c r="G73">
        <v>1</v>
      </c>
      <c r="H73">
        <v>3</v>
      </c>
      <c r="I73" t="s">
        <v>84</v>
      </c>
      <c r="J73" t="s">
        <v>6</v>
      </c>
      <c r="K73" t="s">
        <v>85</v>
      </c>
      <c r="L73">
        <v>1346</v>
      </c>
      <c r="N73">
        <v>1009</v>
      </c>
      <c r="O73" t="s">
        <v>86</v>
      </c>
      <c r="P73" t="s">
        <v>86</v>
      </c>
      <c r="Q73">
        <v>1</v>
      </c>
      <c r="X73">
        <v>30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 t="s">
        <v>6</v>
      </c>
      <c r="AG73">
        <v>30</v>
      </c>
      <c r="AH73">
        <v>2</v>
      </c>
      <c r="AI73">
        <v>16481275</v>
      </c>
      <c r="AJ73">
        <v>84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ROW(Source!A47)</f>
        <v>47</v>
      </c>
      <c r="B74">
        <v>16481287</v>
      </c>
      <c r="C74">
        <v>16481268</v>
      </c>
      <c r="D74">
        <v>15162572</v>
      </c>
      <c r="E74">
        <v>17</v>
      </c>
      <c r="F74">
        <v>1</v>
      </c>
      <c r="G74">
        <v>1</v>
      </c>
      <c r="H74">
        <v>3</v>
      </c>
      <c r="I74" t="s">
        <v>96</v>
      </c>
      <c r="J74" t="s">
        <v>6</v>
      </c>
      <c r="K74" t="s">
        <v>97</v>
      </c>
      <c r="L74">
        <v>1348</v>
      </c>
      <c r="N74">
        <v>1009</v>
      </c>
      <c r="O74" t="s">
        <v>57</v>
      </c>
      <c r="P74" t="s">
        <v>57</v>
      </c>
      <c r="Q74">
        <v>1000</v>
      </c>
      <c r="X74">
        <v>8.8999999999999999E-3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6</v>
      </c>
      <c r="AG74">
        <v>8.8999999999999999E-3</v>
      </c>
      <c r="AH74">
        <v>2</v>
      </c>
      <c r="AI74">
        <v>16481276</v>
      </c>
      <c r="AJ74">
        <v>86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ROW(Source!A60)</f>
        <v>60</v>
      </c>
      <c r="B75">
        <v>16481465</v>
      </c>
      <c r="C75">
        <v>16481464</v>
      </c>
      <c r="D75">
        <v>15430497</v>
      </c>
      <c r="E75">
        <v>1</v>
      </c>
      <c r="F75">
        <v>1</v>
      </c>
      <c r="G75">
        <v>1</v>
      </c>
      <c r="H75">
        <v>1</v>
      </c>
      <c r="I75" t="s">
        <v>327</v>
      </c>
      <c r="J75" t="s">
        <v>6</v>
      </c>
      <c r="K75" t="s">
        <v>328</v>
      </c>
      <c r="L75">
        <v>1191</v>
      </c>
      <c r="N75">
        <v>1013</v>
      </c>
      <c r="O75" t="s">
        <v>280</v>
      </c>
      <c r="P75" t="s">
        <v>280</v>
      </c>
      <c r="Q75">
        <v>1</v>
      </c>
      <c r="X75">
        <v>228.35</v>
      </c>
      <c r="Y75">
        <v>0</v>
      </c>
      <c r="Z75">
        <v>0</v>
      </c>
      <c r="AA75">
        <v>0</v>
      </c>
      <c r="AB75">
        <v>8.86</v>
      </c>
      <c r="AC75">
        <v>0</v>
      </c>
      <c r="AD75">
        <v>1</v>
      </c>
      <c r="AE75">
        <v>1</v>
      </c>
      <c r="AF75" t="s">
        <v>6</v>
      </c>
      <c r="AG75">
        <v>228.35</v>
      </c>
      <c r="AH75">
        <v>2</v>
      </c>
      <c r="AI75">
        <v>16481465</v>
      </c>
      <c r="AJ75">
        <v>87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ROW(Source!A60)</f>
        <v>60</v>
      </c>
      <c r="B76">
        <v>16481466</v>
      </c>
      <c r="C76">
        <v>16481464</v>
      </c>
      <c r="D76">
        <v>15430395</v>
      </c>
      <c r="E76">
        <v>1</v>
      </c>
      <c r="F76">
        <v>1</v>
      </c>
      <c r="G76">
        <v>1</v>
      </c>
      <c r="H76">
        <v>1</v>
      </c>
      <c r="I76" t="s">
        <v>281</v>
      </c>
      <c r="J76" t="s">
        <v>6</v>
      </c>
      <c r="K76" t="s">
        <v>282</v>
      </c>
      <c r="L76">
        <v>1191</v>
      </c>
      <c r="N76">
        <v>1013</v>
      </c>
      <c r="O76" t="s">
        <v>280</v>
      </c>
      <c r="P76" t="s">
        <v>280</v>
      </c>
      <c r="Q76">
        <v>1</v>
      </c>
      <c r="X76">
        <v>0.67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6</v>
      </c>
      <c r="AG76">
        <v>0.67</v>
      </c>
      <c r="AH76">
        <v>2</v>
      </c>
      <c r="AI76">
        <v>16481466</v>
      </c>
      <c r="AJ76">
        <v>88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ROW(Source!A60)</f>
        <v>60</v>
      </c>
      <c r="B77">
        <v>16481467</v>
      </c>
      <c r="C77">
        <v>16481464</v>
      </c>
      <c r="D77">
        <v>15247974</v>
      </c>
      <c r="E77">
        <v>1</v>
      </c>
      <c r="F77">
        <v>1</v>
      </c>
      <c r="G77">
        <v>1</v>
      </c>
      <c r="H77">
        <v>2</v>
      </c>
      <c r="I77" t="s">
        <v>283</v>
      </c>
      <c r="J77" t="s">
        <v>284</v>
      </c>
      <c r="K77" t="s">
        <v>285</v>
      </c>
      <c r="L77">
        <v>1368</v>
      </c>
      <c r="N77">
        <v>1011</v>
      </c>
      <c r="O77" t="s">
        <v>286</v>
      </c>
      <c r="P77" t="s">
        <v>286</v>
      </c>
      <c r="Q77">
        <v>1</v>
      </c>
      <c r="X77">
        <v>0.67</v>
      </c>
      <c r="Y77">
        <v>0</v>
      </c>
      <c r="Z77">
        <v>31.26</v>
      </c>
      <c r="AA77">
        <v>13.5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0.67</v>
      </c>
      <c r="AH77">
        <v>2</v>
      </c>
      <c r="AI77">
        <v>16481467</v>
      </c>
      <c r="AJ77">
        <v>89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ROW(Source!A60)</f>
        <v>60</v>
      </c>
      <c r="B78">
        <v>16481468</v>
      </c>
      <c r="C78">
        <v>16481464</v>
      </c>
      <c r="D78">
        <v>15167286</v>
      </c>
      <c r="E78">
        <v>1</v>
      </c>
      <c r="F78">
        <v>1</v>
      </c>
      <c r="G78">
        <v>1</v>
      </c>
      <c r="H78">
        <v>3</v>
      </c>
      <c r="I78" t="s">
        <v>329</v>
      </c>
      <c r="J78" t="s">
        <v>330</v>
      </c>
      <c r="K78" t="s">
        <v>331</v>
      </c>
      <c r="L78">
        <v>1339</v>
      </c>
      <c r="N78">
        <v>1007</v>
      </c>
      <c r="O78" t="s">
        <v>332</v>
      </c>
      <c r="P78" t="s">
        <v>332</v>
      </c>
      <c r="Q78">
        <v>1</v>
      </c>
      <c r="X78">
        <v>0.35</v>
      </c>
      <c r="Y78">
        <v>2.44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0.35</v>
      </c>
      <c r="AH78">
        <v>2</v>
      </c>
      <c r="AI78">
        <v>16481468</v>
      </c>
      <c r="AJ78">
        <v>90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ROW(Source!A60)</f>
        <v>60</v>
      </c>
      <c r="B79">
        <v>16481469</v>
      </c>
      <c r="C79">
        <v>16481464</v>
      </c>
      <c r="D79">
        <v>15164566</v>
      </c>
      <c r="E79">
        <v>17</v>
      </c>
      <c r="F79">
        <v>1</v>
      </c>
      <c r="G79">
        <v>1</v>
      </c>
      <c r="H79">
        <v>3</v>
      </c>
      <c r="I79" t="s">
        <v>55</v>
      </c>
      <c r="J79" t="s">
        <v>6</v>
      </c>
      <c r="K79" t="s">
        <v>56</v>
      </c>
      <c r="L79">
        <v>1348</v>
      </c>
      <c r="N79">
        <v>1009</v>
      </c>
      <c r="O79" t="s">
        <v>57</v>
      </c>
      <c r="P79" t="s">
        <v>57</v>
      </c>
      <c r="Q79">
        <v>1000</v>
      </c>
      <c r="X79">
        <v>3.38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 t="s">
        <v>6</v>
      </c>
      <c r="AG79">
        <v>3.38</v>
      </c>
      <c r="AH79">
        <v>2</v>
      </c>
      <c r="AI79">
        <v>16481469</v>
      </c>
      <c r="AJ79">
        <v>91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ROW(Source!A60)</f>
        <v>60</v>
      </c>
      <c r="B80">
        <v>16481470</v>
      </c>
      <c r="C80">
        <v>16481464</v>
      </c>
      <c r="D80">
        <v>15172875</v>
      </c>
      <c r="E80">
        <v>1</v>
      </c>
      <c r="F80">
        <v>1</v>
      </c>
      <c r="G80">
        <v>1</v>
      </c>
      <c r="H80">
        <v>3</v>
      </c>
      <c r="I80" t="s">
        <v>333</v>
      </c>
      <c r="J80" t="s">
        <v>334</v>
      </c>
      <c r="K80" t="s">
        <v>335</v>
      </c>
      <c r="L80">
        <v>1339</v>
      </c>
      <c r="N80">
        <v>1007</v>
      </c>
      <c r="O80" t="s">
        <v>332</v>
      </c>
      <c r="P80" t="s">
        <v>332</v>
      </c>
      <c r="Q80">
        <v>1</v>
      </c>
      <c r="X80">
        <v>2.2000000000000002</v>
      </c>
      <c r="Y80">
        <v>517.91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6</v>
      </c>
      <c r="AG80">
        <v>2.2000000000000002</v>
      </c>
      <c r="AH80">
        <v>2</v>
      </c>
      <c r="AI80">
        <v>16481470</v>
      </c>
      <c r="AJ80">
        <v>92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ROW(Source!A61)</f>
        <v>61</v>
      </c>
      <c r="B81">
        <v>16481465</v>
      </c>
      <c r="C81">
        <v>16481464</v>
      </c>
      <c r="D81">
        <v>15430497</v>
      </c>
      <c r="E81">
        <v>1</v>
      </c>
      <c r="F81">
        <v>1</v>
      </c>
      <c r="G81">
        <v>1</v>
      </c>
      <c r="H81">
        <v>1</v>
      </c>
      <c r="I81" t="s">
        <v>327</v>
      </c>
      <c r="J81" t="s">
        <v>6</v>
      </c>
      <c r="K81" t="s">
        <v>328</v>
      </c>
      <c r="L81">
        <v>1191</v>
      </c>
      <c r="N81">
        <v>1013</v>
      </c>
      <c r="O81" t="s">
        <v>280</v>
      </c>
      <c r="P81" t="s">
        <v>280</v>
      </c>
      <c r="Q81">
        <v>1</v>
      </c>
      <c r="X81">
        <v>228.35</v>
      </c>
      <c r="Y81">
        <v>0</v>
      </c>
      <c r="Z81">
        <v>0</v>
      </c>
      <c r="AA81">
        <v>0</v>
      </c>
      <c r="AB81">
        <v>8.86</v>
      </c>
      <c r="AC81">
        <v>0</v>
      </c>
      <c r="AD81">
        <v>1</v>
      </c>
      <c r="AE81">
        <v>1</v>
      </c>
      <c r="AF81" t="s">
        <v>6</v>
      </c>
      <c r="AG81">
        <v>228.35</v>
      </c>
      <c r="AH81">
        <v>2</v>
      </c>
      <c r="AI81">
        <v>16481465</v>
      </c>
      <c r="AJ81">
        <v>93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ROW(Source!A61)</f>
        <v>61</v>
      </c>
      <c r="B82">
        <v>16481466</v>
      </c>
      <c r="C82">
        <v>16481464</v>
      </c>
      <c r="D82">
        <v>15430395</v>
      </c>
      <c r="E82">
        <v>1</v>
      </c>
      <c r="F82">
        <v>1</v>
      </c>
      <c r="G82">
        <v>1</v>
      </c>
      <c r="H82">
        <v>1</v>
      </c>
      <c r="I82" t="s">
        <v>281</v>
      </c>
      <c r="J82" t="s">
        <v>6</v>
      </c>
      <c r="K82" t="s">
        <v>282</v>
      </c>
      <c r="L82">
        <v>1191</v>
      </c>
      <c r="N82">
        <v>1013</v>
      </c>
      <c r="O82" t="s">
        <v>280</v>
      </c>
      <c r="P82" t="s">
        <v>280</v>
      </c>
      <c r="Q82">
        <v>1</v>
      </c>
      <c r="X82">
        <v>0.67</v>
      </c>
      <c r="Y82">
        <v>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2</v>
      </c>
      <c r="AF82" t="s">
        <v>6</v>
      </c>
      <c r="AG82">
        <v>0.67</v>
      </c>
      <c r="AH82">
        <v>2</v>
      </c>
      <c r="AI82">
        <v>16481466</v>
      </c>
      <c r="AJ82">
        <v>94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ROW(Source!A61)</f>
        <v>61</v>
      </c>
      <c r="B83">
        <v>16481467</v>
      </c>
      <c r="C83">
        <v>16481464</v>
      </c>
      <c r="D83">
        <v>15247974</v>
      </c>
      <c r="E83">
        <v>1</v>
      </c>
      <c r="F83">
        <v>1</v>
      </c>
      <c r="G83">
        <v>1</v>
      </c>
      <c r="H83">
        <v>2</v>
      </c>
      <c r="I83" t="s">
        <v>283</v>
      </c>
      <c r="J83" t="s">
        <v>284</v>
      </c>
      <c r="K83" t="s">
        <v>285</v>
      </c>
      <c r="L83">
        <v>1368</v>
      </c>
      <c r="N83">
        <v>1011</v>
      </c>
      <c r="O83" t="s">
        <v>286</v>
      </c>
      <c r="P83" t="s">
        <v>286</v>
      </c>
      <c r="Q83">
        <v>1</v>
      </c>
      <c r="X83">
        <v>0.67</v>
      </c>
      <c r="Y83">
        <v>0</v>
      </c>
      <c r="Z83">
        <v>31.26</v>
      </c>
      <c r="AA83">
        <v>13.5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0.67</v>
      </c>
      <c r="AH83">
        <v>2</v>
      </c>
      <c r="AI83">
        <v>16481467</v>
      </c>
      <c r="AJ83">
        <v>95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ROW(Source!A61)</f>
        <v>61</v>
      </c>
      <c r="B84">
        <v>16481468</v>
      </c>
      <c r="C84">
        <v>16481464</v>
      </c>
      <c r="D84">
        <v>15167286</v>
      </c>
      <c r="E84">
        <v>1</v>
      </c>
      <c r="F84">
        <v>1</v>
      </c>
      <c r="G84">
        <v>1</v>
      </c>
      <c r="H84">
        <v>3</v>
      </c>
      <c r="I84" t="s">
        <v>329</v>
      </c>
      <c r="J84" t="s">
        <v>330</v>
      </c>
      <c r="K84" t="s">
        <v>331</v>
      </c>
      <c r="L84">
        <v>1339</v>
      </c>
      <c r="N84">
        <v>1007</v>
      </c>
      <c r="O84" t="s">
        <v>332</v>
      </c>
      <c r="P84" t="s">
        <v>332</v>
      </c>
      <c r="Q84">
        <v>1</v>
      </c>
      <c r="X84">
        <v>0.35</v>
      </c>
      <c r="Y84">
        <v>2.44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0.35</v>
      </c>
      <c r="AH84">
        <v>2</v>
      </c>
      <c r="AI84">
        <v>16481468</v>
      </c>
      <c r="AJ84">
        <v>96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ROW(Source!A61)</f>
        <v>61</v>
      </c>
      <c r="B85">
        <v>16481469</v>
      </c>
      <c r="C85">
        <v>16481464</v>
      </c>
      <c r="D85">
        <v>15164566</v>
      </c>
      <c r="E85">
        <v>17</v>
      </c>
      <c r="F85">
        <v>1</v>
      </c>
      <c r="G85">
        <v>1</v>
      </c>
      <c r="H85">
        <v>3</v>
      </c>
      <c r="I85" t="s">
        <v>55</v>
      </c>
      <c r="J85" t="s">
        <v>6</v>
      </c>
      <c r="K85" t="s">
        <v>56</v>
      </c>
      <c r="L85">
        <v>1348</v>
      </c>
      <c r="N85">
        <v>1009</v>
      </c>
      <c r="O85" t="s">
        <v>57</v>
      </c>
      <c r="P85" t="s">
        <v>57</v>
      </c>
      <c r="Q85">
        <v>1000</v>
      </c>
      <c r="X85">
        <v>3.38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 t="s">
        <v>6</v>
      </c>
      <c r="AG85">
        <v>3.38</v>
      </c>
      <c r="AH85">
        <v>2</v>
      </c>
      <c r="AI85">
        <v>16481469</v>
      </c>
      <c r="AJ85">
        <v>97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ROW(Source!A61)</f>
        <v>61</v>
      </c>
      <c r="B86">
        <v>16481470</v>
      </c>
      <c r="C86">
        <v>16481464</v>
      </c>
      <c r="D86">
        <v>15172875</v>
      </c>
      <c r="E86">
        <v>1</v>
      </c>
      <c r="F86">
        <v>1</v>
      </c>
      <c r="G86">
        <v>1</v>
      </c>
      <c r="H86">
        <v>3</v>
      </c>
      <c r="I86" t="s">
        <v>333</v>
      </c>
      <c r="J86" t="s">
        <v>334</v>
      </c>
      <c r="K86" t="s">
        <v>335</v>
      </c>
      <c r="L86">
        <v>1339</v>
      </c>
      <c r="N86">
        <v>1007</v>
      </c>
      <c r="O86" t="s">
        <v>332</v>
      </c>
      <c r="P86" t="s">
        <v>332</v>
      </c>
      <c r="Q86">
        <v>1</v>
      </c>
      <c r="X86">
        <v>2.2000000000000002</v>
      </c>
      <c r="Y86">
        <v>517.91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2.2000000000000002</v>
      </c>
      <c r="AH86">
        <v>2</v>
      </c>
      <c r="AI86">
        <v>16481470</v>
      </c>
      <c r="AJ86">
        <v>98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ROW(Source!A64)</f>
        <v>64</v>
      </c>
      <c r="B87">
        <v>16481528</v>
      </c>
      <c r="C87">
        <v>16481527</v>
      </c>
      <c r="D87">
        <v>15435099</v>
      </c>
      <c r="E87">
        <v>1</v>
      </c>
      <c r="F87">
        <v>1</v>
      </c>
      <c r="G87">
        <v>1</v>
      </c>
      <c r="H87">
        <v>1</v>
      </c>
      <c r="I87" t="s">
        <v>336</v>
      </c>
      <c r="J87" t="s">
        <v>6</v>
      </c>
      <c r="K87" t="s">
        <v>337</v>
      </c>
      <c r="L87">
        <v>1191</v>
      </c>
      <c r="N87">
        <v>1013</v>
      </c>
      <c r="O87" t="s">
        <v>280</v>
      </c>
      <c r="P87" t="s">
        <v>280</v>
      </c>
      <c r="Q87">
        <v>1</v>
      </c>
      <c r="X87">
        <v>29.6</v>
      </c>
      <c r="Y87">
        <v>0</v>
      </c>
      <c r="Z87">
        <v>0</v>
      </c>
      <c r="AA87">
        <v>0</v>
      </c>
      <c r="AB87">
        <v>8.64</v>
      </c>
      <c r="AC87">
        <v>0</v>
      </c>
      <c r="AD87">
        <v>1</v>
      </c>
      <c r="AE87">
        <v>1</v>
      </c>
      <c r="AF87" t="s">
        <v>6</v>
      </c>
      <c r="AG87">
        <v>29.6</v>
      </c>
      <c r="AH87">
        <v>2</v>
      </c>
      <c r="AI87">
        <v>16481528</v>
      </c>
      <c r="AJ87">
        <v>99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ROW(Source!A64)</f>
        <v>64</v>
      </c>
      <c r="B88">
        <v>16481529</v>
      </c>
      <c r="C88">
        <v>16481527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281</v>
      </c>
      <c r="J88" t="s">
        <v>6</v>
      </c>
      <c r="K88" t="s">
        <v>282</v>
      </c>
      <c r="L88">
        <v>1191</v>
      </c>
      <c r="N88">
        <v>1013</v>
      </c>
      <c r="O88" t="s">
        <v>280</v>
      </c>
      <c r="P88" t="s">
        <v>280</v>
      </c>
      <c r="Q88">
        <v>1</v>
      </c>
      <c r="X88">
        <v>0.16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2</v>
      </c>
      <c r="AF88" t="s">
        <v>6</v>
      </c>
      <c r="AG88">
        <v>0.16</v>
      </c>
      <c r="AH88">
        <v>2</v>
      </c>
      <c r="AI88">
        <v>16481529</v>
      </c>
      <c r="AJ88">
        <v>100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ROW(Source!A64)</f>
        <v>64</v>
      </c>
      <c r="B89">
        <v>16481530</v>
      </c>
      <c r="C89">
        <v>16481527</v>
      </c>
      <c r="D89">
        <v>15247974</v>
      </c>
      <c r="E89">
        <v>1</v>
      </c>
      <c r="F89">
        <v>1</v>
      </c>
      <c r="G89">
        <v>1</v>
      </c>
      <c r="H89">
        <v>2</v>
      </c>
      <c r="I89" t="s">
        <v>283</v>
      </c>
      <c r="J89" t="s">
        <v>284</v>
      </c>
      <c r="K89" t="s">
        <v>285</v>
      </c>
      <c r="L89">
        <v>1368</v>
      </c>
      <c r="N89">
        <v>1011</v>
      </c>
      <c r="O89" t="s">
        <v>286</v>
      </c>
      <c r="P89" t="s">
        <v>286</v>
      </c>
      <c r="Q89">
        <v>1</v>
      </c>
      <c r="X89">
        <v>0.1</v>
      </c>
      <c r="Y89">
        <v>0</v>
      </c>
      <c r="Z89">
        <v>31.26</v>
      </c>
      <c r="AA89">
        <v>13.5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0.1</v>
      </c>
      <c r="AH89">
        <v>2</v>
      </c>
      <c r="AI89">
        <v>16481530</v>
      </c>
      <c r="AJ89">
        <v>101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ROW(Source!A64)</f>
        <v>64</v>
      </c>
      <c r="B90">
        <v>16481531</v>
      </c>
      <c r="C90">
        <v>16481527</v>
      </c>
      <c r="D90">
        <v>15249073</v>
      </c>
      <c r="E90">
        <v>1</v>
      </c>
      <c r="F90">
        <v>1</v>
      </c>
      <c r="G90">
        <v>1</v>
      </c>
      <c r="H90">
        <v>2</v>
      </c>
      <c r="I90" t="s">
        <v>289</v>
      </c>
      <c r="J90" t="s">
        <v>290</v>
      </c>
      <c r="K90" t="s">
        <v>291</v>
      </c>
      <c r="L90">
        <v>1368</v>
      </c>
      <c r="N90">
        <v>1011</v>
      </c>
      <c r="O90" t="s">
        <v>286</v>
      </c>
      <c r="P90" t="s">
        <v>286</v>
      </c>
      <c r="Q90">
        <v>1</v>
      </c>
      <c r="X90">
        <v>0.06</v>
      </c>
      <c r="Y90">
        <v>0</v>
      </c>
      <c r="Z90">
        <v>65.709999999999994</v>
      </c>
      <c r="AA90">
        <v>11.6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0.06</v>
      </c>
      <c r="AH90">
        <v>2</v>
      </c>
      <c r="AI90">
        <v>16481531</v>
      </c>
      <c r="AJ90">
        <v>102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ROW(Source!A64)</f>
        <v>64</v>
      </c>
      <c r="B91">
        <v>16481532</v>
      </c>
      <c r="C91">
        <v>16481527</v>
      </c>
      <c r="D91">
        <v>15167286</v>
      </c>
      <c r="E91">
        <v>1</v>
      </c>
      <c r="F91">
        <v>1</v>
      </c>
      <c r="G91">
        <v>1</v>
      </c>
      <c r="H91">
        <v>3</v>
      </c>
      <c r="I91" t="s">
        <v>329</v>
      </c>
      <c r="J91" t="s">
        <v>330</v>
      </c>
      <c r="K91" t="s">
        <v>331</v>
      </c>
      <c r="L91">
        <v>1339</v>
      </c>
      <c r="N91">
        <v>1007</v>
      </c>
      <c r="O91" t="s">
        <v>332</v>
      </c>
      <c r="P91" t="s">
        <v>332</v>
      </c>
      <c r="Q91">
        <v>1</v>
      </c>
      <c r="X91">
        <v>0.24</v>
      </c>
      <c r="Y91">
        <v>2.44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0.24</v>
      </c>
      <c r="AH91">
        <v>2</v>
      </c>
      <c r="AI91">
        <v>16481532</v>
      </c>
      <c r="AJ91">
        <v>103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ROW(Source!A64)</f>
        <v>64</v>
      </c>
      <c r="B92">
        <v>16481533</v>
      </c>
      <c r="C92">
        <v>16481527</v>
      </c>
      <c r="D92">
        <v>15167766</v>
      </c>
      <c r="E92">
        <v>1</v>
      </c>
      <c r="F92">
        <v>1</v>
      </c>
      <c r="G92">
        <v>1</v>
      </c>
      <c r="H92">
        <v>3</v>
      </c>
      <c r="I92" t="s">
        <v>338</v>
      </c>
      <c r="J92" t="s">
        <v>339</v>
      </c>
      <c r="K92" t="s">
        <v>340</v>
      </c>
      <c r="L92">
        <v>1354</v>
      </c>
      <c r="N92">
        <v>1010</v>
      </c>
      <c r="O92" t="s">
        <v>313</v>
      </c>
      <c r="P92" t="s">
        <v>313</v>
      </c>
      <c r="Q92">
        <v>1</v>
      </c>
      <c r="X92">
        <v>5.0999999999999996</v>
      </c>
      <c r="Y92">
        <v>4.5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5.0999999999999996</v>
      </c>
      <c r="AH92">
        <v>2</v>
      </c>
      <c r="AI92">
        <v>16481533</v>
      </c>
      <c r="AJ92">
        <v>104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ROW(Source!A64)</f>
        <v>64</v>
      </c>
      <c r="B93">
        <v>16481534</v>
      </c>
      <c r="C93">
        <v>16481527</v>
      </c>
      <c r="D93">
        <v>15168015</v>
      </c>
      <c r="E93">
        <v>1</v>
      </c>
      <c r="F93">
        <v>1</v>
      </c>
      <c r="G93">
        <v>1</v>
      </c>
      <c r="H93">
        <v>3</v>
      </c>
      <c r="I93" t="s">
        <v>341</v>
      </c>
      <c r="J93" t="s">
        <v>342</v>
      </c>
      <c r="K93" t="s">
        <v>343</v>
      </c>
      <c r="L93">
        <v>1348</v>
      </c>
      <c r="N93">
        <v>1009</v>
      </c>
      <c r="O93" t="s">
        <v>57</v>
      </c>
      <c r="P93" t="s">
        <v>57</v>
      </c>
      <c r="Q93">
        <v>1000</v>
      </c>
      <c r="X93">
        <v>2.5499999999999998E-2</v>
      </c>
      <c r="Y93">
        <v>586.47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2.5499999999999998E-2</v>
      </c>
      <c r="AH93">
        <v>2</v>
      </c>
      <c r="AI93">
        <v>16481534</v>
      </c>
      <c r="AJ93">
        <v>105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ROW(Source!A64)</f>
        <v>64</v>
      </c>
      <c r="B94">
        <v>16481535</v>
      </c>
      <c r="C94">
        <v>16481527</v>
      </c>
      <c r="D94">
        <v>15170682</v>
      </c>
      <c r="E94">
        <v>1</v>
      </c>
      <c r="F94">
        <v>1</v>
      </c>
      <c r="G94">
        <v>1</v>
      </c>
      <c r="H94">
        <v>3</v>
      </c>
      <c r="I94" t="s">
        <v>344</v>
      </c>
      <c r="J94" t="s">
        <v>345</v>
      </c>
      <c r="K94" t="s">
        <v>346</v>
      </c>
      <c r="L94">
        <v>1327</v>
      </c>
      <c r="N94">
        <v>1005</v>
      </c>
      <c r="O94" t="s">
        <v>32</v>
      </c>
      <c r="P94" t="s">
        <v>32</v>
      </c>
      <c r="Q94">
        <v>1</v>
      </c>
      <c r="X94">
        <v>1.6</v>
      </c>
      <c r="Y94">
        <v>72.319999999999993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1.6</v>
      </c>
      <c r="AH94">
        <v>2</v>
      </c>
      <c r="AI94">
        <v>16481535</v>
      </c>
      <c r="AJ94">
        <v>106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ROW(Source!A64)</f>
        <v>64</v>
      </c>
      <c r="B95">
        <v>16481536</v>
      </c>
      <c r="C95">
        <v>16481527</v>
      </c>
      <c r="D95">
        <v>15171907</v>
      </c>
      <c r="E95">
        <v>1</v>
      </c>
      <c r="F95">
        <v>1</v>
      </c>
      <c r="G95">
        <v>1</v>
      </c>
      <c r="H95">
        <v>3</v>
      </c>
      <c r="I95" t="s">
        <v>347</v>
      </c>
      <c r="J95" t="s">
        <v>348</v>
      </c>
      <c r="K95" t="s">
        <v>349</v>
      </c>
      <c r="L95">
        <v>1339</v>
      </c>
      <c r="N95">
        <v>1007</v>
      </c>
      <c r="O95" t="s">
        <v>332</v>
      </c>
      <c r="P95" t="s">
        <v>332</v>
      </c>
      <c r="Q95">
        <v>1</v>
      </c>
      <c r="X95">
        <v>4.4000000000000003E-3</v>
      </c>
      <c r="Y95">
        <v>74.58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6</v>
      </c>
      <c r="AG95">
        <v>4.4000000000000003E-3</v>
      </c>
      <c r="AH95">
        <v>2</v>
      </c>
      <c r="AI95">
        <v>16481536</v>
      </c>
      <c r="AJ95">
        <v>107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ROW(Source!A64)</f>
        <v>64</v>
      </c>
      <c r="B96">
        <v>16481537</v>
      </c>
      <c r="C96">
        <v>16481527</v>
      </c>
      <c r="D96">
        <v>15202490</v>
      </c>
      <c r="E96">
        <v>1</v>
      </c>
      <c r="F96">
        <v>1</v>
      </c>
      <c r="G96">
        <v>1</v>
      </c>
      <c r="H96">
        <v>3</v>
      </c>
      <c r="I96" t="s">
        <v>350</v>
      </c>
      <c r="J96" t="s">
        <v>351</v>
      </c>
      <c r="K96" t="s">
        <v>352</v>
      </c>
      <c r="L96">
        <v>1346</v>
      </c>
      <c r="N96">
        <v>1009</v>
      </c>
      <c r="O96" t="s">
        <v>86</v>
      </c>
      <c r="P96" t="s">
        <v>86</v>
      </c>
      <c r="Q96">
        <v>1</v>
      </c>
      <c r="X96">
        <v>4.0199999999999996</v>
      </c>
      <c r="Y96">
        <v>8.09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4.0199999999999996</v>
      </c>
      <c r="AH96">
        <v>2</v>
      </c>
      <c r="AI96">
        <v>16481537</v>
      </c>
      <c r="AJ96">
        <v>108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ROW(Source!A64)</f>
        <v>64</v>
      </c>
      <c r="B97">
        <v>16481538</v>
      </c>
      <c r="C97">
        <v>16481527</v>
      </c>
      <c r="D97">
        <v>15163054</v>
      </c>
      <c r="E97">
        <v>17</v>
      </c>
      <c r="F97">
        <v>1</v>
      </c>
      <c r="G97">
        <v>1</v>
      </c>
      <c r="H97">
        <v>3</v>
      </c>
      <c r="I97" t="s">
        <v>112</v>
      </c>
      <c r="J97" t="s">
        <v>6</v>
      </c>
      <c r="K97" t="s">
        <v>113</v>
      </c>
      <c r="L97">
        <v>1348</v>
      </c>
      <c r="N97">
        <v>1009</v>
      </c>
      <c r="O97" t="s">
        <v>57</v>
      </c>
      <c r="P97" t="s">
        <v>57</v>
      </c>
      <c r="Q97">
        <v>1000</v>
      </c>
      <c r="X97">
        <v>7.0999999999999994E-2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 t="s">
        <v>6</v>
      </c>
      <c r="AG97">
        <v>7.0999999999999994E-2</v>
      </c>
      <c r="AH97">
        <v>2</v>
      </c>
      <c r="AI97">
        <v>16481538</v>
      </c>
      <c r="AJ97">
        <v>109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ROW(Source!A64)</f>
        <v>64</v>
      </c>
      <c r="B98">
        <v>16481539</v>
      </c>
      <c r="C98">
        <v>16481527</v>
      </c>
      <c r="D98">
        <v>15204729</v>
      </c>
      <c r="E98">
        <v>1</v>
      </c>
      <c r="F98">
        <v>1</v>
      </c>
      <c r="G98">
        <v>1</v>
      </c>
      <c r="H98">
        <v>3</v>
      </c>
      <c r="I98" t="s">
        <v>353</v>
      </c>
      <c r="J98" t="s">
        <v>354</v>
      </c>
      <c r="K98" t="s">
        <v>355</v>
      </c>
      <c r="L98">
        <v>1348</v>
      </c>
      <c r="N98">
        <v>1009</v>
      </c>
      <c r="O98" t="s">
        <v>57</v>
      </c>
      <c r="P98" t="s">
        <v>57</v>
      </c>
      <c r="Q98">
        <v>1000</v>
      </c>
      <c r="X98">
        <v>7.1999999999999995E-2</v>
      </c>
      <c r="Y98">
        <v>4294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6</v>
      </c>
      <c r="AG98">
        <v>7.1999999999999995E-2</v>
      </c>
      <c r="AH98">
        <v>2</v>
      </c>
      <c r="AI98">
        <v>16481539</v>
      </c>
      <c r="AJ98">
        <v>111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ROW(Source!A65)</f>
        <v>65</v>
      </c>
      <c r="B99">
        <v>16481528</v>
      </c>
      <c r="C99">
        <v>16481527</v>
      </c>
      <c r="D99">
        <v>15435099</v>
      </c>
      <c r="E99">
        <v>1</v>
      </c>
      <c r="F99">
        <v>1</v>
      </c>
      <c r="G99">
        <v>1</v>
      </c>
      <c r="H99">
        <v>1</v>
      </c>
      <c r="I99" t="s">
        <v>336</v>
      </c>
      <c r="J99" t="s">
        <v>6</v>
      </c>
      <c r="K99" t="s">
        <v>337</v>
      </c>
      <c r="L99">
        <v>1191</v>
      </c>
      <c r="N99">
        <v>1013</v>
      </c>
      <c r="O99" t="s">
        <v>280</v>
      </c>
      <c r="P99" t="s">
        <v>280</v>
      </c>
      <c r="Q99">
        <v>1</v>
      </c>
      <c r="X99">
        <v>29.6</v>
      </c>
      <c r="Y99">
        <v>0</v>
      </c>
      <c r="Z99">
        <v>0</v>
      </c>
      <c r="AA99">
        <v>0</v>
      </c>
      <c r="AB99">
        <v>8.64</v>
      </c>
      <c r="AC99">
        <v>0</v>
      </c>
      <c r="AD99">
        <v>1</v>
      </c>
      <c r="AE99">
        <v>1</v>
      </c>
      <c r="AF99" t="s">
        <v>6</v>
      </c>
      <c r="AG99">
        <v>29.6</v>
      </c>
      <c r="AH99">
        <v>2</v>
      </c>
      <c r="AI99">
        <v>16481528</v>
      </c>
      <c r="AJ99">
        <v>112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ROW(Source!A65)</f>
        <v>65</v>
      </c>
      <c r="B100">
        <v>16481529</v>
      </c>
      <c r="C100">
        <v>16481527</v>
      </c>
      <c r="D100">
        <v>15430395</v>
      </c>
      <c r="E100">
        <v>1</v>
      </c>
      <c r="F100">
        <v>1</v>
      </c>
      <c r="G100">
        <v>1</v>
      </c>
      <c r="H100">
        <v>1</v>
      </c>
      <c r="I100" t="s">
        <v>281</v>
      </c>
      <c r="J100" t="s">
        <v>6</v>
      </c>
      <c r="K100" t="s">
        <v>282</v>
      </c>
      <c r="L100">
        <v>1191</v>
      </c>
      <c r="N100">
        <v>1013</v>
      </c>
      <c r="O100" t="s">
        <v>280</v>
      </c>
      <c r="P100" t="s">
        <v>280</v>
      </c>
      <c r="Q100">
        <v>1</v>
      </c>
      <c r="X100">
        <v>0.16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2</v>
      </c>
      <c r="AF100" t="s">
        <v>6</v>
      </c>
      <c r="AG100">
        <v>0.16</v>
      </c>
      <c r="AH100">
        <v>2</v>
      </c>
      <c r="AI100">
        <v>16481529</v>
      </c>
      <c r="AJ100">
        <v>113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ROW(Source!A65)</f>
        <v>65</v>
      </c>
      <c r="B101">
        <v>16481530</v>
      </c>
      <c r="C101">
        <v>16481527</v>
      </c>
      <c r="D101">
        <v>15247974</v>
      </c>
      <c r="E101">
        <v>1</v>
      </c>
      <c r="F101">
        <v>1</v>
      </c>
      <c r="G101">
        <v>1</v>
      </c>
      <c r="H101">
        <v>2</v>
      </c>
      <c r="I101" t="s">
        <v>283</v>
      </c>
      <c r="J101" t="s">
        <v>284</v>
      </c>
      <c r="K101" t="s">
        <v>285</v>
      </c>
      <c r="L101">
        <v>1368</v>
      </c>
      <c r="N101">
        <v>1011</v>
      </c>
      <c r="O101" t="s">
        <v>286</v>
      </c>
      <c r="P101" t="s">
        <v>286</v>
      </c>
      <c r="Q101">
        <v>1</v>
      </c>
      <c r="X101">
        <v>0.1</v>
      </c>
      <c r="Y101">
        <v>0</v>
      </c>
      <c r="Z101">
        <v>31.26</v>
      </c>
      <c r="AA101">
        <v>13.5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0.1</v>
      </c>
      <c r="AH101">
        <v>2</v>
      </c>
      <c r="AI101">
        <v>16481530</v>
      </c>
      <c r="AJ101">
        <v>114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ROW(Source!A65)</f>
        <v>65</v>
      </c>
      <c r="B102">
        <v>16481531</v>
      </c>
      <c r="C102">
        <v>16481527</v>
      </c>
      <c r="D102">
        <v>15249073</v>
      </c>
      <c r="E102">
        <v>1</v>
      </c>
      <c r="F102">
        <v>1</v>
      </c>
      <c r="G102">
        <v>1</v>
      </c>
      <c r="H102">
        <v>2</v>
      </c>
      <c r="I102" t="s">
        <v>289</v>
      </c>
      <c r="J102" t="s">
        <v>290</v>
      </c>
      <c r="K102" t="s">
        <v>291</v>
      </c>
      <c r="L102">
        <v>1368</v>
      </c>
      <c r="N102">
        <v>1011</v>
      </c>
      <c r="O102" t="s">
        <v>286</v>
      </c>
      <c r="P102" t="s">
        <v>286</v>
      </c>
      <c r="Q102">
        <v>1</v>
      </c>
      <c r="X102">
        <v>0.06</v>
      </c>
      <c r="Y102">
        <v>0</v>
      </c>
      <c r="Z102">
        <v>65.709999999999994</v>
      </c>
      <c r="AA102">
        <v>11.6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0.06</v>
      </c>
      <c r="AH102">
        <v>2</v>
      </c>
      <c r="AI102">
        <v>16481531</v>
      </c>
      <c r="AJ102">
        <v>115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ROW(Source!A65)</f>
        <v>65</v>
      </c>
      <c r="B103">
        <v>16481532</v>
      </c>
      <c r="C103">
        <v>16481527</v>
      </c>
      <c r="D103">
        <v>15167286</v>
      </c>
      <c r="E103">
        <v>1</v>
      </c>
      <c r="F103">
        <v>1</v>
      </c>
      <c r="G103">
        <v>1</v>
      </c>
      <c r="H103">
        <v>3</v>
      </c>
      <c r="I103" t="s">
        <v>329</v>
      </c>
      <c r="J103" t="s">
        <v>330</v>
      </c>
      <c r="K103" t="s">
        <v>331</v>
      </c>
      <c r="L103">
        <v>1339</v>
      </c>
      <c r="N103">
        <v>1007</v>
      </c>
      <c r="O103" t="s">
        <v>332</v>
      </c>
      <c r="P103" t="s">
        <v>332</v>
      </c>
      <c r="Q103">
        <v>1</v>
      </c>
      <c r="X103">
        <v>0.24</v>
      </c>
      <c r="Y103">
        <v>2.44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0.24</v>
      </c>
      <c r="AH103">
        <v>2</v>
      </c>
      <c r="AI103">
        <v>16481532</v>
      </c>
      <c r="AJ103">
        <v>116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ROW(Source!A65)</f>
        <v>65</v>
      </c>
      <c r="B104">
        <v>16481533</v>
      </c>
      <c r="C104">
        <v>16481527</v>
      </c>
      <c r="D104">
        <v>15167766</v>
      </c>
      <c r="E104">
        <v>1</v>
      </c>
      <c r="F104">
        <v>1</v>
      </c>
      <c r="G104">
        <v>1</v>
      </c>
      <c r="H104">
        <v>3</v>
      </c>
      <c r="I104" t="s">
        <v>338</v>
      </c>
      <c r="J104" t="s">
        <v>339</v>
      </c>
      <c r="K104" t="s">
        <v>340</v>
      </c>
      <c r="L104">
        <v>1354</v>
      </c>
      <c r="N104">
        <v>1010</v>
      </c>
      <c r="O104" t="s">
        <v>313</v>
      </c>
      <c r="P104" t="s">
        <v>313</v>
      </c>
      <c r="Q104">
        <v>1</v>
      </c>
      <c r="X104">
        <v>5.0999999999999996</v>
      </c>
      <c r="Y104">
        <v>4.5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6</v>
      </c>
      <c r="AG104">
        <v>5.0999999999999996</v>
      </c>
      <c r="AH104">
        <v>2</v>
      </c>
      <c r="AI104">
        <v>16481533</v>
      </c>
      <c r="AJ104">
        <v>117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ROW(Source!A65)</f>
        <v>65</v>
      </c>
      <c r="B105">
        <v>16481534</v>
      </c>
      <c r="C105">
        <v>16481527</v>
      </c>
      <c r="D105">
        <v>15168015</v>
      </c>
      <c r="E105">
        <v>1</v>
      </c>
      <c r="F105">
        <v>1</v>
      </c>
      <c r="G105">
        <v>1</v>
      </c>
      <c r="H105">
        <v>3</v>
      </c>
      <c r="I105" t="s">
        <v>341</v>
      </c>
      <c r="J105" t="s">
        <v>342</v>
      </c>
      <c r="K105" t="s">
        <v>343</v>
      </c>
      <c r="L105">
        <v>1348</v>
      </c>
      <c r="N105">
        <v>1009</v>
      </c>
      <c r="O105" t="s">
        <v>57</v>
      </c>
      <c r="P105" t="s">
        <v>57</v>
      </c>
      <c r="Q105">
        <v>1000</v>
      </c>
      <c r="X105">
        <v>2.5499999999999998E-2</v>
      </c>
      <c r="Y105">
        <v>586.47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6</v>
      </c>
      <c r="AG105">
        <v>2.5499999999999998E-2</v>
      </c>
      <c r="AH105">
        <v>2</v>
      </c>
      <c r="AI105">
        <v>16481534</v>
      </c>
      <c r="AJ105">
        <v>118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ROW(Source!A65)</f>
        <v>65</v>
      </c>
      <c r="B106">
        <v>16481535</v>
      </c>
      <c r="C106">
        <v>16481527</v>
      </c>
      <c r="D106">
        <v>15170682</v>
      </c>
      <c r="E106">
        <v>1</v>
      </c>
      <c r="F106">
        <v>1</v>
      </c>
      <c r="G106">
        <v>1</v>
      </c>
      <c r="H106">
        <v>3</v>
      </c>
      <c r="I106" t="s">
        <v>344</v>
      </c>
      <c r="J106" t="s">
        <v>345</v>
      </c>
      <c r="K106" t="s">
        <v>346</v>
      </c>
      <c r="L106">
        <v>1327</v>
      </c>
      <c r="N106">
        <v>1005</v>
      </c>
      <c r="O106" t="s">
        <v>32</v>
      </c>
      <c r="P106" t="s">
        <v>32</v>
      </c>
      <c r="Q106">
        <v>1</v>
      </c>
      <c r="X106">
        <v>1.6</v>
      </c>
      <c r="Y106">
        <v>72.319999999999993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1.6</v>
      </c>
      <c r="AH106">
        <v>2</v>
      </c>
      <c r="AI106">
        <v>16481535</v>
      </c>
      <c r="AJ106">
        <v>119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ROW(Source!A65)</f>
        <v>65</v>
      </c>
      <c r="B107">
        <v>16481536</v>
      </c>
      <c r="C107">
        <v>16481527</v>
      </c>
      <c r="D107">
        <v>15171907</v>
      </c>
      <c r="E107">
        <v>1</v>
      </c>
      <c r="F107">
        <v>1</v>
      </c>
      <c r="G107">
        <v>1</v>
      </c>
      <c r="H107">
        <v>3</v>
      </c>
      <c r="I107" t="s">
        <v>347</v>
      </c>
      <c r="J107" t="s">
        <v>348</v>
      </c>
      <c r="K107" t="s">
        <v>349</v>
      </c>
      <c r="L107">
        <v>1339</v>
      </c>
      <c r="N107">
        <v>1007</v>
      </c>
      <c r="O107" t="s">
        <v>332</v>
      </c>
      <c r="P107" t="s">
        <v>332</v>
      </c>
      <c r="Q107">
        <v>1</v>
      </c>
      <c r="X107">
        <v>4.4000000000000003E-3</v>
      </c>
      <c r="Y107">
        <v>74.58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6</v>
      </c>
      <c r="AG107">
        <v>4.4000000000000003E-3</v>
      </c>
      <c r="AH107">
        <v>2</v>
      </c>
      <c r="AI107">
        <v>16481536</v>
      </c>
      <c r="AJ107">
        <v>120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ROW(Source!A65)</f>
        <v>65</v>
      </c>
      <c r="B108">
        <v>16481537</v>
      </c>
      <c r="C108">
        <v>16481527</v>
      </c>
      <c r="D108">
        <v>15202490</v>
      </c>
      <c r="E108">
        <v>1</v>
      </c>
      <c r="F108">
        <v>1</v>
      </c>
      <c r="G108">
        <v>1</v>
      </c>
      <c r="H108">
        <v>3</v>
      </c>
      <c r="I108" t="s">
        <v>350</v>
      </c>
      <c r="J108" t="s">
        <v>351</v>
      </c>
      <c r="K108" t="s">
        <v>352</v>
      </c>
      <c r="L108">
        <v>1346</v>
      </c>
      <c r="N108">
        <v>1009</v>
      </c>
      <c r="O108" t="s">
        <v>86</v>
      </c>
      <c r="P108" t="s">
        <v>86</v>
      </c>
      <c r="Q108">
        <v>1</v>
      </c>
      <c r="X108">
        <v>4.0199999999999996</v>
      </c>
      <c r="Y108">
        <v>8.09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6</v>
      </c>
      <c r="AG108">
        <v>4.0199999999999996</v>
      </c>
      <c r="AH108">
        <v>2</v>
      </c>
      <c r="AI108">
        <v>16481537</v>
      </c>
      <c r="AJ108">
        <v>121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ROW(Source!A65)</f>
        <v>65</v>
      </c>
      <c r="B109">
        <v>16481538</v>
      </c>
      <c r="C109">
        <v>16481527</v>
      </c>
      <c r="D109">
        <v>15163054</v>
      </c>
      <c r="E109">
        <v>17</v>
      </c>
      <c r="F109">
        <v>1</v>
      </c>
      <c r="G109">
        <v>1</v>
      </c>
      <c r="H109">
        <v>3</v>
      </c>
      <c r="I109" t="s">
        <v>112</v>
      </c>
      <c r="J109" t="s">
        <v>6</v>
      </c>
      <c r="K109" t="s">
        <v>113</v>
      </c>
      <c r="L109">
        <v>1348</v>
      </c>
      <c r="N109">
        <v>1009</v>
      </c>
      <c r="O109" t="s">
        <v>57</v>
      </c>
      <c r="P109" t="s">
        <v>57</v>
      </c>
      <c r="Q109">
        <v>1000</v>
      </c>
      <c r="X109">
        <v>7.0999999999999994E-2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 t="s">
        <v>6</v>
      </c>
      <c r="AG109">
        <v>7.0999999999999994E-2</v>
      </c>
      <c r="AH109">
        <v>2</v>
      </c>
      <c r="AI109">
        <v>16481538</v>
      </c>
      <c r="AJ109">
        <v>122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ROW(Source!A65)</f>
        <v>65</v>
      </c>
      <c r="B110">
        <v>16481539</v>
      </c>
      <c r="C110">
        <v>16481527</v>
      </c>
      <c r="D110">
        <v>15204729</v>
      </c>
      <c r="E110">
        <v>1</v>
      </c>
      <c r="F110">
        <v>1</v>
      </c>
      <c r="G110">
        <v>1</v>
      </c>
      <c r="H110">
        <v>3</v>
      </c>
      <c r="I110" t="s">
        <v>353</v>
      </c>
      <c r="J110" t="s">
        <v>354</v>
      </c>
      <c r="K110" t="s">
        <v>355</v>
      </c>
      <c r="L110">
        <v>1348</v>
      </c>
      <c r="N110">
        <v>1009</v>
      </c>
      <c r="O110" t="s">
        <v>57</v>
      </c>
      <c r="P110" t="s">
        <v>57</v>
      </c>
      <c r="Q110">
        <v>1000</v>
      </c>
      <c r="X110">
        <v>7.1999999999999995E-2</v>
      </c>
      <c r="Y110">
        <v>4294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7.1999999999999995E-2</v>
      </c>
      <c r="AH110">
        <v>2</v>
      </c>
      <c r="AI110">
        <v>16481539</v>
      </c>
      <c r="AJ110">
        <v>124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ROW(Source!A70)</f>
        <v>70</v>
      </c>
      <c r="B111">
        <v>16481521</v>
      </c>
      <c r="C111">
        <v>16481520</v>
      </c>
      <c r="D111">
        <v>15436014</v>
      </c>
      <c r="E111">
        <v>1</v>
      </c>
      <c r="F111">
        <v>1</v>
      </c>
      <c r="G111">
        <v>1</v>
      </c>
      <c r="H111">
        <v>1</v>
      </c>
      <c r="I111" t="s">
        <v>287</v>
      </c>
      <c r="J111" t="s">
        <v>6</v>
      </c>
      <c r="K111" t="s">
        <v>288</v>
      </c>
      <c r="L111">
        <v>1191</v>
      </c>
      <c r="N111">
        <v>1013</v>
      </c>
      <c r="O111" t="s">
        <v>280</v>
      </c>
      <c r="P111" t="s">
        <v>280</v>
      </c>
      <c r="Q111">
        <v>1</v>
      </c>
      <c r="X111">
        <v>188.25</v>
      </c>
      <c r="Y111">
        <v>0</v>
      </c>
      <c r="Z111">
        <v>0</v>
      </c>
      <c r="AA111">
        <v>0</v>
      </c>
      <c r="AB111">
        <v>8.74</v>
      </c>
      <c r="AC111">
        <v>0</v>
      </c>
      <c r="AD111">
        <v>1</v>
      </c>
      <c r="AE111">
        <v>1</v>
      </c>
      <c r="AF111" t="s">
        <v>6</v>
      </c>
      <c r="AG111">
        <v>188.25</v>
      </c>
      <c r="AH111">
        <v>2</v>
      </c>
      <c r="AI111">
        <v>16481521</v>
      </c>
      <c r="AJ111">
        <v>125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ROW(Source!A70)</f>
        <v>70</v>
      </c>
      <c r="B112">
        <v>16481522</v>
      </c>
      <c r="C112">
        <v>16481520</v>
      </c>
      <c r="D112">
        <v>15247878</v>
      </c>
      <c r="E112">
        <v>1</v>
      </c>
      <c r="F112">
        <v>1</v>
      </c>
      <c r="G112">
        <v>1</v>
      </c>
      <c r="H112">
        <v>2</v>
      </c>
      <c r="I112" t="s">
        <v>356</v>
      </c>
      <c r="J112" t="s">
        <v>357</v>
      </c>
      <c r="K112" t="s">
        <v>358</v>
      </c>
      <c r="L112">
        <v>1368</v>
      </c>
      <c r="N112">
        <v>1011</v>
      </c>
      <c r="O112" t="s">
        <v>286</v>
      </c>
      <c r="P112" t="s">
        <v>286</v>
      </c>
      <c r="Q112">
        <v>1</v>
      </c>
      <c r="X112">
        <v>0.71</v>
      </c>
      <c r="Y112">
        <v>0</v>
      </c>
      <c r="Z112">
        <v>1.7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</v>
      </c>
      <c r="AG112">
        <v>0.71</v>
      </c>
      <c r="AH112">
        <v>2</v>
      </c>
      <c r="AI112">
        <v>16481522</v>
      </c>
      <c r="AJ112">
        <v>126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ROW(Source!A70)</f>
        <v>70</v>
      </c>
      <c r="B113">
        <v>16481523</v>
      </c>
      <c r="C113">
        <v>16481520</v>
      </c>
      <c r="D113">
        <v>15167286</v>
      </c>
      <c r="E113">
        <v>1</v>
      </c>
      <c r="F113">
        <v>1</v>
      </c>
      <c r="G113">
        <v>1</v>
      </c>
      <c r="H113">
        <v>3</v>
      </c>
      <c r="I113" t="s">
        <v>329</v>
      </c>
      <c r="J113" t="s">
        <v>330</v>
      </c>
      <c r="K113" t="s">
        <v>331</v>
      </c>
      <c r="L113">
        <v>1339</v>
      </c>
      <c r="N113">
        <v>1007</v>
      </c>
      <c r="O113" t="s">
        <v>332</v>
      </c>
      <c r="P113" t="s">
        <v>332</v>
      </c>
      <c r="Q113">
        <v>1</v>
      </c>
      <c r="X113">
        <v>0.35</v>
      </c>
      <c r="Y113">
        <v>2.44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0.35</v>
      </c>
      <c r="AH113">
        <v>2</v>
      </c>
      <c r="AI113">
        <v>16481523</v>
      </c>
      <c r="AJ113">
        <v>127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ROW(Source!A70)</f>
        <v>70</v>
      </c>
      <c r="B114">
        <v>16481524</v>
      </c>
      <c r="C114">
        <v>16481520</v>
      </c>
      <c r="D114">
        <v>15164566</v>
      </c>
      <c r="E114">
        <v>17</v>
      </c>
      <c r="F114">
        <v>1</v>
      </c>
      <c r="G114">
        <v>1</v>
      </c>
      <c r="H114">
        <v>3</v>
      </c>
      <c r="I114" t="s">
        <v>55</v>
      </c>
      <c r="J114" t="s">
        <v>6</v>
      </c>
      <c r="K114" t="s">
        <v>56</v>
      </c>
      <c r="L114">
        <v>1348</v>
      </c>
      <c r="N114">
        <v>1009</v>
      </c>
      <c r="O114" t="s">
        <v>57</v>
      </c>
      <c r="P114" t="s">
        <v>57</v>
      </c>
      <c r="Q114">
        <v>1000</v>
      </c>
      <c r="X114">
        <v>4.84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6</v>
      </c>
      <c r="AG114">
        <v>4.84</v>
      </c>
      <c r="AH114">
        <v>2</v>
      </c>
      <c r="AI114">
        <v>16481524</v>
      </c>
      <c r="AJ114">
        <v>128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ROW(Source!A70)</f>
        <v>70</v>
      </c>
      <c r="B115">
        <v>16481525</v>
      </c>
      <c r="C115">
        <v>16481520</v>
      </c>
      <c r="D115">
        <v>15172875</v>
      </c>
      <c r="E115">
        <v>1</v>
      </c>
      <c r="F115">
        <v>1</v>
      </c>
      <c r="G115">
        <v>1</v>
      </c>
      <c r="H115">
        <v>3</v>
      </c>
      <c r="I115" t="s">
        <v>333</v>
      </c>
      <c r="J115" t="s">
        <v>334</v>
      </c>
      <c r="K115" t="s">
        <v>335</v>
      </c>
      <c r="L115">
        <v>1339</v>
      </c>
      <c r="N115">
        <v>1007</v>
      </c>
      <c r="O115" t="s">
        <v>332</v>
      </c>
      <c r="P115" t="s">
        <v>332</v>
      </c>
      <c r="Q115">
        <v>1</v>
      </c>
      <c r="X115">
        <v>2.2000000000000002</v>
      </c>
      <c r="Y115">
        <v>517.91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2.2000000000000002</v>
      </c>
      <c r="AH115">
        <v>2</v>
      </c>
      <c r="AI115">
        <v>16481525</v>
      </c>
      <c r="AJ115">
        <v>129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ROW(Source!A71)</f>
        <v>71</v>
      </c>
      <c r="B116">
        <v>16481521</v>
      </c>
      <c r="C116">
        <v>16481520</v>
      </c>
      <c r="D116">
        <v>15436014</v>
      </c>
      <c r="E116">
        <v>1</v>
      </c>
      <c r="F116">
        <v>1</v>
      </c>
      <c r="G116">
        <v>1</v>
      </c>
      <c r="H116">
        <v>1</v>
      </c>
      <c r="I116" t="s">
        <v>287</v>
      </c>
      <c r="J116" t="s">
        <v>6</v>
      </c>
      <c r="K116" t="s">
        <v>288</v>
      </c>
      <c r="L116">
        <v>1191</v>
      </c>
      <c r="N116">
        <v>1013</v>
      </c>
      <c r="O116" t="s">
        <v>280</v>
      </c>
      <c r="P116" t="s">
        <v>280</v>
      </c>
      <c r="Q116">
        <v>1</v>
      </c>
      <c r="X116">
        <v>188.25</v>
      </c>
      <c r="Y116">
        <v>0</v>
      </c>
      <c r="Z116">
        <v>0</v>
      </c>
      <c r="AA116">
        <v>0</v>
      </c>
      <c r="AB116">
        <v>8.74</v>
      </c>
      <c r="AC116">
        <v>0</v>
      </c>
      <c r="AD116">
        <v>1</v>
      </c>
      <c r="AE116">
        <v>1</v>
      </c>
      <c r="AF116" t="s">
        <v>6</v>
      </c>
      <c r="AG116">
        <v>188.25</v>
      </c>
      <c r="AH116">
        <v>2</v>
      </c>
      <c r="AI116">
        <v>16481521</v>
      </c>
      <c r="AJ116">
        <v>130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ROW(Source!A71)</f>
        <v>71</v>
      </c>
      <c r="B117">
        <v>16481522</v>
      </c>
      <c r="C117">
        <v>16481520</v>
      </c>
      <c r="D117">
        <v>15247878</v>
      </c>
      <c r="E117">
        <v>1</v>
      </c>
      <c r="F117">
        <v>1</v>
      </c>
      <c r="G117">
        <v>1</v>
      </c>
      <c r="H117">
        <v>2</v>
      </c>
      <c r="I117" t="s">
        <v>356</v>
      </c>
      <c r="J117" t="s">
        <v>357</v>
      </c>
      <c r="K117" t="s">
        <v>358</v>
      </c>
      <c r="L117">
        <v>1368</v>
      </c>
      <c r="N117">
        <v>1011</v>
      </c>
      <c r="O117" t="s">
        <v>286</v>
      </c>
      <c r="P117" t="s">
        <v>286</v>
      </c>
      <c r="Q117">
        <v>1</v>
      </c>
      <c r="X117">
        <v>0.71</v>
      </c>
      <c r="Y117">
        <v>0</v>
      </c>
      <c r="Z117">
        <v>1.7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0.71</v>
      </c>
      <c r="AH117">
        <v>2</v>
      </c>
      <c r="AI117">
        <v>16481522</v>
      </c>
      <c r="AJ117">
        <v>131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ROW(Source!A71)</f>
        <v>71</v>
      </c>
      <c r="B118">
        <v>16481523</v>
      </c>
      <c r="C118">
        <v>16481520</v>
      </c>
      <c r="D118">
        <v>15167286</v>
      </c>
      <c r="E118">
        <v>1</v>
      </c>
      <c r="F118">
        <v>1</v>
      </c>
      <c r="G118">
        <v>1</v>
      </c>
      <c r="H118">
        <v>3</v>
      </c>
      <c r="I118" t="s">
        <v>329</v>
      </c>
      <c r="J118" t="s">
        <v>330</v>
      </c>
      <c r="K118" t="s">
        <v>331</v>
      </c>
      <c r="L118">
        <v>1339</v>
      </c>
      <c r="N118">
        <v>1007</v>
      </c>
      <c r="O118" t="s">
        <v>332</v>
      </c>
      <c r="P118" t="s">
        <v>332</v>
      </c>
      <c r="Q118">
        <v>1</v>
      </c>
      <c r="X118">
        <v>0.35</v>
      </c>
      <c r="Y118">
        <v>2.44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0.35</v>
      </c>
      <c r="AH118">
        <v>2</v>
      </c>
      <c r="AI118">
        <v>16481523</v>
      </c>
      <c r="AJ118">
        <v>132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ROW(Source!A71)</f>
        <v>71</v>
      </c>
      <c r="B119">
        <v>16481524</v>
      </c>
      <c r="C119">
        <v>16481520</v>
      </c>
      <c r="D119">
        <v>15164566</v>
      </c>
      <c r="E119">
        <v>17</v>
      </c>
      <c r="F119">
        <v>1</v>
      </c>
      <c r="G119">
        <v>1</v>
      </c>
      <c r="H119">
        <v>3</v>
      </c>
      <c r="I119" t="s">
        <v>55</v>
      </c>
      <c r="J119" t="s">
        <v>6</v>
      </c>
      <c r="K119" t="s">
        <v>56</v>
      </c>
      <c r="L119">
        <v>1348</v>
      </c>
      <c r="N119">
        <v>1009</v>
      </c>
      <c r="O119" t="s">
        <v>57</v>
      </c>
      <c r="P119" t="s">
        <v>57</v>
      </c>
      <c r="Q119">
        <v>1000</v>
      </c>
      <c r="X119">
        <v>4.84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6</v>
      </c>
      <c r="AG119">
        <v>4.84</v>
      </c>
      <c r="AH119">
        <v>2</v>
      </c>
      <c r="AI119">
        <v>16481524</v>
      </c>
      <c r="AJ119">
        <v>133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ROW(Source!A71)</f>
        <v>71</v>
      </c>
      <c r="B120">
        <v>16481525</v>
      </c>
      <c r="C120">
        <v>16481520</v>
      </c>
      <c r="D120">
        <v>15172875</v>
      </c>
      <c r="E120">
        <v>1</v>
      </c>
      <c r="F120">
        <v>1</v>
      </c>
      <c r="G120">
        <v>1</v>
      </c>
      <c r="H120">
        <v>3</v>
      </c>
      <c r="I120" t="s">
        <v>333</v>
      </c>
      <c r="J120" t="s">
        <v>334</v>
      </c>
      <c r="K120" t="s">
        <v>335</v>
      </c>
      <c r="L120">
        <v>1339</v>
      </c>
      <c r="N120">
        <v>1007</v>
      </c>
      <c r="O120" t="s">
        <v>332</v>
      </c>
      <c r="P120" t="s">
        <v>332</v>
      </c>
      <c r="Q120">
        <v>1</v>
      </c>
      <c r="X120">
        <v>2.2000000000000002</v>
      </c>
      <c r="Y120">
        <v>517.91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2.2000000000000002</v>
      </c>
      <c r="AH120">
        <v>2</v>
      </c>
      <c r="AI120">
        <v>16481525</v>
      </c>
      <c r="AJ120">
        <v>134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ROW(Source!A74)</f>
        <v>74</v>
      </c>
      <c r="B121">
        <v>16481507</v>
      </c>
      <c r="C121">
        <v>16481484</v>
      </c>
      <c r="D121">
        <v>15430447</v>
      </c>
      <c r="E121">
        <v>1</v>
      </c>
      <c r="F121">
        <v>1</v>
      </c>
      <c r="G121">
        <v>1</v>
      </c>
      <c r="H121">
        <v>1</v>
      </c>
      <c r="I121" t="s">
        <v>359</v>
      </c>
      <c r="J121" t="s">
        <v>6</v>
      </c>
      <c r="K121" t="s">
        <v>360</v>
      </c>
      <c r="L121">
        <v>1191</v>
      </c>
      <c r="N121">
        <v>1013</v>
      </c>
      <c r="O121" t="s">
        <v>280</v>
      </c>
      <c r="P121" t="s">
        <v>280</v>
      </c>
      <c r="Q121">
        <v>1</v>
      </c>
      <c r="X121">
        <v>14.39</v>
      </c>
      <c r="Y121">
        <v>0</v>
      </c>
      <c r="Z121">
        <v>0</v>
      </c>
      <c r="AA121">
        <v>0</v>
      </c>
      <c r="AB121">
        <v>9.07</v>
      </c>
      <c r="AC121">
        <v>0</v>
      </c>
      <c r="AD121">
        <v>1</v>
      </c>
      <c r="AE121">
        <v>1</v>
      </c>
      <c r="AF121" t="s">
        <v>6</v>
      </c>
      <c r="AG121">
        <v>14.39</v>
      </c>
      <c r="AH121">
        <v>2</v>
      </c>
      <c r="AI121">
        <v>16481507</v>
      </c>
      <c r="AJ121">
        <v>135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ROW(Source!A74)</f>
        <v>74</v>
      </c>
      <c r="B122">
        <v>16481508</v>
      </c>
      <c r="C122">
        <v>16481484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281</v>
      </c>
      <c r="J122" t="s">
        <v>6</v>
      </c>
      <c r="K122" t="s">
        <v>282</v>
      </c>
      <c r="L122">
        <v>1191</v>
      </c>
      <c r="N122">
        <v>1013</v>
      </c>
      <c r="O122" t="s">
        <v>280</v>
      </c>
      <c r="P122" t="s">
        <v>280</v>
      </c>
      <c r="Q122">
        <v>1</v>
      </c>
      <c r="X122">
        <v>0.12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6</v>
      </c>
      <c r="AG122">
        <v>0.12</v>
      </c>
      <c r="AH122">
        <v>2</v>
      </c>
      <c r="AI122">
        <v>16481508</v>
      </c>
      <c r="AJ122">
        <v>136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ROW(Source!A74)</f>
        <v>74</v>
      </c>
      <c r="B123">
        <v>16481509</v>
      </c>
      <c r="C123">
        <v>16481484</v>
      </c>
      <c r="D123">
        <v>15247878</v>
      </c>
      <c r="E123">
        <v>1</v>
      </c>
      <c r="F123">
        <v>1</v>
      </c>
      <c r="G123">
        <v>1</v>
      </c>
      <c r="H123">
        <v>2</v>
      </c>
      <c r="I123" t="s">
        <v>356</v>
      </c>
      <c r="J123" t="s">
        <v>357</v>
      </c>
      <c r="K123" t="s">
        <v>358</v>
      </c>
      <c r="L123">
        <v>1368</v>
      </c>
      <c r="N123">
        <v>1011</v>
      </c>
      <c r="O123" t="s">
        <v>286</v>
      </c>
      <c r="P123" t="s">
        <v>286</v>
      </c>
      <c r="Q123">
        <v>1</v>
      </c>
      <c r="X123">
        <v>0.24</v>
      </c>
      <c r="Y123">
        <v>0</v>
      </c>
      <c r="Z123">
        <v>1.7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0.24</v>
      </c>
      <c r="AH123">
        <v>2</v>
      </c>
      <c r="AI123">
        <v>16481509</v>
      </c>
      <c r="AJ123">
        <v>137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ROW(Source!A74)</f>
        <v>74</v>
      </c>
      <c r="B124">
        <v>16481510</v>
      </c>
      <c r="C124">
        <v>16481484</v>
      </c>
      <c r="D124">
        <v>15249073</v>
      </c>
      <c r="E124">
        <v>1</v>
      </c>
      <c r="F124">
        <v>1</v>
      </c>
      <c r="G124">
        <v>1</v>
      </c>
      <c r="H124">
        <v>2</v>
      </c>
      <c r="I124" t="s">
        <v>289</v>
      </c>
      <c r="J124" t="s">
        <v>290</v>
      </c>
      <c r="K124" t="s">
        <v>291</v>
      </c>
      <c r="L124">
        <v>1368</v>
      </c>
      <c r="N124">
        <v>1011</v>
      </c>
      <c r="O124" t="s">
        <v>286</v>
      </c>
      <c r="P124" t="s">
        <v>286</v>
      </c>
      <c r="Q124">
        <v>1</v>
      </c>
      <c r="X124">
        <v>0.12</v>
      </c>
      <c r="Y124">
        <v>0</v>
      </c>
      <c r="Z124">
        <v>65.709999999999994</v>
      </c>
      <c r="AA124">
        <v>11.6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0.12</v>
      </c>
      <c r="AH124">
        <v>2</v>
      </c>
      <c r="AI124">
        <v>16481510</v>
      </c>
      <c r="AJ124">
        <v>138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ROW(Source!A74)</f>
        <v>74</v>
      </c>
      <c r="B125">
        <v>16481511</v>
      </c>
      <c r="C125">
        <v>16481484</v>
      </c>
      <c r="D125">
        <v>15171018</v>
      </c>
      <c r="E125">
        <v>1</v>
      </c>
      <c r="F125">
        <v>1</v>
      </c>
      <c r="G125">
        <v>1</v>
      </c>
      <c r="H125">
        <v>3</v>
      </c>
      <c r="I125" t="s">
        <v>324</v>
      </c>
      <c r="J125" t="s">
        <v>325</v>
      </c>
      <c r="K125" t="s">
        <v>326</v>
      </c>
      <c r="L125">
        <v>1346</v>
      </c>
      <c r="N125">
        <v>1009</v>
      </c>
      <c r="O125" t="s">
        <v>86</v>
      </c>
      <c r="P125" t="s">
        <v>86</v>
      </c>
      <c r="Q125">
        <v>1</v>
      </c>
      <c r="X125">
        <v>0.41</v>
      </c>
      <c r="Y125">
        <v>1.82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0.41</v>
      </c>
      <c r="AH125">
        <v>2</v>
      </c>
      <c r="AI125">
        <v>16481511</v>
      </c>
      <c r="AJ125">
        <v>139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ROW(Source!A74)</f>
        <v>74</v>
      </c>
      <c r="B126">
        <v>16481512</v>
      </c>
      <c r="C126">
        <v>16481484</v>
      </c>
      <c r="D126">
        <v>15171907</v>
      </c>
      <c r="E126">
        <v>1</v>
      </c>
      <c r="F126">
        <v>1</v>
      </c>
      <c r="G126">
        <v>1</v>
      </c>
      <c r="H126">
        <v>3</v>
      </c>
      <c r="I126" t="s">
        <v>347</v>
      </c>
      <c r="J126" t="s">
        <v>348</v>
      </c>
      <c r="K126" t="s">
        <v>349</v>
      </c>
      <c r="L126">
        <v>1339</v>
      </c>
      <c r="N126">
        <v>1007</v>
      </c>
      <c r="O126" t="s">
        <v>332</v>
      </c>
      <c r="P126" t="s">
        <v>332</v>
      </c>
      <c r="Q126">
        <v>1</v>
      </c>
      <c r="X126">
        <v>4.7000000000000002E-3</v>
      </c>
      <c r="Y126">
        <v>74.58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4.7000000000000002E-3</v>
      </c>
      <c r="AH126">
        <v>2</v>
      </c>
      <c r="AI126">
        <v>16481512</v>
      </c>
      <c r="AJ126">
        <v>140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ROW(Source!A74)</f>
        <v>74</v>
      </c>
      <c r="B127">
        <v>16481513</v>
      </c>
      <c r="C127">
        <v>16481484</v>
      </c>
      <c r="D127">
        <v>15203663</v>
      </c>
      <c r="E127">
        <v>1</v>
      </c>
      <c r="F127">
        <v>1</v>
      </c>
      <c r="G127">
        <v>1</v>
      </c>
      <c r="H127">
        <v>3</v>
      </c>
      <c r="I127" t="s">
        <v>361</v>
      </c>
      <c r="J127" t="s">
        <v>362</v>
      </c>
      <c r="K127" t="s">
        <v>363</v>
      </c>
      <c r="L127">
        <v>1348</v>
      </c>
      <c r="N127">
        <v>1009</v>
      </c>
      <c r="O127" t="s">
        <v>57</v>
      </c>
      <c r="P127" t="s">
        <v>57</v>
      </c>
      <c r="Q127">
        <v>1000</v>
      </c>
      <c r="X127">
        <v>1.4999999999999999E-2</v>
      </c>
      <c r="Y127">
        <v>18362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1.4999999999999999E-2</v>
      </c>
      <c r="AH127">
        <v>2</v>
      </c>
      <c r="AI127">
        <v>16481513</v>
      </c>
      <c r="AJ127">
        <v>141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ROW(Source!A74)</f>
        <v>74</v>
      </c>
      <c r="B128">
        <v>16481514</v>
      </c>
      <c r="C128">
        <v>16481484</v>
      </c>
      <c r="D128">
        <v>15163065</v>
      </c>
      <c r="E128">
        <v>17</v>
      </c>
      <c r="F128">
        <v>1</v>
      </c>
      <c r="G128">
        <v>1</v>
      </c>
      <c r="H128">
        <v>3</v>
      </c>
      <c r="I128" t="s">
        <v>128</v>
      </c>
      <c r="J128" t="s">
        <v>6</v>
      </c>
      <c r="K128" t="s">
        <v>129</v>
      </c>
      <c r="L128">
        <v>1348</v>
      </c>
      <c r="N128">
        <v>1009</v>
      </c>
      <c r="O128" t="s">
        <v>57</v>
      </c>
      <c r="P128" t="s">
        <v>57</v>
      </c>
      <c r="Q128">
        <v>1000</v>
      </c>
      <c r="X128">
        <v>5.8999999999999997E-2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6</v>
      </c>
      <c r="AG128">
        <v>5.8999999999999997E-2</v>
      </c>
      <c r="AH128">
        <v>2</v>
      </c>
      <c r="AI128">
        <v>16481514</v>
      </c>
      <c r="AJ128">
        <v>142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ROW(Source!A74)</f>
        <v>74</v>
      </c>
      <c r="B129">
        <v>16481515</v>
      </c>
      <c r="C129">
        <v>16481484</v>
      </c>
      <c r="D129">
        <v>15204703</v>
      </c>
      <c r="E129">
        <v>1</v>
      </c>
      <c r="F129">
        <v>1</v>
      </c>
      <c r="G129">
        <v>1</v>
      </c>
      <c r="H129">
        <v>3</v>
      </c>
      <c r="I129" t="s">
        <v>364</v>
      </c>
      <c r="J129" t="s">
        <v>365</v>
      </c>
      <c r="K129" t="s">
        <v>366</v>
      </c>
      <c r="L129">
        <v>1348</v>
      </c>
      <c r="N129">
        <v>1009</v>
      </c>
      <c r="O129" t="s">
        <v>57</v>
      </c>
      <c r="P129" t="s">
        <v>57</v>
      </c>
      <c r="Q129">
        <v>1000</v>
      </c>
      <c r="X129">
        <v>0.01</v>
      </c>
      <c r="Y129">
        <v>6667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0.01</v>
      </c>
      <c r="AH129">
        <v>2</v>
      </c>
      <c r="AI129">
        <v>16481515</v>
      </c>
      <c r="AJ129">
        <v>144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ROW(Source!A74)</f>
        <v>74</v>
      </c>
      <c r="B130">
        <v>16481516</v>
      </c>
      <c r="C130">
        <v>16481484</v>
      </c>
      <c r="D130">
        <v>15204788</v>
      </c>
      <c r="E130">
        <v>1</v>
      </c>
      <c r="F130">
        <v>1</v>
      </c>
      <c r="G130">
        <v>1</v>
      </c>
      <c r="H130">
        <v>3</v>
      </c>
      <c r="I130" t="s">
        <v>367</v>
      </c>
      <c r="J130" t="s">
        <v>368</v>
      </c>
      <c r="K130" t="s">
        <v>369</v>
      </c>
      <c r="L130">
        <v>1348</v>
      </c>
      <c r="N130">
        <v>1009</v>
      </c>
      <c r="O130" t="s">
        <v>57</v>
      </c>
      <c r="P130" t="s">
        <v>57</v>
      </c>
      <c r="Q130">
        <v>1000</v>
      </c>
      <c r="X130">
        <v>1.2E-2</v>
      </c>
      <c r="Y130">
        <v>16950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6</v>
      </c>
      <c r="AG130">
        <v>1.2E-2</v>
      </c>
      <c r="AH130">
        <v>2</v>
      </c>
      <c r="AI130">
        <v>16481516</v>
      </c>
      <c r="AJ130">
        <v>145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ROW(Source!A75)</f>
        <v>75</v>
      </c>
      <c r="B131">
        <v>16481507</v>
      </c>
      <c r="C131">
        <v>16481484</v>
      </c>
      <c r="D131">
        <v>15430447</v>
      </c>
      <c r="E131">
        <v>1</v>
      </c>
      <c r="F131">
        <v>1</v>
      </c>
      <c r="G131">
        <v>1</v>
      </c>
      <c r="H131">
        <v>1</v>
      </c>
      <c r="I131" t="s">
        <v>359</v>
      </c>
      <c r="J131" t="s">
        <v>6</v>
      </c>
      <c r="K131" t="s">
        <v>360</v>
      </c>
      <c r="L131">
        <v>1191</v>
      </c>
      <c r="N131">
        <v>1013</v>
      </c>
      <c r="O131" t="s">
        <v>280</v>
      </c>
      <c r="P131" t="s">
        <v>280</v>
      </c>
      <c r="Q131">
        <v>1</v>
      </c>
      <c r="X131">
        <v>14.39</v>
      </c>
      <c r="Y131">
        <v>0</v>
      </c>
      <c r="Z131">
        <v>0</v>
      </c>
      <c r="AA131">
        <v>0</v>
      </c>
      <c r="AB131">
        <v>9.07</v>
      </c>
      <c r="AC131">
        <v>0</v>
      </c>
      <c r="AD131">
        <v>1</v>
      </c>
      <c r="AE131">
        <v>1</v>
      </c>
      <c r="AF131" t="s">
        <v>6</v>
      </c>
      <c r="AG131">
        <v>14.39</v>
      </c>
      <c r="AH131">
        <v>2</v>
      </c>
      <c r="AI131">
        <v>16481507</v>
      </c>
      <c r="AJ131">
        <v>146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ROW(Source!A75)</f>
        <v>75</v>
      </c>
      <c r="B132">
        <v>16481508</v>
      </c>
      <c r="C132">
        <v>16481484</v>
      </c>
      <c r="D132">
        <v>15430395</v>
      </c>
      <c r="E132">
        <v>1</v>
      </c>
      <c r="F132">
        <v>1</v>
      </c>
      <c r="G132">
        <v>1</v>
      </c>
      <c r="H132">
        <v>1</v>
      </c>
      <c r="I132" t="s">
        <v>281</v>
      </c>
      <c r="J132" t="s">
        <v>6</v>
      </c>
      <c r="K132" t="s">
        <v>282</v>
      </c>
      <c r="L132">
        <v>1191</v>
      </c>
      <c r="N132">
        <v>1013</v>
      </c>
      <c r="O132" t="s">
        <v>280</v>
      </c>
      <c r="P132" t="s">
        <v>280</v>
      </c>
      <c r="Q132">
        <v>1</v>
      </c>
      <c r="X132">
        <v>0.12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2</v>
      </c>
      <c r="AF132" t="s">
        <v>6</v>
      </c>
      <c r="AG132">
        <v>0.12</v>
      </c>
      <c r="AH132">
        <v>2</v>
      </c>
      <c r="AI132">
        <v>16481508</v>
      </c>
      <c r="AJ132">
        <v>147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ROW(Source!A75)</f>
        <v>75</v>
      </c>
      <c r="B133">
        <v>16481509</v>
      </c>
      <c r="C133">
        <v>16481484</v>
      </c>
      <c r="D133">
        <v>15247878</v>
      </c>
      <c r="E133">
        <v>1</v>
      </c>
      <c r="F133">
        <v>1</v>
      </c>
      <c r="G133">
        <v>1</v>
      </c>
      <c r="H133">
        <v>2</v>
      </c>
      <c r="I133" t="s">
        <v>356</v>
      </c>
      <c r="J133" t="s">
        <v>357</v>
      </c>
      <c r="K133" t="s">
        <v>358</v>
      </c>
      <c r="L133">
        <v>1368</v>
      </c>
      <c r="N133">
        <v>1011</v>
      </c>
      <c r="O133" t="s">
        <v>286</v>
      </c>
      <c r="P133" t="s">
        <v>286</v>
      </c>
      <c r="Q133">
        <v>1</v>
      </c>
      <c r="X133">
        <v>0.24</v>
      </c>
      <c r="Y133">
        <v>0</v>
      </c>
      <c r="Z133">
        <v>1.7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6</v>
      </c>
      <c r="AG133">
        <v>0.24</v>
      </c>
      <c r="AH133">
        <v>2</v>
      </c>
      <c r="AI133">
        <v>16481509</v>
      </c>
      <c r="AJ133">
        <v>148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ROW(Source!A75)</f>
        <v>75</v>
      </c>
      <c r="B134">
        <v>16481510</v>
      </c>
      <c r="C134">
        <v>16481484</v>
      </c>
      <c r="D134">
        <v>15249073</v>
      </c>
      <c r="E134">
        <v>1</v>
      </c>
      <c r="F134">
        <v>1</v>
      </c>
      <c r="G134">
        <v>1</v>
      </c>
      <c r="H134">
        <v>2</v>
      </c>
      <c r="I134" t="s">
        <v>289</v>
      </c>
      <c r="J134" t="s">
        <v>290</v>
      </c>
      <c r="K134" t="s">
        <v>291</v>
      </c>
      <c r="L134">
        <v>1368</v>
      </c>
      <c r="N134">
        <v>1011</v>
      </c>
      <c r="O134" t="s">
        <v>286</v>
      </c>
      <c r="P134" t="s">
        <v>286</v>
      </c>
      <c r="Q134">
        <v>1</v>
      </c>
      <c r="X134">
        <v>0.12</v>
      </c>
      <c r="Y134">
        <v>0</v>
      </c>
      <c r="Z134">
        <v>65.709999999999994</v>
      </c>
      <c r="AA134">
        <v>11.6</v>
      </c>
      <c r="AB134">
        <v>0</v>
      </c>
      <c r="AC134">
        <v>0</v>
      </c>
      <c r="AD134">
        <v>1</v>
      </c>
      <c r="AE134">
        <v>0</v>
      </c>
      <c r="AF134" t="s">
        <v>6</v>
      </c>
      <c r="AG134">
        <v>0.12</v>
      </c>
      <c r="AH134">
        <v>2</v>
      </c>
      <c r="AI134">
        <v>16481510</v>
      </c>
      <c r="AJ134">
        <v>149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ROW(Source!A75)</f>
        <v>75</v>
      </c>
      <c r="B135">
        <v>16481511</v>
      </c>
      <c r="C135">
        <v>16481484</v>
      </c>
      <c r="D135">
        <v>15171018</v>
      </c>
      <c r="E135">
        <v>1</v>
      </c>
      <c r="F135">
        <v>1</v>
      </c>
      <c r="G135">
        <v>1</v>
      </c>
      <c r="H135">
        <v>3</v>
      </c>
      <c r="I135" t="s">
        <v>324</v>
      </c>
      <c r="J135" t="s">
        <v>325</v>
      </c>
      <c r="K135" t="s">
        <v>326</v>
      </c>
      <c r="L135">
        <v>1346</v>
      </c>
      <c r="N135">
        <v>1009</v>
      </c>
      <c r="O135" t="s">
        <v>86</v>
      </c>
      <c r="P135" t="s">
        <v>86</v>
      </c>
      <c r="Q135">
        <v>1</v>
      </c>
      <c r="X135">
        <v>0.41</v>
      </c>
      <c r="Y135">
        <v>1.82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0.41</v>
      </c>
      <c r="AH135">
        <v>2</v>
      </c>
      <c r="AI135">
        <v>16481511</v>
      </c>
      <c r="AJ135">
        <v>150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ROW(Source!A75)</f>
        <v>75</v>
      </c>
      <c r="B136">
        <v>16481512</v>
      </c>
      <c r="C136">
        <v>16481484</v>
      </c>
      <c r="D136">
        <v>15171907</v>
      </c>
      <c r="E136">
        <v>1</v>
      </c>
      <c r="F136">
        <v>1</v>
      </c>
      <c r="G136">
        <v>1</v>
      </c>
      <c r="H136">
        <v>3</v>
      </c>
      <c r="I136" t="s">
        <v>347</v>
      </c>
      <c r="J136" t="s">
        <v>348</v>
      </c>
      <c r="K136" t="s">
        <v>349</v>
      </c>
      <c r="L136">
        <v>1339</v>
      </c>
      <c r="N136">
        <v>1007</v>
      </c>
      <c r="O136" t="s">
        <v>332</v>
      </c>
      <c r="P136" t="s">
        <v>332</v>
      </c>
      <c r="Q136">
        <v>1</v>
      </c>
      <c r="X136">
        <v>4.7000000000000002E-3</v>
      </c>
      <c r="Y136">
        <v>74.58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6</v>
      </c>
      <c r="AG136">
        <v>4.7000000000000002E-3</v>
      </c>
      <c r="AH136">
        <v>2</v>
      </c>
      <c r="AI136">
        <v>16481512</v>
      </c>
      <c r="AJ136">
        <v>151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ROW(Source!A75)</f>
        <v>75</v>
      </c>
      <c r="B137">
        <v>16481513</v>
      </c>
      <c r="C137">
        <v>16481484</v>
      </c>
      <c r="D137">
        <v>15203663</v>
      </c>
      <c r="E137">
        <v>1</v>
      </c>
      <c r="F137">
        <v>1</v>
      </c>
      <c r="G137">
        <v>1</v>
      </c>
      <c r="H137">
        <v>3</v>
      </c>
      <c r="I137" t="s">
        <v>361</v>
      </c>
      <c r="J137" t="s">
        <v>362</v>
      </c>
      <c r="K137" t="s">
        <v>363</v>
      </c>
      <c r="L137">
        <v>1348</v>
      </c>
      <c r="N137">
        <v>1009</v>
      </c>
      <c r="O137" t="s">
        <v>57</v>
      </c>
      <c r="P137" t="s">
        <v>57</v>
      </c>
      <c r="Q137">
        <v>1000</v>
      </c>
      <c r="X137">
        <v>1.4999999999999999E-2</v>
      </c>
      <c r="Y137">
        <v>18362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6</v>
      </c>
      <c r="AG137">
        <v>1.4999999999999999E-2</v>
      </c>
      <c r="AH137">
        <v>2</v>
      </c>
      <c r="AI137">
        <v>16481513</v>
      </c>
      <c r="AJ137">
        <v>152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ROW(Source!A75)</f>
        <v>75</v>
      </c>
      <c r="B138">
        <v>16481514</v>
      </c>
      <c r="C138">
        <v>16481484</v>
      </c>
      <c r="D138">
        <v>15163065</v>
      </c>
      <c r="E138">
        <v>17</v>
      </c>
      <c r="F138">
        <v>1</v>
      </c>
      <c r="G138">
        <v>1</v>
      </c>
      <c r="H138">
        <v>3</v>
      </c>
      <c r="I138" t="s">
        <v>128</v>
      </c>
      <c r="J138" t="s">
        <v>6</v>
      </c>
      <c r="K138" t="s">
        <v>129</v>
      </c>
      <c r="L138">
        <v>1348</v>
      </c>
      <c r="N138">
        <v>1009</v>
      </c>
      <c r="O138" t="s">
        <v>57</v>
      </c>
      <c r="P138" t="s">
        <v>57</v>
      </c>
      <c r="Q138">
        <v>1000</v>
      </c>
      <c r="X138">
        <v>5.8999999999999997E-2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 t="s">
        <v>6</v>
      </c>
      <c r="AG138">
        <v>5.8999999999999997E-2</v>
      </c>
      <c r="AH138">
        <v>2</v>
      </c>
      <c r="AI138">
        <v>16481514</v>
      </c>
      <c r="AJ138">
        <v>153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ROW(Source!A75)</f>
        <v>75</v>
      </c>
      <c r="B139">
        <v>16481515</v>
      </c>
      <c r="C139">
        <v>16481484</v>
      </c>
      <c r="D139">
        <v>15204703</v>
      </c>
      <c r="E139">
        <v>1</v>
      </c>
      <c r="F139">
        <v>1</v>
      </c>
      <c r="G139">
        <v>1</v>
      </c>
      <c r="H139">
        <v>3</v>
      </c>
      <c r="I139" t="s">
        <v>364</v>
      </c>
      <c r="J139" t="s">
        <v>365</v>
      </c>
      <c r="K139" t="s">
        <v>366</v>
      </c>
      <c r="L139">
        <v>1348</v>
      </c>
      <c r="N139">
        <v>1009</v>
      </c>
      <c r="O139" t="s">
        <v>57</v>
      </c>
      <c r="P139" t="s">
        <v>57</v>
      </c>
      <c r="Q139">
        <v>1000</v>
      </c>
      <c r="X139">
        <v>0.01</v>
      </c>
      <c r="Y139">
        <v>6667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0.01</v>
      </c>
      <c r="AH139">
        <v>2</v>
      </c>
      <c r="AI139">
        <v>16481515</v>
      </c>
      <c r="AJ139">
        <v>155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ROW(Source!A75)</f>
        <v>75</v>
      </c>
      <c r="B140">
        <v>16481516</v>
      </c>
      <c r="C140">
        <v>16481484</v>
      </c>
      <c r="D140">
        <v>15204788</v>
      </c>
      <c r="E140">
        <v>1</v>
      </c>
      <c r="F140">
        <v>1</v>
      </c>
      <c r="G140">
        <v>1</v>
      </c>
      <c r="H140">
        <v>3</v>
      </c>
      <c r="I140" t="s">
        <v>367</v>
      </c>
      <c r="J140" t="s">
        <v>368</v>
      </c>
      <c r="K140" t="s">
        <v>369</v>
      </c>
      <c r="L140">
        <v>1348</v>
      </c>
      <c r="N140">
        <v>1009</v>
      </c>
      <c r="O140" t="s">
        <v>57</v>
      </c>
      <c r="P140" t="s">
        <v>57</v>
      </c>
      <c r="Q140">
        <v>1000</v>
      </c>
      <c r="X140">
        <v>1.2E-2</v>
      </c>
      <c r="Y140">
        <v>16950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1.2E-2</v>
      </c>
      <c r="AH140">
        <v>2</v>
      </c>
      <c r="AI140">
        <v>16481516</v>
      </c>
      <c r="AJ140">
        <v>156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6</vt:i4>
      </vt:variant>
    </vt:vector>
  </HeadingPairs>
  <TitlesOfParts>
    <vt:vector size="14" baseType="lpstr">
      <vt:lpstr>Смета 12 гр. по ФЕР</vt:lpstr>
      <vt:lpstr>Акт КС-2 c НР и СП</vt:lpstr>
      <vt:lpstr>Акт КС-2 10 граф</vt:lpstr>
      <vt:lpstr>Макет форма-3</vt:lpstr>
      <vt:lpstr>Source</vt:lpstr>
      <vt:lpstr>SourceObSm</vt:lpstr>
      <vt:lpstr>SmtRes</vt:lpstr>
      <vt:lpstr>EtalonRes</vt:lpstr>
      <vt:lpstr>'Акт КС-2 10 граф'!Заголовки_для_печати</vt:lpstr>
      <vt:lpstr>'Акт КС-2 c НР и СП'!Заголовки_для_печати</vt:lpstr>
      <vt:lpstr>'Смета 12 гр. по ФЕР'!Заголовки_для_печати</vt:lpstr>
      <vt:lpstr>'Акт КС-2 10 граф'!Область_печати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okr452011</dc:creator>
  <cp:lastModifiedBy>Ольга Л. Ситникова</cp:lastModifiedBy>
  <cp:lastPrinted>2018-07-31T09:29:11Z</cp:lastPrinted>
  <dcterms:created xsi:type="dcterms:W3CDTF">2018-01-23T11:58:55Z</dcterms:created>
  <dcterms:modified xsi:type="dcterms:W3CDTF">2018-08-14T08:04:14Z</dcterms:modified>
</cp:coreProperties>
</file>