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Пом.37\Эл пл\"/>
    </mc:Choice>
  </mc:AlternateContent>
  <bookViews>
    <workbookView xWindow="0" yWindow="0" windowWidth="24750" windowHeight="124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ФЕР'!$A$1:$L$157</definedName>
  </definedNames>
  <calcPr calcId="152511"/>
</workbook>
</file>

<file path=xl/calcChain.xml><?xml version="1.0" encoding="utf-8"?>
<calcChain xmlns="http://schemas.openxmlformats.org/spreadsheetml/2006/main">
  <c r="AD14" i="5" l="1"/>
  <c r="I155" i="5"/>
  <c r="I152" i="5"/>
  <c r="C149" i="5"/>
  <c r="C148" i="5"/>
  <c r="C147" i="5"/>
  <c r="Z145" i="5"/>
  <c r="Y145" i="5"/>
  <c r="X145" i="5"/>
  <c r="J144" i="5"/>
  <c r="Z144" i="5"/>
  <c r="Y144" i="5"/>
  <c r="X144" i="5"/>
  <c r="F144" i="5"/>
  <c r="D144" i="5"/>
  <c r="C144" i="5"/>
  <c r="B144" i="5"/>
  <c r="A144" i="5"/>
  <c r="J143" i="5"/>
  <c r="Z143" i="5"/>
  <c r="Y143" i="5"/>
  <c r="X143" i="5"/>
  <c r="F143" i="5"/>
  <c r="D143" i="5"/>
  <c r="C143" i="5"/>
  <c r="B143" i="5"/>
  <c r="A143" i="5"/>
  <c r="G142" i="5"/>
  <c r="E142" i="5"/>
  <c r="J141" i="5"/>
  <c r="E141" i="5"/>
  <c r="J140" i="5"/>
  <c r="E140" i="5"/>
  <c r="J139" i="5"/>
  <c r="G139" i="5"/>
  <c r="F139" i="5"/>
  <c r="J138" i="5"/>
  <c r="G138" i="5"/>
  <c r="F138" i="5"/>
  <c r="J137" i="5"/>
  <c r="G137" i="5"/>
  <c r="F137" i="5"/>
  <c r="J136" i="5"/>
  <c r="G136" i="5"/>
  <c r="F136" i="5"/>
  <c r="F135" i="5"/>
  <c r="E135" i="5"/>
  <c r="D135" i="5"/>
  <c r="I135" i="5"/>
  <c r="C135" i="5"/>
  <c r="B135" i="5"/>
  <c r="A135" i="5"/>
  <c r="Z134" i="5"/>
  <c r="Y134" i="5"/>
  <c r="X134" i="5"/>
  <c r="J133" i="5"/>
  <c r="Z133" i="5"/>
  <c r="Y133" i="5"/>
  <c r="X133" i="5"/>
  <c r="F133" i="5"/>
  <c r="D133" i="5"/>
  <c r="C133" i="5"/>
  <c r="B133" i="5"/>
  <c r="A133" i="5"/>
  <c r="J132" i="5"/>
  <c r="Z132" i="5"/>
  <c r="Y132" i="5"/>
  <c r="X132" i="5"/>
  <c r="F132" i="5"/>
  <c r="D132" i="5"/>
  <c r="C132" i="5"/>
  <c r="B132" i="5"/>
  <c r="A132" i="5"/>
  <c r="G131" i="5"/>
  <c r="E131" i="5"/>
  <c r="J130" i="5"/>
  <c r="F130" i="5"/>
  <c r="E130" i="5"/>
  <c r="J129" i="5"/>
  <c r="F129" i="5"/>
  <c r="E129" i="5"/>
  <c r="J128" i="5"/>
  <c r="G128" i="5"/>
  <c r="F128" i="5"/>
  <c r="J127" i="5"/>
  <c r="G127" i="5"/>
  <c r="F127" i="5"/>
  <c r="J126" i="5"/>
  <c r="G126" i="5"/>
  <c r="F126" i="5"/>
  <c r="J125" i="5"/>
  <c r="G125" i="5"/>
  <c r="F125" i="5"/>
  <c r="F124" i="5"/>
  <c r="E124" i="5"/>
  <c r="D124" i="5"/>
  <c r="I124" i="5"/>
  <c r="C124" i="5"/>
  <c r="B124" i="5"/>
  <c r="A124" i="5"/>
  <c r="Z123" i="5"/>
  <c r="Y123" i="5"/>
  <c r="X123" i="5"/>
  <c r="J122" i="5"/>
  <c r="Z122" i="5"/>
  <c r="Y122" i="5"/>
  <c r="X122" i="5"/>
  <c r="F122" i="5"/>
  <c r="D122" i="5"/>
  <c r="C122" i="5"/>
  <c r="B122" i="5"/>
  <c r="A122" i="5"/>
  <c r="J121" i="5"/>
  <c r="Z121" i="5"/>
  <c r="Y121" i="5"/>
  <c r="X121" i="5"/>
  <c r="F121" i="5"/>
  <c r="D121" i="5"/>
  <c r="C121" i="5"/>
  <c r="B121" i="5"/>
  <c r="A121" i="5"/>
  <c r="G120" i="5"/>
  <c r="E120" i="5"/>
  <c r="J119" i="5"/>
  <c r="F119" i="5"/>
  <c r="E119" i="5"/>
  <c r="J118" i="5"/>
  <c r="F118" i="5"/>
  <c r="E118" i="5"/>
  <c r="J117" i="5"/>
  <c r="G117" i="5"/>
  <c r="F117" i="5"/>
  <c r="J116" i="5"/>
  <c r="G116" i="5"/>
  <c r="F116" i="5"/>
  <c r="J115" i="5"/>
  <c r="G115" i="5"/>
  <c r="F115" i="5"/>
  <c r="J114" i="5"/>
  <c r="G114" i="5"/>
  <c r="F114" i="5"/>
  <c r="F113" i="5"/>
  <c r="E113" i="5"/>
  <c r="D113" i="5"/>
  <c r="I113" i="5"/>
  <c r="C113" i="5"/>
  <c r="B113" i="5"/>
  <c r="A113" i="5"/>
  <c r="Z112" i="5"/>
  <c r="Y112" i="5"/>
  <c r="X112" i="5"/>
  <c r="J111" i="5"/>
  <c r="Z111" i="5"/>
  <c r="Y111" i="5"/>
  <c r="X111" i="5"/>
  <c r="F111" i="5"/>
  <c r="D111" i="5"/>
  <c r="C111" i="5"/>
  <c r="B111" i="5"/>
  <c r="A111" i="5"/>
  <c r="J110" i="5"/>
  <c r="Z110" i="5"/>
  <c r="Y110" i="5"/>
  <c r="X110" i="5"/>
  <c r="F110" i="5"/>
  <c r="D110" i="5"/>
  <c r="C110" i="5"/>
  <c r="B110" i="5"/>
  <c r="A110" i="5"/>
  <c r="G109" i="5"/>
  <c r="E109" i="5"/>
  <c r="J108" i="5"/>
  <c r="F108" i="5"/>
  <c r="E108" i="5"/>
  <c r="J107" i="5"/>
  <c r="F107" i="5"/>
  <c r="E107" i="5"/>
  <c r="J106" i="5"/>
  <c r="G106" i="5"/>
  <c r="F106" i="5"/>
  <c r="J105" i="5"/>
  <c r="G105" i="5"/>
  <c r="F105" i="5"/>
  <c r="J104" i="5"/>
  <c r="G104" i="5"/>
  <c r="F104" i="5"/>
  <c r="J103" i="5"/>
  <c r="G103" i="5"/>
  <c r="F103" i="5"/>
  <c r="F102" i="5"/>
  <c r="E102" i="5"/>
  <c r="D102" i="5"/>
  <c r="I102" i="5"/>
  <c r="C102" i="5"/>
  <c r="B102" i="5"/>
  <c r="A102" i="5"/>
  <c r="Z101" i="5"/>
  <c r="Y101" i="5"/>
  <c r="X101" i="5"/>
  <c r="J100" i="5"/>
  <c r="Z100" i="5"/>
  <c r="Y100" i="5"/>
  <c r="X100" i="5"/>
  <c r="F100" i="5"/>
  <c r="D100" i="5"/>
  <c r="C100" i="5"/>
  <c r="B100" i="5"/>
  <c r="A100" i="5"/>
  <c r="J99" i="5"/>
  <c r="Z99" i="5"/>
  <c r="Y99" i="5"/>
  <c r="X99" i="5"/>
  <c r="F99" i="5"/>
  <c r="D99" i="5"/>
  <c r="C99" i="5"/>
  <c r="B99" i="5"/>
  <c r="A99" i="5"/>
  <c r="G98" i="5"/>
  <c r="E98" i="5"/>
  <c r="J97" i="5"/>
  <c r="E97" i="5"/>
  <c r="J96" i="5"/>
  <c r="E96" i="5"/>
  <c r="J95" i="5"/>
  <c r="G95" i="5"/>
  <c r="F95" i="5"/>
  <c r="J94" i="5"/>
  <c r="G94" i="5"/>
  <c r="F94" i="5"/>
  <c r="J93" i="5"/>
  <c r="G93" i="5"/>
  <c r="F93" i="5"/>
  <c r="J92" i="5"/>
  <c r="G92" i="5"/>
  <c r="F92" i="5"/>
  <c r="F91" i="5"/>
  <c r="E91" i="5"/>
  <c r="D91" i="5"/>
  <c r="I91" i="5"/>
  <c r="C91" i="5"/>
  <c r="B91" i="5"/>
  <c r="A91" i="5"/>
  <c r="Z90" i="5"/>
  <c r="Y90" i="5"/>
  <c r="X90" i="5"/>
  <c r="G89" i="5"/>
  <c r="E89" i="5"/>
  <c r="J88" i="5"/>
  <c r="F88" i="5"/>
  <c r="E88" i="5"/>
  <c r="J87" i="5"/>
  <c r="F87" i="5"/>
  <c r="E87" i="5"/>
  <c r="J86" i="5"/>
  <c r="G86" i="5"/>
  <c r="F86" i="5"/>
  <c r="F85" i="5"/>
  <c r="E85" i="5"/>
  <c r="D85" i="5"/>
  <c r="I85" i="5"/>
  <c r="C85" i="5"/>
  <c r="B85" i="5"/>
  <c r="A85" i="5"/>
  <c r="Z84" i="5"/>
  <c r="Y84" i="5"/>
  <c r="X84" i="5"/>
  <c r="J83" i="5"/>
  <c r="Z83" i="5"/>
  <c r="Y83" i="5"/>
  <c r="X83" i="5"/>
  <c r="F83" i="5"/>
  <c r="D83" i="5"/>
  <c r="C83" i="5"/>
  <c r="B83" i="5"/>
  <c r="A83" i="5"/>
  <c r="J82" i="5"/>
  <c r="Z82" i="5"/>
  <c r="Y82" i="5"/>
  <c r="X82" i="5"/>
  <c r="F82" i="5"/>
  <c r="D82" i="5"/>
  <c r="C82" i="5"/>
  <c r="B82" i="5"/>
  <c r="A82" i="5"/>
  <c r="G81" i="5"/>
  <c r="E81" i="5"/>
  <c r="J80" i="5"/>
  <c r="F80" i="5"/>
  <c r="E80" i="5"/>
  <c r="J79" i="5"/>
  <c r="F79" i="5"/>
  <c r="E79" i="5"/>
  <c r="J78" i="5"/>
  <c r="G78" i="5"/>
  <c r="F78" i="5"/>
  <c r="J77" i="5"/>
  <c r="G77" i="5"/>
  <c r="F77" i="5"/>
  <c r="J76" i="5"/>
  <c r="G76" i="5"/>
  <c r="F76" i="5"/>
  <c r="J75" i="5"/>
  <c r="G75" i="5"/>
  <c r="F75" i="5"/>
  <c r="F74" i="5"/>
  <c r="E74" i="5"/>
  <c r="D74" i="5"/>
  <c r="I74" i="5"/>
  <c r="C74" i="5"/>
  <c r="B74" i="5"/>
  <c r="A74" i="5"/>
  <c r="Z73" i="5"/>
  <c r="Y73" i="5"/>
  <c r="X73" i="5"/>
  <c r="J72" i="5"/>
  <c r="Z72" i="5"/>
  <c r="Y72" i="5"/>
  <c r="X72" i="5"/>
  <c r="F72" i="5"/>
  <c r="D72" i="5"/>
  <c r="C72" i="5"/>
  <c r="B72" i="5"/>
  <c r="A72" i="5"/>
  <c r="J71" i="5"/>
  <c r="Z71" i="5"/>
  <c r="Y71" i="5"/>
  <c r="X71" i="5"/>
  <c r="F71" i="5"/>
  <c r="D71" i="5"/>
  <c r="C71" i="5"/>
  <c r="B71" i="5"/>
  <c r="A71" i="5"/>
  <c r="J70" i="5"/>
  <c r="Z70" i="5"/>
  <c r="Y70" i="5"/>
  <c r="X70" i="5"/>
  <c r="F70" i="5"/>
  <c r="D70" i="5"/>
  <c r="C70" i="5"/>
  <c r="B70" i="5"/>
  <c r="A70" i="5"/>
  <c r="J69" i="5"/>
  <c r="Z69" i="5"/>
  <c r="Y69" i="5"/>
  <c r="X69" i="5"/>
  <c r="F69" i="5"/>
  <c r="D69" i="5"/>
  <c r="C69" i="5"/>
  <c r="B69" i="5"/>
  <c r="A69" i="5"/>
  <c r="G68" i="5"/>
  <c r="E68" i="5"/>
  <c r="J67" i="5"/>
  <c r="F67" i="5"/>
  <c r="E67" i="5"/>
  <c r="J66" i="5"/>
  <c r="F66" i="5"/>
  <c r="E66" i="5"/>
  <c r="J65" i="5"/>
  <c r="G65" i="5"/>
  <c r="F65" i="5"/>
  <c r="J64" i="5"/>
  <c r="G64" i="5"/>
  <c r="F64" i="5"/>
  <c r="J63" i="5"/>
  <c r="G63" i="5"/>
  <c r="F63" i="5"/>
  <c r="J62" i="5"/>
  <c r="G62" i="5"/>
  <c r="F62" i="5"/>
  <c r="F61" i="5"/>
  <c r="E61" i="5"/>
  <c r="D61" i="5"/>
  <c r="I61" i="5"/>
  <c r="C61" i="5"/>
  <c r="B61" i="5"/>
  <c r="A61" i="5"/>
  <c r="Z60" i="5"/>
  <c r="Y60" i="5"/>
  <c r="X60" i="5"/>
  <c r="G59" i="5"/>
  <c r="E59" i="5"/>
  <c r="J58" i="5"/>
  <c r="F58" i="5"/>
  <c r="E58" i="5"/>
  <c r="J57" i="5"/>
  <c r="F57" i="5"/>
  <c r="E57" i="5"/>
  <c r="J56" i="5"/>
  <c r="G56" i="5"/>
  <c r="F56" i="5"/>
  <c r="J55" i="5"/>
  <c r="G55" i="5"/>
  <c r="F55" i="5"/>
  <c r="J54" i="5"/>
  <c r="G54" i="5"/>
  <c r="F54" i="5"/>
  <c r="J53" i="5"/>
  <c r="G53" i="5"/>
  <c r="F53" i="5"/>
  <c r="F52" i="5"/>
  <c r="E52" i="5"/>
  <c r="D52" i="5"/>
  <c r="I52" i="5"/>
  <c r="C52" i="5"/>
  <c r="B52" i="5"/>
  <c r="A52" i="5"/>
  <c r="Z51" i="5"/>
  <c r="Y51" i="5"/>
  <c r="X51" i="5"/>
  <c r="G50" i="5"/>
  <c r="E50" i="5"/>
  <c r="J49" i="5"/>
  <c r="F49" i="5"/>
  <c r="E49" i="5"/>
  <c r="J48" i="5"/>
  <c r="F48" i="5"/>
  <c r="E48" i="5"/>
  <c r="J47" i="5"/>
  <c r="G47" i="5"/>
  <c r="F47" i="5"/>
  <c r="J46" i="5"/>
  <c r="G46" i="5"/>
  <c r="F46" i="5"/>
  <c r="J45" i="5"/>
  <c r="G45" i="5"/>
  <c r="F45" i="5"/>
  <c r="J44" i="5"/>
  <c r="G44" i="5"/>
  <c r="F44" i="5"/>
  <c r="F43" i="5"/>
  <c r="E43" i="5"/>
  <c r="D43" i="5"/>
  <c r="I43" i="5"/>
  <c r="C43" i="5"/>
  <c r="B43" i="5"/>
  <c r="A43" i="5"/>
  <c r="Z42" i="5"/>
  <c r="Y42" i="5"/>
  <c r="X42" i="5"/>
  <c r="G41" i="5"/>
  <c r="E41" i="5"/>
  <c r="J40" i="5"/>
  <c r="E40" i="5"/>
  <c r="J39" i="5"/>
  <c r="E39" i="5"/>
  <c r="J38" i="5"/>
  <c r="G38" i="5"/>
  <c r="F38" i="5"/>
  <c r="J37" i="5"/>
  <c r="G37" i="5"/>
  <c r="F37" i="5"/>
  <c r="J36" i="5"/>
  <c r="G36" i="5"/>
  <c r="F36" i="5"/>
  <c r="F35" i="5"/>
  <c r="E35" i="5"/>
  <c r="D35" i="5"/>
  <c r="I35" i="5"/>
  <c r="C35" i="5"/>
  <c r="B35" i="5"/>
  <c r="A35" i="5"/>
  <c r="Z34" i="5"/>
  <c r="Y34" i="5"/>
  <c r="X34" i="5"/>
  <c r="G33" i="5"/>
  <c r="E33" i="5"/>
  <c r="J32" i="5"/>
  <c r="E32" i="5"/>
  <c r="J31" i="5"/>
  <c r="E31" i="5"/>
  <c r="J30" i="5"/>
  <c r="G30" i="5"/>
  <c r="F30" i="5"/>
  <c r="F29" i="5"/>
  <c r="E29" i="5"/>
  <c r="D29" i="5"/>
  <c r="I29" i="5"/>
  <c r="C29" i="5"/>
  <c r="B29" i="5"/>
  <c r="A29" i="5"/>
  <c r="B12" i="5"/>
  <c r="A1" i="5"/>
  <c r="G22" i="5" l="1"/>
  <c r="G20" i="5"/>
  <c r="G21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CQ24" i="1" s="1"/>
  <c r="P24" i="1" s="1"/>
  <c r="AE24" i="1"/>
  <c r="AD24" i="1" s="1"/>
  <c r="CR24" i="1" s="1"/>
  <c r="Q24" i="1" s="1"/>
  <c r="AF24" i="1"/>
  <c r="AG24" i="1"/>
  <c r="CU24" i="1" s="1"/>
  <c r="T24" i="1" s="1"/>
  <c r="AH24" i="1"/>
  <c r="AI24" i="1"/>
  <c r="AJ24" i="1"/>
  <c r="CX24" i="1" s="1"/>
  <c r="W24" i="1" s="1"/>
  <c r="CS24" i="1"/>
  <c r="R24" i="1" s="1"/>
  <c r="GK24" i="1" s="1"/>
  <c r="CV24" i="1"/>
  <c r="U24" i="1" s="1"/>
  <c r="CW24" i="1"/>
  <c r="V24" i="1" s="1"/>
  <c r="FR24" i="1"/>
  <c r="GL24" i="1"/>
  <c r="GO24" i="1"/>
  <c r="GP24" i="1"/>
  <c r="GV24" i="1"/>
  <c r="GX24" i="1" s="1"/>
  <c r="C25" i="1"/>
  <c r="D25" i="1"/>
  <c r="AC25" i="1"/>
  <c r="AE25" i="1"/>
  <c r="H38" i="5" s="1"/>
  <c r="R38" i="5" s="1"/>
  <c r="AF25" i="1"/>
  <c r="AG25" i="1"/>
  <c r="AH25" i="1"/>
  <c r="CV25" i="1" s="1"/>
  <c r="U25" i="1" s="1"/>
  <c r="AI25" i="1"/>
  <c r="CW25" i="1" s="1"/>
  <c r="V25" i="1" s="1"/>
  <c r="AJ25" i="1"/>
  <c r="CX25" i="1" s="1"/>
  <c r="W25" i="1" s="1"/>
  <c r="CQ25" i="1"/>
  <c r="P25" i="1" s="1"/>
  <c r="CS25" i="1"/>
  <c r="R25" i="1" s="1"/>
  <c r="CU25" i="1"/>
  <c r="T25" i="1" s="1"/>
  <c r="FR25" i="1"/>
  <c r="GL25" i="1"/>
  <c r="GO25" i="1"/>
  <c r="GP25" i="1"/>
  <c r="GV25" i="1"/>
  <c r="GX25" i="1" s="1"/>
  <c r="C26" i="1"/>
  <c r="D26" i="1"/>
  <c r="AC26" i="1"/>
  <c r="H47" i="5" s="1"/>
  <c r="AD26" i="1"/>
  <c r="AE26" i="1"/>
  <c r="H46" i="5" s="1"/>
  <c r="R46" i="5" s="1"/>
  <c r="AF26" i="1"/>
  <c r="AG26" i="1"/>
  <c r="AH26" i="1"/>
  <c r="CV26" i="1" s="1"/>
  <c r="U26" i="1" s="1"/>
  <c r="AI26" i="1"/>
  <c r="AJ26" i="1"/>
  <c r="CX26" i="1" s="1"/>
  <c r="W26" i="1" s="1"/>
  <c r="CQ26" i="1"/>
  <c r="P26" i="1" s="1"/>
  <c r="K47" i="5" s="1"/>
  <c r="CS26" i="1"/>
  <c r="R26" i="1" s="1"/>
  <c r="CU26" i="1"/>
  <c r="T26" i="1" s="1"/>
  <c r="CW26" i="1"/>
  <c r="V26" i="1" s="1"/>
  <c r="FR26" i="1"/>
  <c r="GL26" i="1"/>
  <c r="GO26" i="1"/>
  <c r="GP26" i="1"/>
  <c r="GV26" i="1"/>
  <c r="GX26" i="1"/>
  <c r="C27" i="1"/>
  <c r="D27" i="1"/>
  <c r="AC27" i="1"/>
  <c r="H56" i="5" s="1"/>
  <c r="AE27" i="1"/>
  <c r="H55" i="5" s="1"/>
  <c r="R55" i="5" s="1"/>
  <c r="AF27" i="1"/>
  <c r="AG27" i="1"/>
  <c r="AH27" i="1"/>
  <c r="CV27" i="1" s="1"/>
  <c r="U27" i="1" s="1"/>
  <c r="AI27" i="1"/>
  <c r="AJ27" i="1"/>
  <c r="CX27" i="1" s="1"/>
  <c r="W27" i="1" s="1"/>
  <c r="CQ27" i="1"/>
  <c r="P27" i="1" s="1"/>
  <c r="K56" i="5" s="1"/>
  <c r="CS27" i="1"/>
  <c r="R27" i="1" s="1"/>
  <c r="CU27" i="1"/>
  <c r="T27" i="1" s="1"/>
  <c r="CW27" i="1"/>
  <c r="V27" i="1" s="1"/>
  <c r="FR27" i="1"/>
  <c r="GL27" i="1"/>
  <c r="GO27" i="1"/>
  <c r="GP27" i="1"/>
  <c r="GV27" i="1"/>
  <c r="GX27" i="1" s="1"/>
  <c r="C28" i="1"/>
  <c r="D28" i="1"/>
  <c r="AC28" i="1"/>
  <c r="H65" i="5" s="1"/>
  <c r="AE28" i="1"/>
  <c r="H64" i="5" s="1"/>
  <c r="R64" i="5" s="1"/>
  <c r="AF28" i="1"/>
  <c r="AG28" i="1"/>
  <c r="AH28" i="1"/>
  <c r="CV28" i="1" s="1"/>
  <c r="U28" i="1" s="1"/>
  <c r="AI28" i="1"/>
  <c r="CW28" i="1" s="1"/>
  <c r="V28" i="1" s="1"/>
  <c r="AJ28" i="1"/>
  <c r="CX28" i="1" s="1"/>
  <c r="W28" i="1" s="1"/>
  <c r="CQ28" i="1"/>
  <c r="P28" i="1" s="1"/>
  <c r="CU28" i="1"/>
  <c r="T28" i="1" s="1"/>
  <c r="FR28" i="1"/>
  <c r="GL28" i="1"/>
  <c r="GO28" i="1"/>
  <c r="GP28" i="1"/>
  <c r="GV28" i="1"/>
  <c r="GX28" i="1" s="1"/>
  <c r="I29" i="1"/>
  <c r="E69" i="5" s="1"/>
  <c r="AC29" i="1"/>
  <c r="AE29" i="1"/>
  <c r="AF29" i="1"/>
  <c r="AG29" i="1"/>
  <c r="CU29" i="1" s="1"/>
  <c r="AH29" i="1"/>
  <c r="AI29" i="1"/>
  <c r="CW29" i="1" s="1"/>
  <c r="AJ29" i="1"/>
  <c r="CX29" i="1" s="1"/>
  <c r="W29" i="1" s="1"/>
  <c r="CV29" i="1"/>
  <c r="U29" i="1" s="1"/>
  <c r="FR29" i="1"/>
  <c r="GL29" i="1"/>
  <c r="GO29" i="1"/>
  <c r="GP29" i="1"/>
  <c r="GV29" i="1"/>
  <c r="GX29" i="1" s="1"/>
  <c r="I30" i="1"/>
  <c r="E70" i="5" s="1"/>
  <c r="AC30" i="1"/>
  <c r="AE30" i="1"/>
  <c r="AD30" i="1" s="1"/>
  <c r="AF30" i="1"/>
  <c r="AG30" i="1"/>
  <c r="AH30" i="1"/>
  <c r="CV30" i="1" s="1"/>
  <c r="U30" i="1" s="1"/>
  <c r="AI30" i="1"/>
  <c r="CW30" i="1" s="1"/>
  <c r="AJ30" i="1"/>
  <c r="CX30" i="1" s="1"/>
  <c r="CQ30" i="1"/>
  <c r="CU30" i="1"/>
  <c r="FR30" i="1"/>
  <c r="GL30" i="1"/>
  <c r="GO30" i="1"/>
  <c r="GP30" i="1"/>
  <c r="GV30" i="1"/>
  <c r="I31" i="1"/>
  <c r="E71" i="5" s="1"/>
  <c r="AC31" i="1"/>
  <c r="AE31" i="1"/>
  <c r="AF31" i="1"/>
  <c r="AG31" i="1"/>
  <c r="CU31" i="1" s="1"/>
  <c r="T31" i="1" s="1"/>
  <c r="AH31" i="1"/>
  <c r="AI31" i="1"/>
  <c r="CW31" i="1" s="1"/>
  <c r="V31" i="1" s="1"/>
  <c r="AJ31" i="1"/>
  <c r="CX31" i="1" s="1"/>
  <c r="W31" i="1" s="1"/>
  <c r="CV31" i="1"/>
  <c r="U31" i="1" s="1"/>
  <c r="FR31" i="1"/>
  <c r="GL31" i="1"/>
  <c r="GO31" i="1"/>
  <c r="GP31" i="1"/>
  <c r="GV31" i="1"/>
  <c r="GX31" i="1" s="1"/>
  <c r="I32" i="1"/>
  <c r="E72" i="5" s="1"/>
  <c r="AC32" i="1"/>
  <c r="AE32" i="1"/>
  <c r="AD32" i="1" s="1"/>
  <c r="CR32" i="1" s="1"/>
  <c r="AF32" i="1"/>
  <c r="AG32" i="1"/>
  <c r="CU32" i="1" s="1"/>
  <c r="T32" i="1" s="1"/>
  <c r="AH32" i="1"/>
  <c r="CV32" i="1" s="1"/>
  <c r="AI32" i="1"/>
  <c r="CW32" i="1" s="1"/>
  <c r="V32" i="1" s="1"/>
  <c r="AJ32" i="1"/>
  <c r="CX32" i="1" s="1"/>
  <c r="W32" i="1" s="1"/>
  <c r="CS32" i="1"/>
  <c r="R32" i="1" s="1"/>
  <c r="GK32" i="1" s="1"/>
  <c r="FR32" i="1"/>
  <c r="GL32" i="1"/>
  <c r="GO32" i="1"/>
  <c r="GP32" i="1"/>
  <c r="GV32" i="1"/>
  <c r="GX32" i="1"/>
  <c r="C33" i="1"/>
  <c r="D33" i="1"/>
  <c r="AC33" i="1"/>
  <c r="AE33" i="1"/>
  <c r="AF33" i="1"/>
  <c r="AG33" i="1"/>
  <c r="CU33" i="1" s="1"/>
  <c r="T33" i="1" s="1"/>
  <c r="AH33" i="1"/>
  <c r="CV33" i="1" s="1"/>
  <c r="U33" i="1" s="1"/>
  <c r="AI33" i="1"/>
  <c r="AJ33" i="1"/>
  <c r="CX33" i="1" s="1"/>
  <c r="W33" i="1" s="1"/>
  <c r="CS33" i="1"/>
  <c r="R33" i="1" s="1"/>
  <c r="CT33" i="1"/>
  <c r="S33" i="1" s="1"/>
  <c r="K75" i="5" s="1"/>
  <c r="CW33" i="1"/>
  <c r="V33" i="1" s="1"/>
  <c r="FR33" i="1"/>
  <c r="GL33" i="1"/>
  <c r="GO33" i="1"/>
  <c r="GP33" i="1"/>
  <c r="GV33" i="1"/>
  <c r="GX33" i="1" s="1"/>
  <c r="I34" i="1"/>
  <c r="E82" i="5" s="1"/>
  <c r="AC34" i="1"/>
  <c r="AE34" i="1"/>
  <c r="AD34" i="1" s="1"/>
  <c r="AF34" i="1"/>
  <c r="AG34" i="1"/>
  <c r="AH34" i="1"/>
  <c r="CV34" i="1" s="1"/>
  <c r="U34" i="1" s="1"/>
  <c r="AI34" i="1"/>
  <c r="AJ34" i="1"/>
  <c r="CX34" i="1" s="1"/>
  <c r="CR34" i="1"/>
  <c r="Q34" i="1" s="1"/>
  <c r="CS34" i="1"/>
  <c r="CU34" i="1"/>
  <c r="CW34" i="1"/>
  <c r="V34" i="1" s="1"/>
  <c r="FR34" i="1"/>
  <c r="GL34" i="1"/>
  <c r="GO34" i="1"/>
  <c r="GP34" i="1"/>
  <c r="GV34" i="1"/>
  <c r="GX34" i="1" s="1"/>
  <c r="I35" i="1"/>
  <c r="E83" i="5" s="1"/>
  <c r="AC35" i="1"/>
  <c r="AE35" i="1"/>
  <c r="CS35" i="1" s="1"/>
  <c r="AF35" i="1"/>
  <c r="AG35" i="1"/>
  <c r="AH35" i="1"/>
  <c r="AI35" i="1"/>
  <c r="CW35" i="1" s="1"/>
  <c r="AJ35" i="1"/>
  <c r="CX35" i="1" s="1"/>
  <c r="W35" i="1" s="1"/>
  <c r="CT35" i="1"/>
  <c r="S35" i="1" s="1"/>
  <c r="CU35" i="1"/>
  <c r="T35" i="1" s="1"/>
  <c r="CV35" i="1"/>
  <c r="U35" i="1" s="1"/>
  <c r="FR35" i="1"/>
  <c r="GL35" i="1"/>
  <c r="GO35" i="1"/>
  <c r="GP35" i="1"/>
  <c r="GV35" i="1"/>
  <c r="GX35" i="1" s="1"/>
  <c r="C36" i="1"/>
  <c r="D36" i="1"/>
  <c r="AC36" i="1"/>
  <c r="CQ36" i="1" s="1"/>
  <c r="P36" i="1" s="1"/>
  <c r="AD36" i="1"/>
  <c r="CR36" i="1" s="1"/>
  <c r="Q36" i="1" s="1"/>
  <c r="AE36" i="1"/>
  <c r="AF36" i="1"/>
  <c r="AG36" i="1"/>
  <c r="CU36" i="1" s="1"/>
  <c r="T36" i="1" s="1"/>
  <c r="AH36" i="1"/>
  <c r="CV36" i="1" s="1"/>
  <c r="U36" i="1" s="1"/>
  <c r="AI36" i="1"/>
  <c r="AJ36" i="1"/>
  <c r="CS36" i="1"/>
  <c r="R36" i="1" s="1"/>
  <c r="CT36" i="1"/>
  <c r="S36" i="1" s="1"/>
  <c r="K86" i="5" s="1"/>
  <c r="CW36" i="1"/>
  <c r="V36" i="1" s="1"/>
  <c r="CX36" i="1"/>
  <c r="W36" i="1" s="1"/>
  <c r="FR36" i="1"/>
  <c r="GK36" i="1"/>
  <c r="GL36" i="1"/>
  <c r="GO36" i="1"/>
  <c r="GP36" i="1"/>
  <c r="GV36" i="1"/>
  <c r="GX36" i="1" s="1"/>
  <c r="C37" i="1"/>
  <c r="D37" i="1"/>
  <c r="AC37" i="1"/>
  <c r="H95" i="5" s="1"/>
  <c r="AE37" i="1"/>
  <c r="AF37" i="1"/>
  <c r="AG37" i="1"/>
  <c r="AH37" i="1"/>
  <c r="CV37" i="1" s="1"/>
  <c r="U37" i="1" s="1"/>
  <c r="AI37" i="1"/>
  <c r="CW37" i="1" s="1"/>
  <c r="V37" i="1" s="1"/>
  <c r="AJ37" i="1"/>
  <c r="CX37" i="1" s="1"/>
  <c r="W37" i="1" s="1"/>
  <c r="CQ37" i="1"/>
  <c r="P37" i="1" s="1"/>
  <c r="K95" i="5" s="1"/>
  <c r="CU37" i="1"/>
  <c r="T37" i="1" s="1"/>
  <c r="FR37" i="1"/>
  <c r="GL37" i="1"/>
  <c r="GO37" i="1"/>
  <c r="GP37" i="1"/>
  <c r="GV37" i="1"/>
  <c r="GX37" i="1" s="1"/>
  <c r="I38" i="1"/>
  <c r="E99" i="5" s="1"/>
  <c r="AC38" i="1"/>
  <c r="AE38" i="1"/>
  <c r="CS38" i="1" s="1"/>
  <c r="R38" i="1" s="1"/>
  <c r="GK38" i="1" s="1"/>
  <c r="AF38" i="1"/>
  <c r="AG38" i="1"/>
  <c r="CU38" i="1" s="1"/>
  <c r="T38" i="1" s="1"/>
  <c r="AH38" i="1"/>
  <c r="CV38" i="1" s="1"/>
  <c r="AI38" i="1"/>
  <c r="CW38" i="1" s="1"/>
  <c r="V38" i="1" s="1"/>
  <c r="AJ38" i="1"/>
  <c r="CQ38" i="1"/>
  <c r="P38" i="1" s="1"/>
  <c r="CT38" i="1"/>
  <c r="CX38" i="1"/>
  <c r="W38" i="1" s="1"/>
  <c r="FR38" i="1"/>
  <c r="GL38" i="1"/>
  <c r="GO38" i="1"/>
  <c r="GP38" i="1"/>
  <c r="GV38" i="1"/>
  <c r="GX38" i="1" s="1"/>
  <c r="I39" i="1"/>
  <c r="AC39" i="1"/>
  <c r="AE39" i="1"/>
  <c r="AD39" i="1" s="1"/>
  <c r="CR39" i="1" s="1"/>
  <c r="Q39" i="1" s="1"/>
  <c r="AF39" i="1"/>
  <c r="AG39" i="1"/>
  <c r="CU39" i="1" s="1"/>
  <c r="AH39" i="1"/>
  <c r="CV39" i="1" s="1"/>
  <c r="U39" i="1" s="1"/>
  <c r="AI39" i="1"/>
  <c r="AJ39" i="1"/>
  <c r="CX39" i="1" s="1"/>
  <c r="W39" i="1" s="1"/>
  <c r="CS39" i="1"/>
  <c r="R39" i="1" s="1"/>
  <c r="GK39" i="1" s="1"/>
  <c r="CT39" i="1"/>
  <c r="S39" i="1" s="1"/>
  <c r="CW39" i="1"/>
  <c r="V39" i="1" s="1"/>
  <c r="FR39" i="1"/>
  <c r="GL39" i="1"/>
  <c r="GO39" i="1"/>
  <c r="GP39" i="1"/>
  <c r="GV39" i="1"/>
  <c r="C40" i="1"/>
  <c r="D40" i="1"/>
  <c r="AC40" i="1"/>
  <c r="H106" i="5" s="1"/>
  <c r="AE40" i="1"/>
  <c r="AF40" i="1"/>
  <c r="AG40" i="1"/>
  <c r="AH40" i="1"/>
  <c r="CV40" i="1" s="1"/>
  <c r="U40" i="1" s="1"/>
  <c r="AI40" i="1"/>
  <c r="CW40" i="1" s="1"/>
  <c r="V40" i="1" s="1"/>
  <c r="AJ40" i="1"/>
  <c r="CX40" i="1" s="1"/>
  <c r="W40" i="1" s="1"/>
  <c r="CU40" i="1"/>
  <c r="T40" i="1" s="1"/>
  <c r="FR40" i="1"/>
  <c r="GL40" i="1"/>
  <c r="GO40" i="1"/>
  <c r="GP40" i="1"/>
  <c r="GV40" i="1"/>
  <c r="GX40" i="1" s="1"/>
  <c r="I41" i="1"/>
  <c r="E110" i="5" s="1"/>
  <c r="AC41" i="1"/>
  <c r="AE41" i="1"/>
  <c r="CS41" i="1" s="1"/>
  <c r="R41" i="1" s="1"/>
  <c r="GK41" i="1" s="1"/>
  <c r="AF41" i="1"/>
  <c r="AG41" i="1"/>
  <c r="AH41" i="1"/>
  <c r="CV41" i="1" s="1"/>
  <c r="U41" i="1" s="1"/>
  <c r="AI41" i="1"/>
  <c r="CW41" i="1" s="1"/>
  <c r="V41" i="1" s="1"/>
  <c r="AJ41" i="1"/>
  <c r="CQ41" i="1"/>
  <c r="P41" i="1" s="1"/>
  <c r="CT41" i="1"/>
  <c r="S41" i="1" s="1"/>
  <c r="CU41" i="1"/>
  <c r="T41" i="1" s="1"/>
  <c r="CX41" i="1"/>
  <c r="W41" i="1" s="1"/>
  <c r="FR41" i="1"/>
  <c r="GL41" i="1"/>
  <c r="GO41" i="1"/>
  <c r="GP41" i="1"/>
  <c r="GV41" i="1"/>
  <c r="GX41" i="1" s="1"/>
  <c r="I42" i="1"/>
  <c r="AC42" i="1"/>
  <c r="AD42" i="1"/>
  <c r="CR42" i="1" s="1"/>
  <c r="Q42" i="1" s="1"/>
  <c r="AE42" i="1"/>
  <c r="AF42" i="1"/>
  <c r="AG42" i="1"/>
  <c r="AH42" i="1"/>
  <c r="CV42" i="1" s="1"/>
  <c r="U42" i="1" s="1"/>
  <c r="AI42" i="1"/>
  <c r="AJ42" i="1"/>
  <c r="CQ42" i="1"/>
  <c r="P42" i="1" s="1"/>
  <c r="CS42" i="1"/>
  <c r="R42" i="1" s="1"/>
  <c r="GK42" i="1" s="1"/>
  <c r="CU42" i="1"/>
  <c r="T42" i="1" s="1"/>
  <c r="CW42" i="1"/>
  <c r="V42" i="1" s="1"/>
  <c r="CX42" i="1"/>
  <c r="FR42" i="1"/>
  <c r="GL42" i="1"/>
  <c r="GO42" i="1"/>
  <c r="GP42" i="1"/>
  <c r="GV42" i="1"/>
  <c r="GX42" i="1"/>
  <c r="C43" i="1"/>
  <c r="D43" i="1"/>
  <c r="AC43" i="1"/>
  <c r="H117" i="5" s="1"/>
  <c r="AD43" i="1"/>
  <c r="AE43" i="1"/>
  <c r="H116" i="5" s="1"/>
  <c r="R116" i="5" s="1"/>
  <c r="AF43" i="1"/>
  <c r="AG43" i="1"/>
  <c r="AH43" i="1"/>
  <c r="CV43" i="1" s="1"/>
  <c r="U43" i="1" s="1"/>
  <c r="AI43" i="1"/>
  <c r="AJ43" i="1"/>
  <c r="CQ43" i="1"/>
  <c r="P43" i="1" s="1"/>
  <c r="CS43" i="1"/>
  <c r="R43" i="1" s="1"/>
  <c r="K116" i="5" s="1"/>
  <c r="CU43" i="1"/>
  <c r="T43" i="1" s="1"/>
  <c r="CW43" i="1"/>
  <c r="V43" i="1" s="1"/>
  <c r="CX43" i="1"/>
  <c r="W43" i="1" s="1"/>
  <c r="FR43" i="1"/>
  <c r="GK43" i="1"/>
  <c r="GL43" i="1"/>
  <c r="GO43" i="1"/>
  <c r="GP43" i="1"/>
  <c r="GV43" i="1"/>
  <c r="GX43" i="1" s="1"/>
  <c r="I44" i="1"/>
  <c r="AC44" i="1"/>
  <c r="AE44" i="1"/>
  <c r="AD44" i="1" s="1"/>
  <c r="CR44" i="1" s="1"/>
  <c r="Q44" i="1" s="1"/>
  <c r="AF44" i="1"/>
  <c r="AG44" i="1"/>
  <c r="CU44" i="1" s="1"/>
  <c r="T44" i="1" s="1"/>
  <c r="AH44" i="1"/>
  <c r="AI44" i="1"/>
  <c r="AJ44" i="1"/>
  <c r="CX44" i="1" s="1"/>
  <c r="CS44" i="1"/>
  <c r="R44" i="1" s="1"/>
  <c r="GK44" i="1" s="1"/>
  <c r="CV44" i="1"/>
  <c r="CW44" i="1"/>
  <c r="V44" i="1" s="1"/>
  <c r="FR44" i="1"/>
  <c r="GL44" i="1"/>
  <c r="GO44" i="1"/>
  <c r="GP44" i="1"/>
  <c r="GV44" i="1"/>
  <c r="I45" i="1"/>
  <c r="E122" i="5" s="1"/>
  <c r="AC45" i="1"/>
  <c r="AE45" i="1"/>
  <c r="AD45" i="1" s="1"/>
  <c r="CR45" i="1" s="1"/>
  <c r="Q45" i="1" s="1"/>
  <c r="AF45" i="1"/>
  <c r="AG45" i="1"/>
  <c r="AH45" i="1"/>
  <c r="AI45" i="1"/>
  <c r="CW45" i="1" s="1"/>
  <c r="V45" i="1" s="1"/>
  <c r="AJ45" i="1"/>
  <c r="CX45" i="1" s="1"/>
  <c r="CQ45" i="1"/>
  <c r="P45" i="1" s="1"/>
  <c r="CU45" i="1"/>
  <c r="T45" i="1" s="1"/>
  <c r="CV45" i="1"/>
  <c r="FR45" i="1"/>
  <c r="GL45" i="1"/>
  <c r="GO45" i="1"/>
  <c r="GP45" i="1"/>
  <c r="GV45" i="1"/>
  <c r="GX45" i="1" s="1"/>
  <c r="C46" i="1"/>
  <c r="D46" i="1"/>
  <c r="AC46" i="1"/>
  <c r="H128" i="5" s="1"/>
  <c r="AE46" i="1"/>
  <c r="H127" i="5" s="1"/>
  <c r="R127" i="5" s="1"/>
  <c r="AF46" i="1"/>
  <c r="AG46" i="1"/>
  <c r="CU46" i="1" s="1"/>
  <c r="T46" i="1" s="1"/>
  <c r="AH46" i="1"/>
  <c r="CV46" i="1" s="1"/>
  <c r="U46" i="1" s="1"/>
  <c r="AI46" i="1"/>
  <c r="AJ46" i="1"/>
  <c r="CQ46" i="1"/>
  <c r="P46" i="1" s="1"/>
  <c r="CT46" i="1"/>
  <c r="S46" i="1" s="1"/>
  <c r="CW46" i="1"/>
  <c r="V46" i="1" s="1"/>
  <c r="CX46" i="1"/>
  <c r="W46" i="1" s="1"/>
  <c r="FR46" i="1"/>
  <c r="GL46" i="1"/>
  <c r="GO46" i="1"/>
  <c r="GP46" i="1"/>
  <c r="GV46" i="1"/>
  <c r="GX46" i="1"/>
  <c r="I47" i="1"/>
  <c r="E132" i="5" s="1"/>
  <c r="R47" i="1"/>
  <c r="GK47" i="1" s="1"/>
  <c r="AC47" i="1"/>
  <c r="AE47" i="1"/>
  <c r="AD47" i="1" s="1"/>
  <c r="CR47" i="1" s="1"/>
  <c r="Q47" i="1" s="1"/>
  <c r="AF47" i="1"/>
  <c r="AG47" i="1"/>
  <c r="CU47" i="1" s="1"/>
  <c r="T47" i="1" s="1"/>
  <c r="AH47" i="1"/>
  <c r="AI47" i="1"/>
  <c r="AJ47" i="1"/>
  <c r="CX47" i="1" s="1"/>
  <c r="W47" i="1" s="1"/>
  <c r="CS47" i="1"/>
  <c r="CV47" i="1"/>
  <c r="U47" i="1" s="1"/>
  <c r="CW47" i="1"/>
  <c r="V47" i="1" s="1"/>
  <c r="FR47" i="1"/>
  <c r="GL47" i="1"/>
  <c r="GO47" i="1"/>
  <c r="GP47" i="1"/>
  <c r="GV47" i="1"/>
  <c r="GX47" i="1" s="1"/>
  <c r="I48" i="1"/>
  <c r="E133" i="5" s="1"/>
  <c r="AC48" i="1"/>
  <c r="CQ48" i="1" s="1"/>
  <c r="P48" i="1" s="1"/>
  <c r="AE48" i="1"/>
  <c r="AD48" i="1" s="1"/>
  <c r="AF48" i="1"/>
  <c r="AG48" i="1"/>
  <c r="AH48" i="1"/>
  <c r="CV48" i="1" s="1"/>
  <c r="U48" i="1" s="1"/>
  <c r="AI48" i="1"/>
  <c r="CW48" i="1" s="1"/>
  <c r="AJ48" i="1"/>
  <c r="CX48" i="1" s="1"/>
  <c r="CS48" i="1"/>
  <c r="R48" i="1" s="1"/>
  <c r="GK48" i="1" s="1"/>
  <c r="CU48" i="1"/>
  <c r="T48" i="1" s="1"/>
  <c r="FR48" i="1"/>
  <c r="GL48" i="1"/>
  <c r="GO48" i="1"/>
  <c r="GP48" i="1"/>
  <c r="GV48" i="1"/>
  <c r="GX48" i="1" s="1"/>
  <c r="C49" i="1"/>
  <c r="D49" i="1"/>
  <c r="AC49" i="1"/>
  <c r="AE49" i="1"/>
  <c r="AF49" i="1"/>
  <c r="AG49" i="1"/>
  <c r="CU49" i="1" s="1"/>
  <c r="T49" i="1" s="1"/>
  <c r="AH49" i="1"/>
  <c r="AI49" i="1"/>
  <c r="CW49" i="1" s="1"/>
  <c r="V49" i="1" s="1"/>
  <c r="AJ49" i="1"/>
  <c r="CS49" i="1"/>
  <c r="R49" i="1" s="1"/>
  <c r="CT49" i="1"/>
  <c r="S49" i="1" s="1"/>
  <c r="K136" i="5" s="1"/>
  <c r="CV49" i="1"/>
  <c r="U49" i="1" s="1"/>
  <c r="CX49" i="1"/>
  <c r="W49" i="1" s="1"/>
  <c r="FR49" i="1"/>
  <c r="GL49" i="1"/>
  <c r="GO49" i="1"/>
  <c r="GP49" i="1"/>
  <c r="CD53" i="1" s="1"/>
  <c r="CD22" i="1" s="1"/>
  <c r="GV49" i="1"/>
  <c r="GX49" i="1"/>
  <c r="I50" i="1"/>
  <c r="E143" i="5" s="1"/>
  <c r="AC50" i="1"/>
  <c r="H143" i="5" s="1"/>
  <c r="W143" i="5" s="1"/>
  <c r="AE50" i="1"/>
  <c r="AD50" i="1" s="1"/>
  <c r="AF50" i="1"/>
  <c r="AG50" i="1"/>
  <c r="AH50" i="1"/>
  <c r="AI50" i="1"/>
  <c r="AJ50" i="1"/>
  <c r="CX50" i="1" s="1"/>
  <c r="W50" i="1" s="1"/>
  <c r="CS50" i="1"/>
  <c r="R50" i="1" s="1"/>
  <c r="GK50" i="1" s="1"/>
  <c r="CU50" i="1"/>
  <c r="T50" i="1" s="1"/>
  <c r="CV50" i="1"/>
  <c r="U50" i="1" s="1"/>
  <c r="CW50" i="1"/>
  <c r="V50" i="1" s="1"/>
  <c r="FR50" i="1"/>
  <c r="BY53" i="1" s="1"/>
  <c r="GL50" i="1"/>
  <c r="GO50" i="1"/>
  <c r="GP50" i="1"/>
  <c r="GV50" i="1"/>
  <c r="GX50" i="1" s="1"/>
  <c r="I51" i="1"/>
  <c r="E144" i="5" s="1"/>
  <c r="AC51" i="1"/>
  <c r="AE51" i="1"/>
  <c r="CS51" i="1" s="1"/>
  <c r="R51" i="1" s="1"/>
  <c r="GK51" i="1" s="1"/>
  <c r="AF51" i="1"/>
  <c r="AG51" i="1"/>
  <c r="AH51" i="1"/>
  <c r="AI51" i="1"/>
  <c r="CW51" i="1" s="1"/>
  <c r="V51" i="1" s="1"/>
  <c r="AJ51" i="1"/>
  <c r="CQ51" i="1"/>
  <c r="P51" i="1" s="1"/>
  <c r="CT51" i="1"/>
  <c r="CU51" i="1"/>
  <c r="T51" i="1" s="1"/>
  <c r="CV51" i="1"/>
  <c r="CX51" i="1"/>
  <c r="W51" i="1" s="1"/>
  <c r="FR51" i="1"/>
  <c r="GL51" i="1"/>
  <c r="GO51" i="1"/>
  <c r="GP51" i="1"/>
  <c r="GV51" i="1"/>
  <c r="B53" i="1"/>
  <c r="B22" i="1" s="1"/>
  <c r="C53" i="1"/>
  <c r="C22" i="1" s="1"/>
  <c r="D53" i="1"/>
  <c r="D22" i="1" s="1"/>
  <c r="F53" i="1"/>
  <c r="F22" i="1" s="1"/>
  <c r="G53" i="1"/>
  <c r="BX53" i="1"/>
  <c r="BZ53" i="1"/>
  <c r="BZ22" i="1" s="1"/>
  <c r="CK53" i="1"/>
  <c r="CK22" i="1" s="1"/>
  <c r="CL53" i="1"/>
  <c r="CL22" i="1" s="1"/>
  <c r="B85" i="1"/>
  <c r="B18" i="1" s="1"/>
  <c r="C85" i="1"/>
  <c r="C18" i="1" s="1"/>
  <c r="D85" i="1"/>
  <c r="D18" i="1" s="1"/>
  <c r="F85" i="1"/>
  <c r="F18" i="1" s="1"/>
  <c r="G85" i="1"/>
  <c r="G18" i="1" s="1"/>
  <c r="K125" i="5" l="1"/>
  <c r="K65" i="5"/>
  <c r="L112" i="5"/>
  <c r="Q112" i="5" s="1"/>
  <c r="L109" i="5"/>
  <c r="L101" i="5"/>
  <c r="Q101" i="5" s="1"/>
  <c r="L98" i="5"/>
  <c r="L84" i="5"/>
  <c r="Q84" i="5" s="1"/>
  <c r="L81" i="5"/>
  <c r="GK27" i="1"/>
  <c r="K55" i="5"/>
  <c r="GX51" i="1"/>
  <c r="U51" i="1"/>
  <c r="S51" i="1"/>
  <c r="S144" i="5"/>
  <c r="U144" i="5"/>
  <c r="CQ50" i="1"/>
  <c r="P50" i="1" s="1"/>
  <c r="H136" i="5"/>
  <c r="R136" i="5" s="1"/>
  <c r="S135" i="5"/>
  <c r="U135" i="5"/>
  <c r="CQ49" i="1"/>
  <c r="P49" i="1" s="1"/>
  <c r="K139" i="5" s="1"/>
  <c r="H139" i="5"/>
  <c r="V48" i="1"/>
  <c r="CT47" i="1"/>
  <c r="S47" i="1" s="1"/>
  <c r="S132" i="5"/>
  <c r="U132" i="5"/>
  <c r="CQ47" i="1"/>
  <c r="H132" i="5"/>
  <c r="W132" i="5" s="1"/>
  <c r="K128" i="5"/>
  <c r="AB45" i="1"/>
  <c r="AB44" i="1"/>
  <c r="GX44" i="1"/>
  <c r="E121" i="5"/>
  <c r="L123" i="5"/>
  <c r="Q123" i="5" s="1"/>
  <c r="L120" i="5"/>
  <c r="U113" i="5"/>
  <c r="H114" i="5"/>
  <c r="S113" i="5"/>
  <c r="CR43" i="1"/>
  <c r="Q43" i="1" s="1"/>
  <c r="K115" i="5" s="1"/>
  <c r="H115" i="5"/>
  <c r="U111" i="5"/>
  <c r="S111" i="5"/>
  <c r="CT40" i="1"/>
  <c r="S40" i="1" s="1"/>
  <c r="U102" i="5"/>
  <c r="H103" i="5"/>
  <c r="R103" i="5" s="1"/>
  <c r="S102" i="5"/>
  <c r="CQ39" i="1"/>
  <c r="H100" i="5"/>
  <c r="W100" i="5" s="1"/>
  <c r="CS37" i="1"/>
  <c r="R37" i="1" s="1"/>
  <c r="H94" i="5"/>
  <c r="R94" i="5" s="1"/>
  <c r="L90" i="5"/>
  <c r="Q90" i="5" s="1"/>
  <c r="L89" i="5"/>
  <c r="U85" i="5"/>
  <c r="H88" i="5" s="1"/>
  <c r="H86" i="5"/>
  <c r="S85" i="5"/>
  <c r="H87" i="5" s="1"/>
  <c r="S83" i="5"/>
  <c r="U83" i="5"/>
  <c r="CT34" i="1"/>
  <c r="S82" i="5"/>
  <c r="U82" i="5"/>
  <c r="H82" i="5"/>
  <c r="W82" i="5" s="1"/>
  <c r="H75" i="5"/>
  <c r="S74" i="5"/>
  <c r="H79" i="5" s="1"/>
  <c r="U74" i="5"/>
  <c r="CQ33" i="1"/>
  <c r="P33" i="1" s="1"/>
  <c r="K78" i="5" s="1"/>
  <c r="H78" i="5"/>
  <c r="CQ32" i="1"/>
  <c r="P32" i="1" s="1"/>
  <c r="H72" i="5"/>
  <c r="W72" i="5" s="1"/>
  <c r="S71" i="5"/>
  <c r="U71" i="5"/>
  <c r="H70" i="5"/>
  <c r="W70" i="5" s="1"/>
  <c r="S69" i="5"/>
  <c r="U69" i="5"/>
  <c r="GK25" i="1"/>
  <c r="K38" i="5"/>
  <c r="L42" i="5"/>
  <c r="Q42" i="5" s="1"/>
  <c r="L41" i="5"/>
  <c r="CT25" i="1"/>
  <c r="S25" i="1" s="1"/>
  <c r="K36" i="5" s="1"/>
  <c r="U35" i="5"/>
  <c r="H40" i="5" s="1"/>
  <c r="H36" i="5"/>
  <c r="S35" i="5"/>
  <c r="H39" i="5" s="1"/>
  <c r="AD25" i="1"/>
  <c r="H37" i="5" s="1"/>
  <c r="AB24" i="1"/>
  <c r="G22" i="1"/>
  <c r="A146" i="5"/>
  <c r="CT50" i="1"/>
  <c r="S50" i="1" s="1"/>
  <c r="S143" i="5"/>
  <c r="U143" i="5"/>
  <c r="L142" i="5"/>
  <c r="L145" i="5"/>
  <c r="Q145" i="5" s="1"/>
  <c r="GK49" i="1"/>
  <c r="K138" i="5"/>
  <c r="AD49" i="1"/>
  <c r="H138" i="5"/>
  <c r="R138" i="5" s="1"/>
  <c r="CT48" i="1"/>
  <c r="S133" i="5"/>
  <c r="U133" i="5"/>
  <c r="H133" i="5"/>
  <c r="W133" i="5" s="1"/>
  <c r="CC53" i="1"/>
  <c r="AB47" i="1"/>
  <c r="CS46" i="1"/>
  <c r="R46" i="1" s="1"/>
  <c r="L134" i="5"/>
  <c r="Q134" i="5" s="1"/>
  <c r="L131" i="5"/>
  <c r="U124" i="5"/>
  <c r="H125" i="5"/>
  <c r="S124" i="5"/>
  <c r="H129" i="5" s="1"/>
  <c r="AD46" i="1"/>
  <c r="U45" i="1"/>
  <c r="CS45" i="1"/>
  <c r="R45" i="1" s="1"/>
  <c r="GK45" i="1" s="1"/>
  <c r="W45" i="1"/>
  <c r="CT45" i="1"/>
  <c r="S45" i="1" s="1"/>
  <c r="U122" i="5"/>
  <c r="S122" i="5"/>
  <c r="H122" i="5"/>
  <c r="W122" i="5" s="1"/>
  <c r="U44" i="1"/>
  <c r="W44" i="1"/>
  <c r="CT44" i="1"/>
  <c r="S44" i="1" s="1"/>
  <c r="U121" i="5"/>
  <c r="S121" i="5"/>
  <c r="CQ44" i="1"/>
  <c r="H121" i="5"/>
  <c r="W121" i="5" s="1"/>
  <c r="CT43" i="1"/>
  <c r="S43" i="1" s="1"/>
  <c r="CP43" i="1"/>
  <c r="O43" i="1" s="1"/>
  <c r="K117" i="5"/>
  <c r="CT42" i="1"/>
  <c r="S42" i="1" s="1"/>
  <c r="CZ42" i="1" s="1"/>
  <c r="Y42" i="1" s="1"/>
  <c r="V111" i="5" s="1"/>
  <c r="H111" i="5"/>
  <c r="W111" i="5" s="1"/>
  <c r="W42" i="1"/>
  <c r="E111" i="5"/>
  <c r="CY41" i="1"/>
  <c r="X41" i="1" s="1"/>
  <c r="T110" i="5" s="1"/>
  <c r="U110" i="5"/>
  <c r="S110" i="5"/>
  <c r="AD41" i="1"/>
  <c r="CR41" i="1" s="1"/>
  <c r="Q41" i="1" s="1"/>
  <c r="CQ40" i="1"/>
  <c r="P40" i="1" s="1"/>
  <c r="K106" i="5" s="1"/>
  <c r="CS40" i="1"/>
  <c r="R40" i="1" s="1"/>
  <c r="K105" i="5" s="1"/>
  <c r="H105" i="5"/>
  <c r="R105" i="5" s="1"/>
  <c r="AB39" i="1"/>
  <c r="U100" i="5"/>
  <c r="S100" i="5"/>
  <c r="GX39" i="1"/>
  <c r="E100" i="5"/>
  <c r="S38" i="1"/>
  <c r="CY38" i="1" s="1"/>
  <c r="X38" i="1" s="1"/>
  <c r="T99" i="5" s="1"/>
  <c r="U38" i="1"/>
  <c r="U99" i="5"/>
  <c r="S99" i="5"/>
  <c r="AD38" i="1"/>
  <c r="CR38" i="1" s="1"/>
  <c r="Q38" i="1" s="1"/>
  <c r="CP38" i="1" s="1"/>
  <c r="O38" i="1" s="1"/>
  <c r="CT37" i="1"/>
  <c r="S37" i="1" s="1"/>
  <c r="U91" i="5"/>
  <c r="H97" i="5" s="1"/>
  <c r="H92" i="5"/>
  <c r="R92" i="5" s="1"/>
  <c r="S91" i="5"/>
  <c r="H96" i="5" s="1"/>
  <c r="AD37" i="1"/>
  <c r="CQ35" i="1"/>
  <c r="P35" i="1" s="1"/>
  <c r="V35" i="1"/>
  <c r="R35" i="1"/>
  <c r="R34" i="1"/>
  <c r="GK34" i="1" s="1"/>
  <c r="CQ34" i="1"/>
  <c r="AB34" i="1"/>
  <c r="GK33" i="1"/>
  <c r="K77" i="5"/>
  <c r="AD33" i="1"/>
  <c r="H77" i="5"/>
  <c r="R77" i="5" s="1"/>
  <c r="CT32" i="1"/>
  <c r="S32" i="1" s="1"/>
  <c r="CY32" i="1" s="1"/>
  <c r="X32" i="1" s="1"/>
  <c r="T72" i="5" s="1"/>
  <c r="S72" i="5"/>
  <c r="U72" i="5"/>
  <c r="CT31" i="1"/>
  <c r="S31" i="1" s="1"/>
  <c r="CS30" i="1"/>
  <c r="R30" i="1" s="1"/>
  <c r="GK30" i="1" s="1"/>
  <c r="CT30" i="1"/>
  <c r="S70" i="5"/>
  <c r="U70" i="5"/>
  <c r="CT29" i="1"/>
  <c r="S29" i="1" s="1"/>
  <c r="V29" i="1"/>
  <c r="T29" i="1"/>
  <c r="CS28" i="1"/>
  <c r="R28" i="1" s="1"/>
  <c r="L73" i="5"/>
  <c r="Q73" i="5" s="1"/>
  <c r="L68" i="5"/>
  <c r="CT28" i="1"/>
  <c r="S28" i="1" s="1"/>
  <c r="K62" i="5" s="1"/>
  <c r="U61" i="5"/>
  <c r="H62" i="5"/>
  <c r="S61" i="5"/>
  <c r="AD28" i="1"/>
  <c r="L60" i="5"/>
  <c r="Q60" i="5" s="1"/>
  <c r="L59" i="5"/>
  <c r="CT27" i="1"/>
  <c r="S27" i="1" s="1"/>
  <c r="K53" i="5" s="1"/>
  <c r="U52" i="5"/>
  <c r="H58" i="5" s="1"/>
  <c r="H53" i="5"/>
  <c r="S52" i="5"/>
  <c r="H57" i="5" s="1"/>
  <c r="AD27" i="1"/>
  <c r="GK26" i="1"/>
  <c r="K46" i="5"/>
  <c r="L51" i="5"/>
  <c r="Q51" i="5" s="1"/>
  <c r="L50" i="5"/>
  <c r="CT26" i="1"/>
  <c r="S26" i="1" s="1"/>
  <c r="K44" i="5" s="1"/>
  <c r="H44" i="5"/>
  <c r="S43" i="5"/>
  <c r="H48" i="5" s="1"/>
  <c r="U43" i="5"/>
  <c r="H49" i="5" s="1"/>
  <c r="CR26" i="1"/>
  <c r="Q26" i="1" s="1"/>
  <c r="K45" i="5" s="1"/>
  <c r="H45" i="5"/>
  <c r="L34" i="5"/>
  <c r="Q34" i="5" s="1"/>
  <c r="L146" i="5" s="1"/>
  <c r="L33" i="5"/>
  <c r="CT24" i="1"/>
  <c r="S24" i="1" s="1"/>
  <c r="K30" i="5" s="1"/>
  <c r="H30" i="5"/>
  <c r="S29" i="5"/>
  <c r="H31" i="5" s="1"/>
  <c r="U29" i="5"/>
  <c r="H32" i="5" s="1"/>
  <c r="CP24" i="1"/>
  <c r="O24" i="1" s="1"/>
  <c r="BX22" i="1"/>
  <c r="AO53" i="1"/>
  <c r="CG53" i="1"/>
  <c r="CY50" i="1"/>
  <c r="X50" i="1" s="1"/>
  <c r="T143" i="5" s="1"/>
  <c r="CZ50" i="1"/>
  <c r="Y50" i="1" s="1"/>
  <c r="V143" i="5" s="1"/>
  <c r="CY51" i="1"/>
  <c r="X51" i="1" s="1"/>
  <c r="T144" i="5" s="1"/>
  <c r="CZ51" i="1"/>
  <c r="Y51" i="1" s="1"/>
  <c r="V144" i="5" s="1"/>
  <c r="CY47" i="1"/>
  <c r="X47" i="1" s="1"/>
  <c r="T132" i="5" s="1"/>
  <c r="CZ47" i="1"/>
  <c r="Y47" i="1" s="1"/>
  <c r="V132" i="5" s="1"/>
  <c r="CY49" i="1"/>
  <c r="X49" i="1" s="1"/>
  <c r="T135" i="5" s="1"/>
  <c r="K140" i="5" s="1"/>
  <c r="CZ49" i="1"/>
  <c r="Y49" i="1" s="1"/>
  <c r="V135" i="5" s="1"/>
  <c r="CC22" i="1"/>
  <c r="AT53" i="1"/>
  <c r="CR50" i="1"/>
  <c r="Q50" i="1" s="1"/>
  <c r="CP50" i="1" s="1"/>
  <c r="O50" i="1" s="1"/>
  <c r="K143" i="5" s="1"/>
  <c r="AB50" i="1"/>
  <c r="AB48" i="1"/>
  <c r="CR48" i="1"/>
  <c r="Q48" i="1" s="1"/>
  <c r="BY22" i="1"/>
  <c r="AP53" i="1"/>
  <c r="CI53" i="1"/>
  <c r="CZ44" i="1"/>
  <c r="Y44" i="1" s="1"/>
  <c r="V121" i="5" s="1"/>
  <c r="CY44" i="1"/>
  <c r="X44" i="1" s="1"/>
  <c r="T121" i="5" s="1"/>
  <c r="CP45" i="1"/>
  <c r="O45" i="1" s="1"/>
  <c r="K122" i="5" s="1"/>
  <c r="CR30" i="1"/>
  <c r="Q30" i="1" s="1"/>
  <c r="AB30" i="1"/>
  <c r="BC53" i="1"/>
  <c r="AU53" i="1"/>
  <c r="AQ53" i="1"/>
  <c r="AD51" i="1"/>
  <c r="CR51" i="1" s="1"/>
  <c r="Q51" i="1" s="1"/>
  <c r="CP51" i="1" s="1"/>
  <c r="O51" i="1" s="1"/>
  <c r="K144" i="5" s="1"/>
  <c r="AB49" i="1"/>
  <c r="AB46" i="1"/>
  <c r="CY45" i="1"/>
  <c r="X45" i="1" s="1"/>
  <c r="T122" i="5" s="1"/>
  <c r="AB43" i="1"/>
  <c r="CP42" i="1"/>
  <c r="O42" i="1" s="1"/>
  <c r="K111" i="5" s="1"/>
  <c r="AB42" i="1"/>
  <c r="CZ41" i="1"/>
  <c r="Y41" i="1" s="1"/>
  <c r="V110" i="5" s="1"/>
  <c r="CP41" i="1"/>
  <c r="O41" i="1" s="1"/>
  <c r="K110" i="5" s="1"/>
  <c r="CZ39" i="1"/>
  <c r="Y39" i="1" s="1"/>
  <c r="V100" i="5" s="1"/>
  <c r="CY39" i="1"/>
  <c r="X39" i="1" s="1"/>
  <c r="T100" i="5" s="1"/>
  <c r="CZ36" i="1"/>
  <c r="Y36" i="1" s="1"/>
  <c r="V85" i="5" s="1"/>
  <c r="K88" i="5" s="1"/>
  <c r="CY36" i="1"/>
  <c r="X36" i="1" s="1"/>
  <c r="T85" i="5" s="1"/>
  <c r="K87" i="5" s="1"/>
  <c r="J90" i="5" s="1"/>
  <c r="P90" i="5" s="1"/>
  <c r="CP36" i="1"/>
  <c r="O36" i="1" s="1"/>
  <c r="CZ27" i="1"/>
  <c r="Y27" i="1" s="1"/>
  <c r="V52" i="5" s="1"/>
  <c r="K58" i="5" s="1"/>
  <c r="CY27" i="1"/>
  <c r="X27" i="1" s="1"/>
  <c r="T52" i="5" s="1"/>
  <c r="K57" i="5" s="1"/>
  <c r="AB27" i="1"/>
  <c r="BB53" i="1"/>
  <c r="CY46" i="1"/>
  <c r="X46" i="1" s="1"/>
  <c r="CZ45" i="1"/>
  <c r="Y45" i="1" s="1"/>
  <c r="V122" i="5" s="1"/>
  <c r="CY43" i="1"/>
  <c r="X43" i="1" s="1"/>
  <c r="GK40" i="1"/>
  <c r="CY40" i="1"/>
  <c r="X40" i="1" s="1"/>
  <c r="T102" i="5" s="1"/>
  <c r="CZ33" i="1"/>
  <c r="Y33" i="1" s="1"/>
  <c r="V74" i="5" s="1"/>
  <c r="CY33" i="1"/>
  <c r="X33" i="1" s="1"/>
  <c r="T74" i="5" s="1"/>
  <c r="GX30" i="1"/>
  <c r="CJ53" i="1" s="1"/>
  <c r="V30" i="1"/>
  <c r="AI53" i="1" s="1"/>
  <c r="T30" i="1"/>
  <c r="CY42" i="1"/>
  <c r="X42" i="1" s="1"/>
  <c r="T111" i="5" s="1"/>
  <c r="W48" i="1"/>
  <c r="S48" i="1"/>
  <c r="P47" i="1"/>
  <c r="CP47" i="1" s="1"/>
  <c r="O47" i="1" s="1"/>
  <c r="K132" i="5" s="1"/>
  <c r="P44" i="1"/>
  <c r="CP44" i="1" s="1"/>
  <c r="O44" i="1" s="1"/>
  <c r="K121" i="5" s="1"/>
  <c r="AD40" i="1"/>
  <c r="H104" i="5" s="1"/>
  <c r="CZ38" i="1"/>
  <c r="Y38" i="1" s="1"/>
  <c r="CZ32" i="1"/>
  <c r="Y32" i="1" s="1"/>
  <c r="V72" i="5" s="1"/>
  <c r="AB41" i="1"/>
  <c r="T39" i="1"/>
  <c r="P39" i="1"/>
  <c r="CP39" i="1" s="1"/>
  <c r="O39" i="1" s="1"/>
  <c r="K100" i="5" s="1"/>
  <c r="AB36" i="1"/>
  <c r="AD35" i="1"/>
  <c r="CR35" i="1" s="1"/>
  <c r="Q35" i="1" s="1"/>
  <c r="CP35" i="1" s="1"/>
  <c r="O35" i="1" s="1"/>
  <c r="K83" i="5" s="1"/>
  <c r="T34" i="1"/>
  <c r="W34" i="1"/>
  <c r="S34" i="1"/>
  <c r="CQ29" i="1"/>
  <c r="P29" i="1" s="1"/>
  <c r="AB29" i="1"/>
  <c r="CZ28" i="1"/>
  <c r="Y28" i="1" s="1"/>
  <c r="V61" i="5" s="1"/>
  <c r="CY28" i="1"/>
  <c r="X28" i="1" s="1"/>
  <c r="T61" i="5" s="1"/>
  <c r="AB28" i="1"/>
  <c r="P30" i="1"/>
  <c r="AB38" i="1"/>
  <c r="P34" i="1"/>
  <c r="AB33" i="1"/>
  <c r="AB32" i="1"/>
  <c r="CS31" i="1"/>
  <c r="R31" i="1" s="1"/>
  <c r="GK31" i="1" s="1"/>
  <c r="AD31" i="1"/>
  <c r="CR31" i="1" s="1"/>
  <c r="Q31" i="1" s="1"/>
  <c r="U32" i="1"/>
  <c r="AH53" i="1" s="1"/>
  <c r="Q32" i="1"/>
  <c r="CP32" i="1" s="1"/>
  <c r="O32" i="1" s="1"/>
  <c r="K72" i="5" s="1"/>
  <c r="AD29" i="1"/>
  <c r="CR29" i="1" s="1"/>
  <c r="Q29" i="1" s="1"/>
  <c r="CS29" i="1"/>
  <c r="R29" i="1" s="1"/>
  <c r="CZ29" i="1" s="1"/>
  <c r="Y29" i="1" s="1"/>
  <c r="V69" i="5" s="1"/>
  <c r="CY26" i="1"/>
  <c r="X26" i="1" s="1"/>
  <c r="T43" i="5" s="1"/>
  <c r="K48" i="5" s="1"/>
  <c r="CZ26" i="1"/>
  <c r="Y26" i="1" s="1"/>
  <c r="V43" i="5" s="1"/>
  <c r="K49" i="5" s="1"/>
  <c r="AB26" i="1"/>
  <c r="CZ25" i="1"/>
  <c r="Y25" i="1" s="1"/>
  <c r="V35" i="5" s="1"/>
  <c r="K40" i="5" s="1"/>
  <c r="AB25" i="1"/>
  <c r="CR25" i="1"/>
  <c r="Q25" i="1" s="1"/>
  <c r="CQ31" i="1"/>
  <c r="P31" i="1" s="1"/>
  <c r="W30" i="1"/>
  <c r="AJ53" i="1" s="1"/>
  <c r="S30" i="1"/>
  <c r="CP26" i="1"/>
  <c r="O26" i="1" s="1"/>
  <c r="CY25" i="1"/>
  <c r="X25" i="1" s="1"/>
  <c r="T35" i="5" s="1"/>
  <c r="K39" i="5" s="1"/>
  <c r="CY24" i="1"/>
  <c r="X24" i="1" s="1"/>
  <c r="T29" i="5" s="1"/>
  <c r="K31" i="5" s="1"/>
  <c r="CZ24" i="1"/>
  <c r="Y24" i="1" s="1"/>
  <c r="V29" i="5" s="1"/>
  <c r="K32" i="5" s="1"/>
  <c r="K99" i="5" l="1"/>
  <c r="GN38" i="1"/>
  <c r="GM38" i="1"/>
  <c r="V99" i="5"/>
  <c r="CZ31" i="1"/>
  <c r="Y31" i="1" s="1"/>
  <c r="V71" i="5" s="1"/>
  <c r="K107" i="5"/>
  <c r="T113" i="5"/>
  <c r="K118" i="5" s="1"/>
  <c r="T124" i="5"/>
  <c r="CP48" i="1"/>
  <c r="O48" i="1" s="1"/>
  <c r="K133" i="5" s="1"/>
  <c r="J34" i="5"/>
  <c r="P34" i="5" s="1"/>
  <c r="J51" i="5"/>
  <c r="P51" i="5" s="1"/>
  <c r="CR28" i="1"/>
  <c r="Q28" i="1" s="1"/>
  <c r="H63" i="5"/>
  <c r="R62" i="5"/>
  <c r="CR33" i="1"/>
  <c r="Q33" i="1" s="1"/>
  <c r="H76" i="5"/>
  <c r="GK35" i="1"/>
  <c r="CY35" i="1"/>
  <c r="X35" i="1" s="1"/>
  <c r="T83" i="5" s="1"/>
  <c r="CR46" i="1"/>
  <c r="Q46" i="1" s="1"/>
  <c r="H126" i="5"/>
  <c r="R125" i="5"/>
  <c r="K127" i="5"/>
  <c r="GK46" i="1"/>
  <c r="CR49" i="1"/>
  <c r="Q49" i="1" s="1"/>
  <c r="H137" i="5"/>
  <c r="H69" i="5"/>
  <c r="W69" i="5" s="1"/>
  <c r="H71" i="5"/>
  <c r="W71" i="5" s="1"/>
  <c r="H83" i="5"/>
  <c r="W83" i="5" s="1"/>
  <c r="R86" i="5"/>
  <c r="G90" i="5"/>
  <c r="O90" i="5" s="1"/>
  <c r="W90" i="5"/>
  <c r="H99" i="5"/>
  <c r="W99" i="5" s="1"/>
  <c r="H107" i="5"/>
  <c r="G112" i="5" s="1"/>
  <c r="O112" i="5" s="1"/>
  <c r="H108" i="5"/>
  <c r="W112" i="5" s="1"/>
  <c r="H110" i="5"/>
  <c r="W110" i="5" s="1"/>
  <c r="R114" i="5"/>
  <c r="H141" i="5"/>
  <c r="H144" i="5"/>
  <c r="W144" i="5" s="1"/>
  <c r="CZ35" i="1"/>
  <c r="Y35" i="1" s="1"/>
  <c r="V83" i="5" s="1"/>
  <c r="CP25" i="1"/>
  <c r="O25" i="1" s="1"/>
  <c r="K37" i="5"/>
  <c r="CP34" i="1"/>
  <c r="O34" i="1" s="1"/>
  <c r="K82" i="5" s="1"/>
  <c r="AG53" i="1"/>
  <c r="K141" i="5"/>
  <c r="AB51" i="1"/>
  <c r="R30" i="5"/>
  <c r="G34" i="5"/>
  <c r="O34" i="5" s="1"/>
  <c r="W34" i="5"/>
  <c r="R44" i="5"/>
  <c r="W51" i="5"/>
  <c r="G51" i="5"/>
  <c r="O51" i="5" s="1"/>
  <c r="CR27" i="1"/>
  <c r="Q27" i="1" s="1"/>
  <c r="H54" i="5"/>
  <c r="R53" i="5"/>
  <c r="G60" i="5"/>
  <c r="O60" i="5" s="1"/>
  <c r="W60" i="5"/>
  <c r="H66" i="5"/>
  <c r="W73" i="5" s="1"/>
  <c r="H67" i="5"/>
  <c r="GK28" i="1"/>
  <c r="K64" i="5"/>
  <c r="AB37" i="1"/>
  <c r="H93" i="5"/>
  <c r="W101" i="5" s="1"/>
  <c r="CR37" i="1"/>
  <c r="Q37" i="1" s="1"/>
  <c r="K92" i="5"/>
  <c r="CY37" i="1"/>
  <c r="X37" i="1" s="1"/>
  <c r="T91" i="5" s="1"/>
  <c r="K96" i="5" s="1"/>
  <c r="CZ37" i="1"/>
  <c r="Y37" i="1" s="1"/>
  <c r="V91" i="5" s="1"/>
  <c r="K97" i="5" s="1"/>
  <c r="CZ43" i="1"/>
  <c r="Y43" i="1" s="1"/>
  <c r="V113" i="5" s="1"/>
  <c r="K119" i="5" s="1"/>
  <c r="K114" i="5"/>
  <c r="H130" i="5"/>
  <c r="W134" i="5" s="1"/>
  <c r="R36" i="5"/>
  <c r="W42" i="5"/>
  <c r="G42" i="5"/>
  <c r="O42" i="5" s="1"/>
  <c r="J42" i="5"/>
  <c r="P42" i="5" s="1"/>
  <c r="R75" i="5"/>
  <c r="H80" i="5"/>
  <c r="G84" i="5" s="1"/>
  <c r="O84" i="5" s="1"/>
  <c r="GK37" i="1"/>
  <c r="K94" i="5"/>
  <c r="K103" i="5"/>
  <c r="CZ40" i="1"/>
  <c r="Y40" i="1" s="1"/>
  <c r="V102" i="5" s="1"/>
  <c r="K108" i="5" s="1"/>
  <c r="H118" i="5"/>
  <c r="G123" i="5" s="1"/>
  <c r="O123" i="5" s="1"/>
  <c r="H119" i="5"/>
  <c r="H140" i="5"/>
  <c r="G145" i="5" s="1"/>
  <c r="O145" i="5" s="1"/>
  <c r="CZ46" i="1"/>
  <c r="Y46" i="1" s="1"/>
  <c r="V124" i="5" s="1"/>
  <c r="GN25" i="1"/>
  <c r="GM25" i="1"/>
  <c r="GM32" i="1"/>
  <c r="GN32" i="1"/>
  <c r="GM50" i="1"/>
  <c r="GN50" i="1"/>
  <c r="AG22" i="1"/>
  <c r="T53" i="1"/>
  <c r="GN35" i="1"/>
  <c r="GM35" i="1"/>
  <c r="GN51" i="1"/>
  <c r="GM51" i="1"/>
  <c r="AJ22" i="1"/>
  <c r="W53" i="1"/>
  <c r="GM44" i="1"/>
  <c r="GN44" i="1"/>
  <c r="GM45" i="1"/>
  <c r="GN45" i="1"/>
  <c r="CP31" i="1"/>
  <c r="O31" i="1" s="1"/>
  <c r="K71" i="5" s="1"/>
  <c r="AH22" i="1"/>
  <c r="U53" i="1"/>
  <c r="CZ30" i="1"/>
  <c r="Y30" i="1" s="1"/>
  <c r="V70" i="5" s="1"/>
  <c r="K67" i="5" s="1"/>
  <c r="CY30" i="1"/>
  <c r="X30" i="1" s="1"/>
  <c r="T70" i="5" s="1"/>
  <c r="AF53" i="1"/>
  <c r="CP30" i="1"/>
  <c r="O30" i="1" s="1"/>
  <c r="K70" i="5" s="1"/>
  <c r="GM39" i="1"/>
  <c r="GN39" i="1"/>
  <c r="AB40" i="1"/>
  <c r="CR40" i="1"/>
  <c r="Q40" i="1" s="1"/>
  <c r="CJ22" i="1"/>
  <c r="BA53" i="1"/>
  <c r="AQ22" i="1"/>
  <c r="AQ85" i="1"/>
  <c r="F63" i="1"/>
  <c r="GN43" i="1"/>
  <c r="GN24" i="1"/>
  <c r="BB22" i="1"/>
  <c r="BB85" i="1"/>
  <c r="F66" i="1"/>
  <c r="AU22" i="1"/>
  <c r="AU85" i="1"/>
  <c r="F72" i="1"/>
  <c r="CI22" i="1"/>
  <c r="AZ53" i="1"/>
  <c r="CG22" i="1"/>
  <c r="AX53" i="1"/>
  <c r="CP29" i="1"/>
  <c r="O29" i="1" s="1"/>
  <c r="K69" i="5" s="1"/>
  <c r="AC53" i="1"/>
  <c r="GM47" i="1"/>
  <c r="GN47" i="1"/>
  <c r="CY31" i="1"/>
  <c r="X31" i="1" s="1"/>
  <c r="T71" i="5" s="1"/>
  <c r="GM36" i="1"/>
  <c r="GN36" i="1"/>
  <c r="GM42" i="1"/>
  <c r="GN42" i="1"/>
  <c r="BC22" i="1"/>
  <c r="F69" i="1"/>
  <c r="BC85" i="1"/>
  <c r="AP22" i="1"/>
  <c r="AP85" i="1"/>
  <c r="F62" i="1"/>
  <c r="AO22" i="1"/>
  <c r="F57" i="1"/>
  <c r="AO85" i="1"/>
  <c r="GM26" i="1"/>
  <c r="GN26" i="1"/>
  <c r="AB31" i="1"/>
  <c r="GK29" i="1"/>
  <c r="AE53" i="1"/>
  <c r="GM24" i="1"/>
  <c r="CY29" i="1"/>
  <c r="X29" i="1" s="1"/>
  <c r="CY34" i="1"/>
  <c r="X34" i="1" s="1"/>
  <c r="T82" i="5" s="1"/>
  <c r="K79" i="5" s="1"/>
  <c r="CZ34" i="1"/>
  <c r="Y34" i="1" s="1"/>
  <c r="CZ48" i="1"/>
  <c r="Y48" i="1" s="1"/>
  <c r="CY48" i="1"/>
  <c r="X48" i="1" s="1"/>
  <c r="AI22" i="1"/>
  <c r="V53" i="1"/>
  <c r="AB35" i="1"/>
  <c r="GN41" i="1"/>
  <c r="GM41" i="1"/>
  <c r="AT22" i="1"/>
  <c r="AT85" i="1"/>
  <c r="F71" i="1"/>
  <c r="F16" i="2" l="1"/>
  <c r="F18" i="2" s="1"/>
  <c r="I20" i="5"/>
  <c r="GN34" i="1"/>
  <c r="V82" i="5"/>
  <c r="K80" i="5" s="1"/>
  <c r="GM48" i="1"/>
  <c r="V133" i="5"/>
  <c r="AK53" i="1"/>
  <c r="T69" i="5"/>
  <c r="K66" i="5" s="1"/>
  <c r="G16" i="2"/>
  <c r="G18" i="2" s="1"/>
  <c r="I21" i="5"/>
  <c r="CP40" i="1"/>
  <c r="O40" i="1" s="1"/>
  <c r="K104" i="5"/>
  <c r="W84" i="5"/>
  <c r="G19" i="5" s="1"/>
  <c r="J123" i="5"/>
  <c r="P123" i="5" s="1"/>
  <c r="J101" i="5"/>
  <c r="P101" i="5" s="1"/>
  <c r="W123" i="5"/>
  <c r="K137" i="5"/>
  <c r="J145" i="5" s="1"/>
  <c r="P145" i="5" s="1"/>
  <c r="CP49" i="1"/>
  <c r="O49" i="1" s="1"/>
  <c r="K126" i="5"/>
  <c r="CP46" i="1"/>
  <c r="O46" i="1" s="1"/>
  <c r="G73" i="5"/>
  <c r="O73" i="5" s="1"/>
  <c r="GN48" i="1"/>
  <c r="T133" i="5"/>
  <c r="K129" i="5" s="1"/>
  <c r="J134" i="5" s="1"/>
  <c r="P134" i="5" s="1"/>
  <c r="GM34" i="1"/>
  <c r="K130" i="5"/>
  <c r="J112" i="5"/>
  <c r="P112" i="5" s="1"/>
  <c r="K93" i="5"/>
  <c r="CP37" i="1"/>
  <c r="O37" i="1" s="1"/>
  <c r="K54" i="5"/>
  <c r="J60" i="5" s="1"/>
  <c r="P60" i="5" s="1"/>
  <c r="CP27" i="1"/>
  <c r="O27" i="1" s="1"/>
  <c r="G24" i="5"/>
  <c r="W145" i="5"/>
  <c r="G134" i="5"/>
  <c r="O134" i="5" s="1"/>
  <c r="G101" i="5"/>
  <c r="O101" i="5" s="1"/>
  <c r="K76" i="5"/>
  <c r="CP33" i="1"/>
  <c r="O33" i="1" s="1"/>
  <c r="K63" i="5"/>
  <c r="CP28" i="1"/>
  <c r="O28" i="1" s="1"/>
  <c r="GM43" i="1"/>
  <c r="AK22" i="1"/>
  <c r="X53" i="1"/>
  <c r="AL53" i="1"/>
  <c r="BB18" i="1"/>
  <c r="F98" i="1"/>
  <c r="AO18" i="1"/>
  <c r="F89" i="1"/>
  <c r="AP18" i="1"/>
  <c r="F94" i="1"/>
  <c r="AC22" i="1"/>
  <c r="P53" i="1"/>
  <c r="CH53" i="1"/>
  <c r="CE53" i="1"/>
  <c r="CF53" i="1"/>
  <c r="AZ22" i="1"/>
  <c r="AZ85" i="1"/>
  <c r="F64" i="1"/>
  <c r="AD53" i="1"/>
  <c r="GN31" i="1"/>
  <c r="GM31" i="1"/>
  <c r="AT18" i="1"/>
  <c r="F103" i="1"/>
  <c r="GN29" i="1"/>
  <c r="GM29" i="1"/>
  <c r="GN40" i="1"/>
  <c r="GM40" i="1"/>
  <c r="GM30" i="1"/>
  <c r="GN30" i="1"/>
  <c r="T22" i="1"/>
  <c r="T85" i="1"/>
  <c r="F74" i="1"/>
  <c r="AB53" i="1"/>
  <c r="V22" i="1"/>
  <c r="F76" i="1"/>
  <c r="V85" i="1"/>
  <c r="BC18" i="1"/>
  <c r="F101" i="1"/>
  <c r="AX22" i="1"/>
  <c r="AX85" i="1"/>
  <c r="F60" i="1"/>
  <c r="AF22" i="1"/>
  <c r="S53" i="1"/>
  <c r="U22" i="1"/>
  <c r="F75" i="1"/>
  <c r="U85" i="1"/>
  <c r="AE22" i="1"/>
  <c r="R53" i="1"/>
  <c r="AU18" i="1"/>
  <c r="F104" i="1"/>
  <c r="AQ18" i="1"/>
  <c r="F95" i="1"/>
  <c r="BA22" i="1"/>
  <c r="F73" i="1"/>
  <c r="H16" i="2" s="1"/>
  <c r="H18" i="2" s="1"/>
  <c r="BA85" i="1"/>
  <c r="W22" i="1"/>
  <c r="F77" i="1"/>
  <c r="W85" i="1"/>
  <c r="GM28" i="1" l="1"/>
  <c r="GN28" i="1"/>
  <c r="GM33" i="1"/>
  <c r="GN33" i="1"/>
  <c r="GM27" i="1"/>
  <c r="CA53" i="1" s="1"/>
  <c r="GN27" i="1"/>
  <c r="CB53" i="1" s="1"/>
  <c r="GN37" i="1"/>
  <c r="GM37" i="1"/>
  <c r="GN46" i="1"/>
  <c r="GM46" i="1"/>
  <c r="GN49" i="1"/>
  <c r="GM49" i="1"/>
  <c r="I23" i="5"/>
  <c r="G23" i="5" s="1"/>
  <c r="I22" i="5"/>
  <c r="G146" i="5"/>
  <c r="J73" i="5"/>
  <c r="P73" i="5" s="1"/>
  <c r="J146" i="5" s="1"/>
  <c r="J84" i="5"/>
  <c r="P84" i="5" s="1"/>
  <c r="G18" i="5"/>
  <c r="AL22" i="1"/>
  <c r="Y53" i="1"/>
  <c r="R22" i="1"/>
  <c r="F67" i="1"/>
  <c r="R85" i="1"/>
  <c r="W18" i="1"/>
  <c r="F109" i="1"/>
  <c r="U18" i="1"/>
  <c r="F107" i="1"/>
  <c r="T18" i="1"/>
  <c r="F106" i="1"/>
  <c r="AD22" i="1"/>
  <c r="Q53" i="1"/>
  <c r="CF22" i="1"/>
  <c r="AW53" i="1"/>
  <c r="CB22" i="1"/>
  <c r="AS53" i="1"/>
  <c r="CE22" i="1"/>
  <c r="AV53" i="1"/>
  <c r="AB22" i="1"/>
  <c r="O53" i="1"/>
  <c r="AZ18" i="1"/>
  <c r="F96" i="1"/>
  <c r="CH22" i="1"/>
  <c r="AY53" i="1"/>
  <c r="X22" i="1"/>
  <c r="F78" i="1"/>
  <c r="X85" i="1"/>
  <c r="BA18" i="1"/>
  <c r="F105" i="1"/>
  <c r="S22" i="1"/>
  <c r="S85" i="1"/>
  <c r="F68" i="1"/>
  <c r="AX18" i="1"/>
  <c r="F92" i="1"/>
  <c r="V18" i="1"/>
  <c r="F108" i="1"/>
  <c r="P22" i="1"/>
  <c r="P85" i="1"/>
  <c r="F56" i="1"/>
  <c r="AR53" i="1" l="1"/>
  <c r="CA22" i="1"/>
  <c r="J16" i="2"/>
  <c r="J18" i="2" s="1"/>
  <c r="I24" i="5"/>
  <c r="O22" i="1"/>
  <c r="O85" i="1"/>
  <c r="F55" i="1"/>
  <c r="Q22" i="1"/>
  <c r="F65" i="1"/>
  <c r="Q85" i="1"/>
  <c r="R18" i="1"/>
  <c r="F99" i="1"/>
  <c r="S18" i="1"/>
  <c r="F100" i="1"/>
  <c r="Y22" i="1"/>
  <c r="F79" i="1"/>
  <c r="Y85" i="1"/>
  <c r="AY22" i="1"/>
  <c r="F61" i="1"/>
  <c r="AY85" i="1"/>
  <c r="AS22" i="1"/>
  <c r="F70" i="1"/>
  <c r="AS85" i="1"/>
  <c r="X18" i="1"/>
  <c r="F110" i="1"/>
  <c r="AR22" i="1"/>
  <c r="AR85" i="1"/>
  <c r="F80" i="1"/>
  <c r="F81" i="1" s="1"/>
  <c r="J147" i="5" s="1"/>
  <c r="P18" i="1"/>
  <c r="F88" i="1"/>
  <c r="AV22" i="1"/>
  <c r="F58" i="1"/>
  <c r="AV85" i="1"/>
  <c r="AW22" i="1"/>
  <c r="F59" i="1"/>
  <c r="AW85" i="1"/>
  <c r="E16" i="2" l="1"/>
  <c r="I19" i="5"/>
  <c r="AS18" i="1"/>
  <c r="F102" i="1"/>
  <c r="AW18" i="1"/>
  <c r="F91" i="1"/>
  <c r="F82" i="1"/>
  <c r="J148" i="5" s="1"/>
  <c r="F83" i="1"/>
  <c r="AY18" i="1"/>
  <c r="F93" i="1"/>
  <c r="AR18" i="1"/>
  <c r="F112" i="1"/>
  <c r="I16" i="2"/>
  <c r="I18" i="2" s="1"/>
  <c r="E18" i="2"/>
  <c r="Q18" i="1"/>
  <c r="F97" i="1"/>
  <c r="O18" i="1"/>
  <c r="F87" i="1"/>
  <c r="AV18" i="1"/>
  <c r="F90" i="1"/>
  <c r="Y18" i="1"/>
  <c r="F111" i="1"/>
  <c r="J149" i="5" l="1"/>
  <c r="I18" i="5"/>
</calcChain>
</file>

<file path=xl/sharedStrings.xml><?xml version="1.0" encoding="utf-8"?>
<sst xmlns="http://schemas.openxmlformats.org/spreadsheetml/2006/main" count="2626" uniqueCount="366">
  <si>
    <t>Smeta.RU  (495) 974-1589</t>
  </si>
  <si>
    <t>_PS_</t>
  </si>
  <si>
    <t>Smeta.RU</t>
  </si>
  <si>
    <t/>
  </si>
  <si>
    <t>Новый объект_(Копия)</t>
  </si>
  <si>
    <t>на капитальный ремонт помещения  №37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</si>
  <si>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</si>
  <si>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</si>
  <si>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</si>
  <si>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</si>
  <si>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</si>
  <si>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</si>
  <si>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</si>
  <si>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57-3-1</t>
  </si>
  <si>
    <t>Разборка плинтусов деревянных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</si>
  <si>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</si>
  <si>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</si>
  <si>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</si>
  <si>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</si>
  <si>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</si>
  <si>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</si>
  <si>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</si>
  <si>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</t>
  </si>
  <si>
    <t>100 м2</t>
  </si>
  <si>
    <t>ФЕР-2001, 57-2-1, приказ Минстроя России №1039/пр от 30.12.2016г.</t>
  </si>
  <si>
    <t>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</si>
  <si>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</si>
  <si>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</si>
  <si>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</si>
  <si>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)*1,25)*1,2</t>
  </si>
  <si>
    <t>)*1,15)*1,2</t>
  </si>
  <si>
    <t>Общестроительные работы</t>
  </si>
  <si>
    <t>ФЕР-11</t>
  </si>
  <si>
    <t>Поправка: МДС 81-35.2004, п.4.7  Поправка: МДС 81-35.2004, прил.1, т.3, п.1</t>
  </si>
  <si>
    <t>*0,9</t>
  </si>
  <si>
    <t>*0,85</t>
  </si>
  <si>
    <t>4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</si>
  <si>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</si>
  <si>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</si>
  <si>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</si>
  <si>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*2</t>
  </si>
  <si>
    <t>)*1,25*2)*1,2</t>
  </si>
  <si>
    <t>)*1,15*2)*1,2</t>
  </si>
  <si>
    <t>Поправка: МДС 81-35.2004, п.4.7  Поправка: МДС 81-35.2004, прил.1, т.1, п.2</t>
  </si>
  <si>
    <t>5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</si>
  <si>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</si>
  <si>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</si>
  <si>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</si>
  <si>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5,1</t>
  </si>
  <si>
    <t>01.6.03.04-0121</t>
  </si>
  <si>
    <t>Линолеум коммерческий гомогенный "ТАРКЕТТ iQ MONOLIT" (толщина 2 мм, класс 34/43, пож. безопасность Г1, В2, РП1, Д2, Т2)</t>
  </si>
  <si>
    <t>м2</t>
  </si>
  <si>
    <t>ФССЦ-2001, 01.6.03.04-0121, приказ Минстроя России №1039/пр от 30.12.2016г.</t>
  </si>
  <si>
    <t>5,2</t>
  </si>
  <si>
    <t>01.6.03.04</t>
  </si>
  <si>
    <t>Линолеум на теплозвукоизолирующей подоснове</t>
  </si>
  <si>
    <t>занесена вручную</t>
  </si>
  <si>
    <t>5,3</t>
  </si>
  <si>
    <t>14.1.02.04-0101</t>
  </si>
  <si>
    <t>Клей «Бустилат»</t>
  </si>
  <si>
    <t>т</t>
  </si>
  <si>
    <t>ФССЦ-2001, 14.1.02.04-0101, приказ Минстроя России №1039/пр от 30.12.2016г.</t>
  </si>
  <si>
    <t>5,4</t>
  </si>
  <si>
    <t>14.1.06.05</t>
  </si>
  <si>
    <t>Состав клеящий</t>
  </si>
  <si>
    <t>кг</t>
  </si>
  <si>
    <t>6</t>
  </si>
  <si>
    <t>11-01-040-01</t>
  </si>
  <si>
    <t>Устройство плинтусов поливинилхлоридных на клее КН-2</t>
  </si>
  <si>
    <t>ФЕР-2001, 11-01-040-01, приказ Минстроя России №1039/пр от 30.12.2016г.</t>
  </si>
  <si>
    <t>6,1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</si>
  <si>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</si>
  <si>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</si>
  <si>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</si>
  <si>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</si>
  <si>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6,2</t>
  </si>
  <si>
    <t>11.3.03.06</t>
  </si>
  <si>
    <t>Плинтуса для полов пластиковые</t>
  </si>
  <si>
    <t>7</t>
  </si>
  <si>
    <t>13-06-003-01</t>
  </si>
  <si>
    <t>Очистка поверхности щетками</t>
  </si>
  <si>
    <t>ФЕР-2001, 13-06-003-01, приказ Минстроя России №1039/пр от 30.12.2016г.</t>
  </si>
  <si>
    <t>Защита строительных конструкций</t>
  </si>
  <si>
    <t>ФЕР-13</t>
  </si>
  <si>
    <t>8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</si>
  <si>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</si>
  <si>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</si>
  <si>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ФЕР-2001, 61-1-9, приказ Минстроя России №1039/пр от 30.12.2016г.</t>
  </si>
  <si>
    <t>Штукатрурные работы</t>
  </si>
  <si>
    <t>рФЕР-61</t>
  </si>
  <si>
    <t>8,1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</si>
  <si>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</si>
  <si>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</si>
  <si>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</si>
  <si>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8,2</t>
  </si>
  <si>
    <t>04.3.02.09</t>
  </si>
  <si>
    <t>Смеси на цементной основе</t>
  </si>
  <si>
    <t>9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</si>
  <si>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</si>
  <si>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</si>
  <si>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</si>
  <si>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Отделочные работы</t>
  </si>
  <si>
    <t>ФЕР-15</t>
  </si>
  <si>
    <t>9,1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</si>
  <si>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</si>
  <si>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</si>
  <si>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</si>
  <si>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9,2</t>
  </si>
  <si>
    <t>14.4.01.21</t>
  </si>
  <si>
    <t>Грунтовка</t>
  </si>
  <si>
    <t>10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</si>
  <si>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</si>
  <si>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</si>
  <si>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</si>
  <si>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10,1</t>
  </si>
  <si>
    <t>10,2</t>
  </si>
  <si>
    <t>11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</si>
  <si>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</si>
  <si>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</si>
  <si>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</si>
  <si>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11,1</t>
  </si>
  <si>
    <t>14.3.02.01-0015</t>
  </si>
  <si>
    <t>Краска акриловая Alpina  RENOVA, CAPAROL водно-дисперсионная</t>
  </si>
  <si>
    <t>ФССЦ-2001, 14.3.02.01-0015, приказ Минстроя России №1039/пр от 30.12.2016г.</t>
  </si>
  <si>
    <t>11,2</t>
  </si>
  <si>
    <t>14.3.02.01</t>
  </si>
  <si>
    <t>Краска водоэмульсионная</t>
  </si>
  <si>
    <t>12</t>
  </si>
  <si>
    <t>62-17-4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</si>
  <si>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</si>
  <si>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ФЕР-2001, 62-17-4, приказ Минстроя России №1039/пр от 30.12.2016г.</t>
  </si>
  <si>
    <t>Малярные работы</t>
  </si>
  <si>
    <t>рФЕР-62</t>
  </si>
  <si>
    <t>12,1</t>
  </si>
  <si>
    <t>12,2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</si>
  <si>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</si>
  <si>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</si>
  <si>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</si>
  <si>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</si>
  <si>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</si>
  <si>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</si>
  <si>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</si>
  <si>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</si>
  <si>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</si>
  <si>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</si>
  <si>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</si>
  <si>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</si>
  <si>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</si>
  <si>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</si>
  <si>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</si>
  <si>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</si>
  <si>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</si>
  <si>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</si>
  <si>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</si>
  <si>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</si>
  <si>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</si>
  <si>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</si>
  <si>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</si>
  <si>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</si>
  <si>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</si>
  <si>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</si>
  <si>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</si>
  <si>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</si>
  <si>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</si>
  <si>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</si>
  <si>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</si>
  <si>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</si>
  <si>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</si>
  <si>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</si>
  <si>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</si>
  <si>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</si>
  <si>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</si>
  <si>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</si>
  <si>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</si>
  <si>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</si>
  <si>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</si>
  <si>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</si>
  <si>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</si>
  <si>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</si>
  <si>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</si>
  <si>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</si>
  <si>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</si>
  <si>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</si>
  <si>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</si>
  <si>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</si>
  <si>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</si>
  <si>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</si>
  <si>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</si>
  <si>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</si>
  <si>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</si>
  <si>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</si>
  <si>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</si>
  <si>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</si>
  <si>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</si>
  <si>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</si>
  <si>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</si>
  <si>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</si>
  <si>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</si>
  <si>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</si>
  <si>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</si>
  <si>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</si>
  <si>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</si>
  <si>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</si>
  <si>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</si>
  <si>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</si>
  <si>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</si>
  <si>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</si>
  <si>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</si>
  <si>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</si>
  <si>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</si>
  <si>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</si>
  <si>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</si>
  <si>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</si>
  <si>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</si>
  <si>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</si>
  <si>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</si>
  <si>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</si>
  <si>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</si>
  <si>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</si>
  <si>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</si>
  <si>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</si>
  <si>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</si>
  <si>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</si>
  <si>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</si>
  <si>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</si>
  <si>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</si>
  <si>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</si>
  <si>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</si>
  <si>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</si>
  <si>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</si>
  <si>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</si>
  <si>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</si>
  <si>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</si>
  <si>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</si>
  <si>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</si>
  <si>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</si>
  <si>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</si>
  <si>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</si>
  <si>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</si>
  <si>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</si>
  <si>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</si>
  <si>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</si>
  <si>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</si>
  <si>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</si>
  <si>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</si>
  <si>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</si>
  <si>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</si>
  <si>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</si>
  <si>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</si>
  <si>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</si>
  <si>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</si>
  <si>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</si>
  <si>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</si>
  <si>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</si>
  <si>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</si>
  <si>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</si>
  <si>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</si>
  <si>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</si>
  <si>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</si>
  <si>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</si>
  <si>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</si>
  <si>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</si>
  <si>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</si>
  <si>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</si>
  <si>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</si>
  <si>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</si>
  <si>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</si>
  <si>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</si>
  <si>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</si>
  <si>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</si>
  <si>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</si>
  <si>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</si>
  <si>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</si>
  <si>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01.7.03.01-0001</t>
  </si>
  <si>
    <t>ФССЦ-2001, 01.7.03.01-0001, приказ Минстроя России №1039/пр от 30.12.2016г.</t>
  </si>
  <si>
    <t>Вода</t>
  </si>
  <si>
    <t>м3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</si>
  <si>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</si>
  <si>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</si>
  <si>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</si>
  <si>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</si>
  <si>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</si>
  <si>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</si>
  <si>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</si>
  <si>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</si>
  <si>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</si>
  <si>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</si>
  <si>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</si>
  <si>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1-100-41</t>
  </si>
  <si>
    <t>Рабочий среднего разряда 4.1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</si>
  <si>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</si>
  <si>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</si>
  <si>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</si>
  <si>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</si>
  <si>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</si>
  <si>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</si>
  <si>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</si>
  <si>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</si>
  <si>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</si>
  <si>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</si>
  <si>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</si>
  <si>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1-100-40</t>
  </si>
  <si>
    <t>Рабочий среднего разряда 4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</si>
  <si>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</si>
  <si>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</si>
  <si>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</si>
  <si>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</si>
  <si>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</si>
  <si>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</si>
  <si>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</si>
  <si>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</si>
  <si>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</si>
  <si>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</si>
  <si>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</si>
  <si>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</si>
  <si>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</si>
  <si>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шт.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</si>
  <si>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</si>
  <si>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</si>
  <si>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</si>
  <si>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</si>
  <si>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</si>
  <si>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</si>
  <si>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</si>
  <si>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</si>
  <si>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</si>
  <si>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01.7.07.07</t>
  </si>
  <si>
    <t>Строительный мусор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</si>
  <si>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т.3, п.1  Наименование: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</si>
  <si>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</si>
  <si>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</si>
  <si>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</si>
  <si>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</si>
  <si>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</si>
  <si>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</si>
  <si>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</si>
  <si>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</si>
  <si>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</si>
  <si>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</si>
  <si>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</si>
  <si>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</si>
  <si>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</si>
  <si>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</si>
  <si>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</si>
  <si>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</si>
  <si>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</si>
  <si>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</si>
  <si>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</si>
  <si>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</si>
  <si>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</si>
  <si>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</si>
  <si>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</si>
  <si>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</si>
  <si>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</si>
  <si>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</si>
  <si>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</si>
  <si>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</si>
  <si>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</si>
  <si>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</si>
  <si>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</si>
  <si>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</si>
  <si>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</si>
  <si>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 xml:space="preserve">   </t>
  </si>
  <si>
    <t xml:space="preserve"> СМЕТА</t>
  </si>
  <si>
    <t>Приложение № 1 к Приложению № 5
к извещению о проведении
запроса котировок</t>
  </si>
  <si>
    <t xml:space="preserve">на капитальный ремонт помещения  №37 лаборатории  СХД 2-го  этажа  зданияучебного корпуса Озёрского технологического института -филиала НИЯУ МИФИ по адресу: Челябинская обл.,г.Озёрск,проспект Победы,48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</si>
</sst>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1" fillId="0" borderId="0" xfId="0" applyFont="1" applyBorder="1"/>
    <xf numFmtId="0" fontId="11" fillId="0" borderId="0" xfId="0" applyFont="1" applyBorder="1" applyAlignment="1">
      <alignment horizontal="right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18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2" xfId="0" applyFont="1" applyBorder="1" applyAlignment="1">
      <alignment horizontal="lef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56"/>
  <sheetViews>
    <sheetView tabSelected="1" zoomScaleNormal="100" workbookViewId="0">
      <selection activeCell="C19" sqref="C19:F19"/>
    </sheetView>
  </sheetViews>
  <sheetFormatPr defaultRowHeight="12.75" x14ac:dyDescent="0.2"/>
  <cols>
    <col min="1" max="1" width="5.7109375" customWidth="1"/>
    <col min="2" max="2" width="17.7109375" customWidth="1"/>
    <col min="3" max="3" width="40.7109375" customWidth="1"/>
    <col min="4" max="5" width="10.7109375" customWidth="1"/>
    <col min="6" max="7" width="12.7109375" customWidth="1"/>
    <col min="8" max="8" width="16.570312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9" t="str">
        <f>Source!B1</f>
        <v>Smeta.RU  (495) 974-1589</v>
      </c>
    </row>
    <row r="2" spans="1:30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30" ht="45.75" customHeight="1" x14ac:dyDescent="0.25">
      <c r="A3" s="12"/>
      <c r="B3" s="52"/>
      <c r="C3" s="52"/>
      <c r="D3" s="52"/>
      <c r="E3" s="52"/>
      <c r="F3" s="11"/>
      <c r="G3" s="11"/>
      <c r="H3" s="53" t="s">
        <v>364</v>
      </c>
      <c r="I3" s="54"/>
      <c r="J3" s="54"/>
      <c r="K3" s="54"/>
      <c r="L3" s="54"/>
    </row>
    <row r="4" spans="1:30" ht="14.25" x14ac:dyDescent="0.2">
      <c r="A4" s="11"/>
      <c r="B4" s="55"/>
      <c r="C4" s="55"/>
      <c r="D4" s="55"/>
      <c r="E4" s="55"/>
      <c r="F4" s="11"/>
      <c r="G4" s="11"/>
      <c r="H4" s="55"/>
      <c r="I4" s="55"/>
      <c r="J4" s="55"/>
      <c r="K4" s="55"/>
      <c r="L4" s="55"/>
    </row>
    <row r="5" spans="1:30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30" ht="14.25" x14ac:dyDescent="0.2">
      <c r="A6" s="15"/>
      <c r="B6" s="55"/>
      <c r="C6" s="55"/>
      <c r="D6" s="55"/>
      <c r="E6" s="55"/>
      <c r="F6" s="11"/>
      <c r="G6" s="11"/>
      <c r="H6" s="55"/>
      <c r="I6" s="55"/>
      <c r="J6" s="55"/>
      <c r="K6" s="55"/>
      <c r="L6" s="55"/>
    </row>
    <row r="7" spans="1:30" ht="14.25" x14ac:dyDescent="0.2">
      <c r="A7" s="16"/>
      <c r="B7" s="51"/>
      <c r="C7" s="51"/>
      <c r="D7" s="51"/>
      <c r="E7" s="51"/>
      <c r="F7" s="11"/>
      <c r="G7" s="11"/>
      <c r="H7" s="51"/>
      <c r="I7" s="51"/>
      <c r="J7" s="51"/>
      <c r="K7" s="51"/>
      <c r="L7" s="51"/>
    </row>
    <row r="10" spans="1:30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30" ht="15.75" x14ac:dyDescent="0.25">
      <c r="A11" s="17"/>
      <c r="B11" s="56" t="s">
        <v>363</v>
      </c>
      <c r="C11" s="56"/>
      <c r="D11" s="56"/>
      <c r="E11" s="56"/>
      <c r="F11" s="56"/>
      <c r="G11" s="56"/>
      <c r="H11" s="56"/>
      <c r="I11" s="56"/>
      <c r="J11" s="56"/>
      <c r="K11" s="56"/>
      <c r="L11" s="17"/>
    </row>
    <row r="12" spans="1:30" ht="18" hidden="1" x14ac:dyDescent="0.25">
      <c r="A12" s="17"/>
      <c r="B12" s="57" t="str">
        <f>IF(Source!G20&lt;&gt;"Новая локальная смета", Source!G20, "")</f>
        <v/>
      </c>
      <c r="C12" s="57"/>
      <c r="D12" s="57"/>
      <c r="E12" s="57"/>
      <c r="F12" s="57"/>
      <c r="G12" s="57"/>
      <c r="H12" s="57"/>
      <c r="I12" s="57"/>
      <c r="J12" s="57"/>
      <c r="K12" s="57"/>
      <c r="L12" s="17"/>
    </row>
    <row r="13" spans="1:30" ht="14.25" hidden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30" ht="54" x14ac:dyDescent="0.25">
      <c r="A14" s="11"/>
      <c r="B14" s="57" t="s">
        <v>365</v>
      </c>
      <c r="C14" s="57"/>
      <c r="D14" s="57"/>
      <c r="E14" s="57"/>
      <c r="F14" s="57"/>
      <c r="G14" s="57"/>
      <c r="H14" s="57"/>
      <c r="I14" s="57"/>
      <c r="J14" s="57"/>
      <c r="K14" s="57"/>
      <c r="L14" s="18"/>
      <c r="AD14" s="48" t="str">
        <f>IF(Source!G12&lt;&gt;"Новый объект", Source!G12, "")</f>
        <v>на капитальный ремонт помещения  №37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</row>
    <row r="15" spans="1:30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30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2" ht="14.25" x14ac:dyDescent="0.2">
      <c r="A17" s="11"/>
      <c r="B17" s="11"/>
      <c r="C17" s="11"/>
      <c r="D17" s="11"/>
      <c r="E17" s="19"/>
      <c r="F17" s="19"/>
      <c r="G17" s="58" t="s">
        <v>330</v>
      </c>
      <c r="H17" s="58"/>
      <c r="I17" s="58" t="s">
        <v>331</v>
      </c>
      <c r="J17" s="58"/>
      <c r="K17" s="11"/>
      <c r="L17" s="11"/>
    </row>
    <row r="18" spans="1:22" ht="15" x14ac:dyDescent="0.25">
      <c r="A18" s="11"/>
      <c r="B18" s="11"/>
      <c r="C18" s="59" t="s">
        <v>332</v>
      </c>
      <c r="D18" s="59"/>
      <c r="E18" s="59"/>
      <c r="F18" s="59"/>
      <c r="G18" s="60">
        <f>SUM(O29:O146)/1000</f>
        <v>19.893510000000003</v>
      </c>
      <c r="H18" s="60"/>
      <c r="I18" s="60">
        <f>(Source!F83/1000)</f>
        <v>142.79674</v>
      </c>
      <c r="J18" s="60"/>
      <c r="K18" s="61" t="s">
        <v>333</v>
      </c>
      <c r="L18" s="61"/>
    </row>
    <row r="19" spans="1:22" ht="14.25" x14ac:dyDescent="0.2">
      <c r="A19" s="11"/>
      <c r="B19" s="11"/>
      <c r="C19" s="62" t="s">
        <v>334</v>
      </c>
      <c r="D19" s="62"/>
      <c r="E19" s="62"/>
      <c r="F19" s="62"/>
      <c r="G19" s="60">
        <f>SUM(W29:W146)/1000</f>
        <v>19.893509999999999</v>
      </c>
      <c r="H19" s="60"/>
      <c r="I19" s="60">
        <f>(Source!F70)/1000</f>
        <v>121.01419</v>
      </c>
      <c r="J19" s="60"/>
      <c r="K19" s="61" t="s">
        <v>333</v>
      </c>
      <c r="L19" s="61"/>
    </row>
    <row r="20" spans="1:22" ht="14.25" x14ac:dyDescent="0.2">
      <c r="A20" s="11"/>
      <c r="B20" s="11"/>
      <c r="C20" s="62" t="s">
        <v>335</v>
      </c>
      <c r="D20" s="62"/>
      <c r="E20" s="62"/>
      <c r="F20" s="62"/>
      <c r="G20" s="60">
        <f>SUM(X29:X146)/1000</f>
        <v>0</v>
      </c>
      <c r="H20" s="60"/>
      <c r="I20" s="60">
        <f>(Source!F71)/1000</f>
        <v>0</v>
      </c>
      <c r="J20" s="60"/>
      <c r="K20" s="61" t="s">
        <v>333</v>
      </c>
      <c r="L20" s="61"/>
    </row>
    <row r="21" spans="1:22" ht="14.25" x14ac:dyDescent="0.2">
      <c r="A21" s="11"/>
      <c r="B21" s="11"/>
      <c r="C21" s="62" t="s">
        <v>336</v>
      </c>
      <c r="D21" s="62"/>
      <c r="E21" s="62"/>
      <c r="F21" s="62"/>
      <c r="G21" s="60">
        <f>SUM(Y29:Y146)/1000</f>
        <v>0</v>
      </c>
      <c r="H21" s="60"/>
      <c r="I21" s="60">
        <f>(Source!F62)/1000</f>
        <v>0</v>
      </c>
      <c r="J21" s="60"/>
      <c r="K21" s="61" t="s">
        <v>333</v>
      </c>
      <c r="L21" s="61"/>
    </row>
    <row r="22" spans="1:22" ht="14.25" x14ac:dyDescent="0.2">
      <c r="A22" s="11"/>
      <c r="B22" s="11"/>
      <c r="C22" s="62" t="s">
        <v>337</v>
      </c>
      <c r="D22" s="62"/>
      <c r="E22" s="62"/>
      <c r="F22" s="62"/>
      <c r="G22" s="60">
        <f>SUM(Z29:Z146)/1000</f>
        <v>0</v>
      </c>
      <c r="H22" s="60"/>
      <c r="I22" s="60">
        <f>(Source!F72+Source!F73)/1000</f>
        <v>0</v>
      </c>
      <c r="J22" s="60"/>
      <c r="K22" s="61" t="s">
        <v>333</v>
      </c>
      <c r="L22" s="61"/>
    </row>
    <row r="23" spans="1:22" ht="15" x14ac:dyDescent="0.25">
      <c r="A23" s="11"/>
      <c r="B23" s="11"/>
      <c r="C23" s="59" t="s">
        <v>338</v>
      </c>
      <c r="D23" s="59"/>
      <c r="E23" s="59"/>
      <c r="F23" s="59"/>
      <c r="G23" s="60">
        <f>I23</f>
        <v>243.91645739999993</v>
      </c>
      <c r="H23" s="60"/>
      <c r="I23" s="60">
        <f>(Source!F75+Source!F76)</f>
        <v>243.91645739999993</v>
      </c>
      <c r="J23" s="60"/>
      <c r="K23" s="61" t="s">
        <v>339</v>
      </c>
      <c r="L23" s="61"/>
    </row>
    <row r="24" spans="1:22" ht="15" x14ac:dyDescent="0.25">
      <c r="A24" s="11"/>
      <c r="B24" s="11"/>
      <c r="C24" s="59" t="s">
        <v>340</v>
      </c>
      <c r="D24" s="59"/>
      <c r="E24" s="59"/>
      <c r="F24" s="59"/>
      <c r="G24" s="60">
        <f>SUM(R29:R146)/1000</f>
        <v>2.1128199999999997</v>
      </c>
      <c r="H24" s="60"/>
      <c r="I24" s="60">
        <f>(Source!F68+ Source!F67)/1000</f>
        <v>12.84606</v>
      </c>
      <c r="J24" s="60"/>
      <c r="K24" s="61" t="s">
        <v>333</v>
      </c>
      <c r="L24" s="61"/>
    </row>
    <row r="25" spans="1:22" ht="14.2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2" ht="14.25" x14ac:dyDescent="0.2">
      <c r="A26" s="63" t="s">
        <v>353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</row>
    <row r="27" spans="1:22" ht="57" x14ac:dyDescent="0.2">
      <c r="A27" s="20" t="s">
        <v>341</v>
      </c>
      <c r="B27" s="20" t="s">
        <v>342</v>
      </c>
      <c r="C27" s="20" t="s">
        <v>343</v>
      </c>
      <c r="D27" s="20" t="s">
        <v>344</v>
      </c>
      <c r="E27" s="20" t="s">
        <v>345</v>
      </c>
      <c r="F27" s="20" t="s">
        <v>346</v>
      </c>
      <c r="G27" s="20" t="s">
        <v>347</v>
      </c>
      <c r="H27" s="20" t="s">
        <v>348</v>
      </c>
      <c r="I27" s="20" t="s">
        <v>349</v>
      </c>
      <c r="J27" s="20" t="s">
        <v>350</v>
      </c>
      <c r="K27" s="20" t="s">
        <v>351</v>
      </c>
      <c r="L27" s="20" t="s">
        <v>352</v>
      </c>
    </row>
    <row r="28" spans="1:22" ht="14.25" x14ac:dyDescent="0.2">
      <c r="A28" s="21">
        <v>1</v>
      </c>
      <c r="B28" s="21">
        <v>2</v>
      </c>
      <c r="C28" s="21">
        <v>3</v>
      </c>
      <c r="D28" s="21">
        <v>4</v>
      </c>
      <c r="E28" s="21">
        <v>5</v>
      </c>
      <c r="F28" s="21">
        <v>6</v>
      </c>
      <c r="G28" s="21">
        <v>7</v>
      </c>
      <c r="H28" s="21">
        <v>8</v>
      </c>
      <c r="I28" s="21">
        <v>9</v>
      </c>
      <c r="J28" s="21">
        <v>10</v>
      </c>
      <c r="K28" s="21">
        <v>11</v>
      </c>
      <c r="L28" s="22">
        <v>12</v>
      </c>
    </row>
    <row r="29" spans="1:22" ht="14.25" x14ac:dyDescent="0.2">
      <c r="A29" s="43" t="str">
        <f>Source!E24</f>
        <v>1</v>
      </c>
      <c r="B29" s="44" t="str">
        <f>Source!F24</f>
        <v>57-3-1</v>
      </c>
      <c r="C29" s="44" t="str">
        <f>Source!G24</f>
        <v>Разборка плинтусов деревянных</v>
      </c>
      <c r="D29" s="27" t="str">
        <f>Source!H24</f>
        <v>100 м</v>
      </c>
      <c r="E29" s="10">
        <f>Source!I24</f>
        <v>0.23</v>
      </c>
      <c r="F29" s="28">
        <f>Source!AL24+Source!AM24+Source!AO24</f>
        <v>29.41</v>
      </c>
      <c r="G29" s="29"/>
      <c r="H29" s="28"/>
      <c r="I29" s="29" t="str">
        <f>Source!BO24</f>
        <v/>
      </c>
      <c r="J29" s="29"/>
      <c r="K29" s="28"/>
      <c r="L29" s="30"/>
      <c r="S29">
        <f>ROUND((Source!FX24/100)*((ROUND(Source!AF24*Source!I24, 2)+ROUND(Source!AE24*Source!I24, 2))), 2)</f>
        <v>5.41</v>
      </c>
      <c r="T29">
        <f>Source!X24</f>
        <v>32.9</v>
      </c>
      <c r="U29">
        <f>ROUND((Source!FY24/100)*((ROUND(Source!AF24*Source!I24, 2)+ROUND(Source!AE24*Source!I24, 2))), 2)</f>
        <v>4.5999999999999996</v>
      </c>
      <c r="V29">
        <f>Source!Y24</f>
        <v>27.97</v>
      </c>
    </row>
    <row r="30" spans="1:22" ht="14.25" x14ac:dyDescent="0.2">
      <c r="A30" s="43"/>
      <c r="B30" s="44"/>
      <c r="C30" s="44" t="s">
        <v>354</v>
      </c>
      <c r="D30" s="27"/>
      <c r="E30" s="10"/>
      <c r="F30" s="28">
        <f>Source!AO24</f>
        <v>29.41</v>
      </c>
      <c r="G30" s="29" t="str">
        <f>Source!DG24</f>
        <v/>
      </c>
      <c r="H30" s="28">
        <f>ROUND(Source!AF24*Source!I24, 2)</f>
        <v>6.76</v>
      </c>
      <c r="I30" s="29"/>
      <c r="J30" s="29">
        <f>IF(Source!BA24&lt;&gt; 0, Source!BA24, 1)</f>
        <v>6.08</v>
      </c>
      <c r="K30" s="28">
        <f>Source!S24</f>
        <v>41.13</v>
      </c>
      <c r="L30" s="30"/>
      <c r="R30">
        <f>H30</f>
        <v>6.76</v>
      </c>
    </row>
    <row r="31" spans="1:22" ht="14.25" x14ac:dyDescent="0.2">
      <c r="A31" s="43"/>
      <c r="B31" s="44"/>
      <c r="C31" s="44" t="s">
        <v>355</v>
      </c>
      <c r="D31" s="27" t="s">
        <v>356</v>
      </c>
      <c r="E31" s="10">
        <f>Source!BZ24</f>
        <v>80</v>
      </c>
      <c r="F31" s="47"/>
      <c r="G31" s="29"/>
      <c r="H31" s="28">
        <f>SUM(S29:S33)</f>
        <v>5.41</v>
      </c>
      <c r="I31" s="31"/>
      <c r="J31" s="26">
        <f>Source!AT24</f>
        <v>80</v>
      </c>
      <c r="K31" s="28">
        <f>SUM(T29:T33)</f>
        <v>32.9</v>
      </c>
      <c r="L31" s="30"/>
    </row>
    <row r="32" spans="1:22" ht="14.25" x14ac:dyDescent="0.2">
      <c r="A32" s="43"/>
      <c r="B32" s="44"/>
      <c r="C32" s="44" t="s">
        <v>357</v>
      </c>
      <c r="D32" s="27" t="s">
        <v>356</v>
      </c>
      <c r="E32" s="10">
        <f>Source!CA24</f>
        <v>68</v>
      </c>
      <c r="F32" s="47"/>
      <c r="G32" s="29"/>
      <c r="H32" s="28">
        <f>SUM(U29:U33)</f>
        <v>4.5999999999999996</v>
      </c>
      <c r="I32" s="31"/>
      <c r="J32" s="26">
        <f>Source!AU24</f>
        <v>68</v>
      </c>
      <c r="K32" s="28">
        <f>SUM(V29:V33)</f>
        <v>27.97</v>
      </c>
      <c r="L32" s="30"/>
    </row>
    <row r="33" spans="1:26" ht="14.25" x14ac:dyDescent="0.2">
      <c r="A33" s="45"/>
      <c r="B33" s="46"/>
      <c r="C33" s="46" t="s">
        <v>358</v>
      </c>
      <c r="D33" s="32" t="s">
        <v>359</v>
      </c>
      <c r="E33" s="33">
        <f>Source!AQ24</f>
        <v>3.77</v>
      </c>
      <c r="F33" s="34"/>
      <c r="G33" s="35" t="str">
        <f>Source!DI24</f>
        <v/>
      </c>
      <c r="H33" s="34"/>
      <c r="I33" s="35"/>
      <c r="J33" s="35"/>
      <c r="K33" s="34"/>
      <c r="L33" s="36">
        <f>Source!U24</f>
        <v>0.86710000000000009</v>
      </c>
    </row>
    <row r="34" spans="1:26" ht="15" x14ac:dyDescent="0.25">
      <c r="G34" s="66">
        <f>H30+H31+H32</f>
        <v>16.77</v>
      </c>
      <c r="H34" s="66"/>
      <c r="J34" s="66">
        <f>K30+K31+K32</f>
        <v>102</v>
      </c>
      <c r="K34" s="66"/>
      <c r="L34" s="37">
        <f>Source!U24</f>
        <v>0.86710000000000009</v>
      </c>
      <c r="O34" s="23">
        <f>G34</f>
        <v>16.77</v>
      </c>
      <c r="P34" s="23">
        <f>J34</f>
        <v>102</v>
      </c>
      <c r="Q34" s="23">
        <f>L34</f>
        <v>0.86710000000000009</v>
      </c>
      <c r="W34">
        <f>IF(Source!BI24&lt;=1,H30+H31+H32, 0)</f>
        <v>16.77</v>
      </c>
      <c r="X34">
        <f>IF(Source!BI24=2,H30+H31+H32, 0)</f>
        <v>0</v>
      </c>
      <c r="Y34">
        <f>IF(Source!BI24=3,H30+H31+H32, 0)</f>
        <v>0</v>
      </c>
      <c r="Z34">
        <f>IF(Source!BI24=4,H30+H31+H32, 0)</f>
        <v>0</v>
      </c>
    </row>
    <row r="35" spans="1:26" ht="28.5" x14ac:dyDescent="0.2">
      <c r="A35" s="43" t="str">
        <f>Source!E25</f>
        <v>2</v>
      </c>
      <c r="B35" s="44" t="str">
        <f>Source!F25</f>
        <v>57-2-1</v>
      </c>
      <c r="C35" s="44" t="str">
        <f>Source!G25</f>
        <v>Разборка покрытий полов из линолеума</v>
      </c>
      <c r="D35" s="27" t="str">
        <f>Source!H25</f>
        <v>100 м2</v>
      </c>
      <c r="E35" s="10">
        <f>Source!I25</f>
        <v>0.36299999999999999</v>
      </c>
      <c r="F35" s="28">
        <f>Source!AL25+Source!AM25+Source!AO25</f>
        <v>92.9</v>
      </c>
      <c r="G35" s="29"/>
      <c r="H35" s="28"/>
      <c r="I35" s="29" t="str">
        <f>Source!BO25</f>
        <v/>
      </c>
      <c r="J35" s="29"/>
      <c r="K35" s="28"/>
      <c r="L35" s="30"/>
      <c r="S35">
        <f>ROUND((Source!FX25/100)*((ROUND(Source!AF25*Source!I25, 2)+ROUND(Source!AE25*Source!I25, 2))), 2)</f>
        <v>26.31</v>
      </c>
      <c r="T35">
        <f>Source!X25</f>
        <v>159.96</v>
      </c>
      <c r="U35">
        <f>ROUND((Source!FY25/100)*((ROUND(Source!AF25*Source!I25, 2)+ROUND(Source!AE25*Source!I25, 2))), 2)</f>
        <v>22.37</v>
      </c>
      <c r="V35">
        <f>Source!Y25</f>
        <v>135.97</v>
      </c>
    </row>
    <row r="36" spans="1:26" ht="14.25" x14ac:dyDescent="0.2">
      <c r="A36" s="43"/>
      <c r="B36" s="44"/>
      <c r="C36" s="44" t="s">
        <v>354</v>
      </c>
      <c r="D36" s="27"/>
      <c r="E36" s="10"/>
      <c r="F36" s="28">
        <f>Source!AO25</f>
        <v>88.84</v>
      </c>
      <c r="G36" s="29" t="str">
        <f>Source!DG25</f>
        <v/>
      </c>
      <c r="H36" s="28">
        <f>ROUND(Source!AF25*Source!I25, 2)</f>
        <v>32.25</v>
      </c>
      <c r="I36" s="29"/>
      <c r="J36" s="29">
        <f>IF(Source!BA25&lt;&gt; 0, Source!BA25, 1)</f>
        <v>6.08</v>
      </c>
      <c r="K36" s="28">
        <f>Source!S25</f>
        <v>196.07</v>
      </c>
      <c r="L36" s="30"/>
      <c r="R36">
        <f>H36</f>
        <v>32.25</v>
      </c>
    </row>
    <row r="37" spans="1:26" ht="14.25" x14ac:dyDescent="0.2">
      <c r="A37" s="43"/>
      <c r="B37" s="44"/>
      <c r="C37" s="44" t="s">
        <v>156</v>
      </c>
      <c r="D37" s="27"/>
      <c r="E37" s="10"/>
      <c r="F37" s="28">
        <f>Source!AM25</f>
        <v>4.0599999999999996</v>
      </c>
      <c r="G37" s="29" t="str">
        <f>Source!DE25</f>
        <v/>
      </c>
      <c r="H37" s="28">
        <f>ROUND(Source!AD25*Source!I25, 2)</f>
        <v>1.47</v>
      </c>
      <c r="I37" s="29"/>
      <c r="J37" s="29">
        <f>IF(Source!BB25&lt;&gt; 0, Source!BB25, 1)</f>
        <v>6.08</v>
      </c>
      <c r="K37" s="28">
        <f>Source!Q25</f>
        <v>8.9600000000000009</v>
      </c>
      <c r="L37" s="30"/>
    </row>
    <row r="38" spans="1:26" ht="14.25" x14ac:dyDescent="0.2">
      <c r="A38" s="43"/>
      <c r="B38" s="44"/>
      <c r="C38" s="44" t="s">
        <v>360</v>
      </c>
      <c r="D38" s="27"/>
      <c r="E38" s="10"/>
      <c r="F38" s="28">
        <f>Source!AN25</f>
        <v>1.76</v>
      </c>
      <c r="G38" s="29" t="str">
        <f>Source!DF25</f>
        <v/>
      </c>
      <c r="H38" s="38">
        <f>ROUND(Source!AE25*Source!I25, 2)</f>
        <v>0.64</v>
      </c>
      <c r="I38" s="29"/>
      <c r="J38" s="29">
        <f>IF(Source!BS25&lt;&gt; 0, Source!BS25, 1)</f>
        <v>6.08</v>
      </c>
      <c r="K38" s="38">
        <f>Source!R25</f>
        <v>3.88</v>
      </c>
      <c r="L38" s="30"/>
      <c r="R38">
        <f>H38</f>
        <v>0.64</v>
      </c>
    </row>
    <row r="39" spans="1:26" ht="14.25" x14ac:dyDescent="0.2">
      <c r="A39" s="43"/>
      <c r="B39" s="44"/>
      <c r="C39" s="44" t="s">
        <v>355</v>
      </c>
      <c r="D39" s="27" t="s">
        <v>356</v>
      </c>
      <c r="E39" s="10">
        <f>Source!BZ25</f>
        <v>80</v>
      </c>
      <c r="F39" s="47"/>
      <c r="G39" s="29"/>
      <c r="H39" s="28">
        <f>SUM(S35:S41)</f>
        <v>26.31</v>
      </c>
      <c r="I39" s="31"/>
      <c r="J39" s="26">
        <f>Source!AT25</f>
        <v>80</v>
      </c>
      <c r="K39" s="28">
        <f>SUM(T35:T41)</f>
        <v>159.96</v>
      </c>
      <c r="L39" s="30"/>
    </row>
    <row r="40" spans="1:26" ht="14.25" x14ac:dyDescent="0.2">
      <c r="A40" s="43"/>
      <c r="B40" s="44"/>
      <c r="C40" s="44" t="s">
        <v>357</v>
      </c>
      <c r="D40" s="27" t="s">
        <v>356</v>
      </c>
      <c r="E40" s="10">
        <f>Source!CA25</f>
        <v>68</v>
      </c>
      <c r="F40" s="47"/>
      <c r="G40" s="29"/>
      <c r="H40" s="28">
        <f>SUM(U35:U41)</f>
        <v>22.37</v>
      </c>
      <c r="I40" s="31"/>
      <c r="J40" s="26">
        <f>Source!AU25</f>
        <v>68</v>
      </c>
      <c r="K40" s="28">
        <f>SUM(V35:V41)</f>
        <v>135.97</v>
      </c>
      <c r="L40" s="30"/>
    </row>
    <row r="41" spans="1:26" ht="14.25" x14ac:dyDescent="0.2">
      <c r="A41" s="45"/>
      <c r="B41" s="46"/>
      <c r="C41" s="46" t="s">
        <v>358</v>
      </c>
      <c r="D41" s="32" t="s">
        <v>359</v>
      </c>
      <c r="E41" s="33">
        <f>Source!AQ25</f>
        <v>11.39</v>
      </c>
      <c r="F41" s="34"/>
      <c r="G41" s="35" t="str">
        <f>Source!DI25</f>
        <v/>
      </c>
      <c r="H41" s="34"/>
      <c r="I41" s="35"/>
      <c r="J41" s="35"/>
      <c r="K41" s="34"/>
      <c r="L41" s="36">
        <f>Source!U25</f>
        <v>4.1345700000000001</v>
      </c>
    </row>
    <row r="42" spans="1:26" ht="15" x14ac:dyDescent="0.25">
      <c r="G42" s="66">
        <f>H36+H37+H39+H40</f>
        <v>82.4</v>
      </c>
      <c r="H42" s="66"/>
      <c r="J42" s="66">
        <f>K36+K37+K39+K40</f>
        <v>500.96000000000004</v>
      </c>
      <c r="K42" s="66"/>
      <c r="L42" s="37">
        <f>Source!U25</f>
        <v>4.1345700000000001</v>
      </c>
      <c r="O42" s="23">
        <f>G42</f>
        <v>82.4</v>
      </c>
      <c r="P42" s="23">
        <f>J42</f>
        <v>500.96000000000004</v>
      </c>
      <c r="Q42" s="23">
        <f>L42</f>
        <v>4.1345700000000001</v>
      </c>
      <c r="W42">
        <f>IF(Source!BI25&lt;=1,H36+H37+H39+H40, 0)</f>
        <v>82.4</v>
      </c>
      <c r="X42">
        <f>IF(Source!BI25=2,H36+H37+H39+H40, 0)</f>
        <v>0</v>
      </c>
      <c r="Y42">
        <f>IF(Source!BI25=3,H36+H37+H39+H40, 0)</f>
        <v>0</v>
      </c>
      <c r="Z42">
        <f>IF(Source!BI25=4,H36+H37+H39+H40, 0)</f>
        <v>0</v>
      </c>
    </row>
    <row r="43" spans="1:26" ht="42.75" x14ac:dyDescent="0.2">
      <c r="A43" s="43" t="str">
        <f>Source!E26</f>
        <v>3</v>
      </c>
      <c r="B43" s="44" t="str">
        <f>Source!F26</f>
        <v>11-01-011-08</v>
      </c>
      <c r="C43" s="44" t="str">
        <f>Source!G26</f>
        <v>Устройство стяжек из выравнивающей смеси типа "Ветонит" 5000, толщиной 5 мм</v>
      </c>
      <c r="D43" s="27" t="str">
        <f>Source!H26</f>
        <v>100 м2</v>
      </c>
      <c r="E43" s="10">
        <f>Source!I26</f>
        <v>0.36299999999999999</v>
      </c>
      <c r="F43" s="28">
        <f>Source!AL26+Source!AM26+Source!AO26</f>
        <v>11028.89</v>
      </c>
      <c r="G43" s="29"/>
      <c r="H43" s="28"/>
      <c r="I43" s="29" t="str">
        <f>Source!BO26</f>
        <v/>
      </c>
      <c r="J43" s="29"/>
      <c r="K43" s="28"/>
      <c r="L43" s="30"/>
      <c r="S43">
        <f>ROUND((Source!FX26/100)*((ROUND(Source!AF26*Source!I26, 2)+ROUND(Source!AE26*Source!I26, 2))), 2)</f>
        <v>179.38</v>
      </c>
      <c r="T43">
        <f>Source!X26</f>
        <v>1093.5899999999999</v>
      </c>
      <c r="U43">
        <f>ROUND((Source!FY26/100)*((ROUND(Source!AF26*Source!I26, 2)+ROUND(Source!AE26*Source!I26, 2))), 2)</f>
        <v>103.3</v>
      </c>
      <c r="V43">
        <f>Source!Y26</f>
        <v>630.54</v>
      </c>
    </row>
    <row r="44" spans="1:26" ht="14.25" x14ac:dyDescent="0.2">
      <c r="A44" s="43"/>
      <c r="B44" s="44"/>
      <c r="C44" s="44" t="s">
        <v>354</v>
      </c>
      <c r="D44" s="27"/>
      <c r="E44" s="10"/>
      <c r="F44" s="28">
        <f>Source!AO26</f>
        <v>321.33</v>
      </c>
      <c r="G44" s="29" t="str">
        <f>Source!DG26</f>
        <v>)*1,15)*1,2</v>
      </c>
      <c r="H44" s="28">
        <f>ROUND(Source!AF26*Source!I26, 2)</f>
        <v>160.97</v>
      </c>
      <c r="I44" s="29"/>
      <c r="J44" s="29">
        <f>IF(Source!BA26&lt;&gt; 0, Source!BA26, 1)</f>
        <v>6.08</v>
      </c>
      <c r="K44" s="28">
        <f>Source!S26</f>
        <v>978.69</v>
      </c>
      <c r="L44" s="30"/>
      <c r="R44">
        <f>H44</f>
        <v>160.97</v>
      </c>
    </row>
    <row r="45" spans="1:26" ht="14.25" x14ac:dyDescent="0.2">
      <c r="A45" s="43"/>
      <c r="B45" s="44"/>
      <c r="C45" s="44" t="s">
        <v>156</v>
      </c>
      <c r="D45" s="27"/>
      <c r="E45" s="10"/>
      <c r="F45" s="28">
        <f>Source!AM26</f>
        <v>6.23</v>
      </c>
      <c r="G45" s="29" t="str">
        <f>Source!DE26</f>
        <v>)*1,25)*1,2</v>
      </c>
      <c r="H45" s="28">
        <f>ROUND(Source!AD26*Source!I26, 2)</f>
        <v>3.39</v>
      </c>
      <c r="I45" s="29"/>
      <c r="J45" s="29">
        <f>IF(Source!BB26&lt;&gt; 0, Source!BB26, 1)</f>
        <v>6.08</v>
      </c>
      <c r="K45" s="28">
        <f>Source!Q26</f>
        <v>20.64</v>
      </c>
      <c r="L45" s="30"/>
    </row>
    <row r="46" spans="1:26" ht="14.25" x14ac:dyDescent="0.2">
      <c r="A46" s="43"/>
      <c r="B46" s="44"/>
      <c r="C46" s="44" t="s">
        <v>360</v>
      </c>
      <c r="D46" s="27"/>
      <c r="E46" s="10"/>
      <c r="F46" s="28">
        <f>Source!AN26</f>
        <v>1.97</v>
      </c>
      <c r="G46" s="29" t="str">
        <f>Source!DF26</f>
        <v>)*1,25)*1,2</v>
      </c>
      <c r="H46" s="38">
        <f>ROUND(Source!AE26*Source!I26, 2)</f>
        <v>1.07</v>
      </c>
      <c r="I46" s="29"/>
      <c r="J46" s="29">
        <f>IF(Source!BS26&lt;&gt; 0, Source!BS26, 1)</f>
        <v>6.08</v>
      </c>
      <c r="K46" s="38">
        <f>Source!R26</f>
        <v>6.53</v>
      </c>
      <c r="L46" s="30"/>
      <c r="R46">
        <f>H46</f>
        <v>1.07</v>
      </c>
    </row>
    <row r="47" spans="1:26" ht="14.25" x14ac:dyDescent="0.2">
      <c r="A47" s="43"/>
      <c r="B47" s="44"/>
      <c r="C47" s="44" t="s">
        <v>361</v>
      </c>
      <c r="D47" s="27"/>
      <c r="E47" s="10"/>
      <c r="F47" s="28">
        <f>Source!AL26</f>
        <v>10701.33</v>
      </c>
      <c r="G47" s="29" t="str">
        <f>Source!DD26</f>
        <v/>
      </c>
      <c r="H47" s="28">
        <f>ROUND(Source!AC26*Source!I26, 2)</f>
        <v>3884.58</v>
      </c>
      <c r="I47" s="29"/>
      <c r="J47" s="29">
        <f>IF(Source!BC26&lt;&gt; 0, Source!BC26, 1)</f>
        <v>6.08</v>
      </c>
      <c r="K47" s="28">
        <f>Source!P26</f>
        <v>23618.26</v>
      </c>
      <c r="L47" s="30"/>
    </row>
    <row r="48" spans="1:26" ht="14.25" x14ac:dyDescent="0.2">
      <c r="A48" s="43"/>
      <c r="B48" s="44"/>
      <c r="C48" s="44" t="s">
        <v>355</v>
      </c>
      <c r="D48" s="27" t="s">
        <v>356</v>
      </c>
      <c r="E48" s="10">
        <f>Source!BZ26</f>
        <v>123</v>
      </c>
      <c r="F48" s="55" t="str">
        <f>CONCATENATE(" )", Source!DL26, Source!FT26, "=", Source!FX26)</f>
        <v xml:space="preserve"> )*0,9=110,7</v>
      </c>
      <c r="G48" s="67"/>
      <c r="H48" s="28">
        <f>SUM(S43:S50)</f>
        <v>179.38</v>
      </c>
      <c r="I48" s="31"/>
      <c r="J48" s="26">
        <f>Source!AT26</f>
        <v>111</v>
      </c>
      <c r="K48" s="28">
        <f>SUM(T43:T50)</f>
        <v>1093.5899999999999</v>
      </c>
      <c r="L48" s="30"/>
    </row>
    <row r="49" spans="1:26" ht="14.25" x14ac:dyDescent="0.2">
      <c r="A49" s="43"/>
      <c r="B49" s="44"/>
      <c r="C49" s="44" t="s">
        <v>357</v>
      </c>
      <c r="D49" s="27" t="s">
        <v>356</v>
      </c>
      <c r="E49" s="10">
        <f>Source!CA26</f>
        <v>75</v>
      </c>
      <c r="F49" s="55" t="str">
        <f>CONCATENATE(" )", Source!DM26, Source!FU26, "=", Source!FY26)</f>
        <v xml:space="preserve"> )*0,85=63,75</v>
      </c>
      <c r="G49" s="67"/>
      <c r="H49" s="28">
        <f>SUM(U43:U50)</f>
        <v>103.3</v>
      </c>
      <c r="I49" s="31"/>
      <c r="J49" s="26">
        <f>Source!AU26</f>
        <v>64</v>
      </c>
      <c r="K49" s="28">
        <f>SUM(V43:V50)</f>
        <v>630.54</v>
      </c>
      <c r="L49" s="30"/>
    </row>
    <row r="50" spans="1:26" ht="14.25" x14ac:dyDescent="0.2">
      <c r="A50" s="45"/>
      <c r="B50" s="46"/>
      <c r="C50" s="46" t="s">
        <v>358</v>
      </c>
      <c r="D50" s="32" t="s">
        <v>359</v>
      </c>
      <c r="E50" s="33">
        <f>Source!AQ26</f>
        <v>37.67</v>
      </c>
      <c r="F50" s="34"/>
      <c r="G50" s="35" t="str">
        <f>Source!DI26</f>
        <v>)*1,15)*1,2</v>
      </c>
      <c r="H50" s="34"/>
      <c r="I50" s="35"/>
      <c r="J50" s="35"/>
      <c r="K50" s="34"/>
      <c r="L50" s="36">
        <f>Source!U26</f>
        <v>18.870409799999997</v>
      </c>
    </row>
    <row r="51" spans="1:26" ht="15" x14ac:dyDescent="0.25">
      <c r="G51" s="66">
        <f>H44+H45+H47+H48+H49</f>
        <v>4331.62</v>
      </c>
      <c r="H51" s="66"/>
      <c r="J51" s="66">
        <f>K44+K45+K47+K48+K49</f>
        <v>26341.72</v>
      </c>
      <c r="K51" s="66"/>
      <c r="L51" s="37">
        <f>Source!U26</f>
        <v>18.870409799999997</v>
      </c>
      <c r="O51" s="23">
        <f>G51</f>
        <v>4331.62</v>
      </c>
      <c r="P51" s="23">
        <f>J51</f>
        <v>26341.72</v>
      </c>
      <c r="Q51" s="23">
        <f>L51</f>
        <v>18.870409799999997</v>
      </c>
      <c r="W51">
        <f>IF(Source!BI26&lt;=1,H44+H45+H47+H48+H49, 0)</f>
        <v>4331.62</v>
      </c>
      <c r="X51">
        <f>IF(Source!BI26=2,H44+H45+H47+H48+H49, 0)</f>
        <v>0</v>
      </c>
      <c r="Y51">
        <f>IF(Source!BI26=3,H44+H45+H47+H48+H49, 0)</f>
        <v>0</v>
      </c>
      <c r="Z51">
        <f>IF(Source!BI26=4,H44+H45+H47+H48+H49, 0)</f>
        <v>0</v>
      </c>
    </row>
    <row r="52" spans="1:26" ht="42.75" x14ac:dyDescent="0.2">
      <c r="A52" s="43" t="str">
        <f>Source!E27</f>
        <v>4</v>
      </c>
      <c r="B52" s="44" t="str">
        <f>Source!F27</f>
        <v>11-01-011-10</v>
      </c>
      <c r="C52" s="44" t="str">
        <f>Source!G27</f>
        <v>Устройство стяжек на каждый последующий слой толщиной 1 мм добавлять к расценке 11-01-011-08</v>
      </c>
      <c r="D52" s="27" t="str">
        <f>Source!H27</f>
        <v>100 м2</v>
      </c>
      <c r="E52" s="10">
        <f>Source!I27</f>
        <v>0.36299999999999999</v>
      </c>
      <c r="F52" s="28">
        <f>Source!AL27+Source!AM27+Source!AO27</f>
        <v>2070.6</v>
      </c>
      <c r="G52" s="29"/>
      <c r="H52" s="28"/>
      <c r="I52" s="29" t="str">
        <f>Source!BO27</f>
        <v/>
      </c>
      <c r="J52" s="29"/>
      <c r="K52" s="28"/>
      <c r="L52" s="30"/>
      <c r="S52">
        <f>ROUND((Source!FX27/100)*((ROUND(Source!AF27*Source!I27, 2)+ROUND(Source!AE27*Source!I27, 2))), 2)</f>
        <v>23.31</v>
      </c>
      <c r="T52">
        <f>Source!X27</f>
        <v>142.15</v>
      </c>
      <c r="U52">
        <f>ROUND((Source!FY27/100)*((ROUND(Source!AF27*Source!I27, 2)+ROUND(Source!AE27*Source!I27, 2))), 2)</f>
        <v>13.43</v>
      </c>
      <c r="V52">
        <f>Source!Y27</f>
        <v>81.96</v>
      </c>
    </row>
    <row r="53" spans="1:26" ht="28.5" x14ac:dyDescent="0.2">
      <c r="A53" s="43"/>
      <c r="B53" s="44"/>
      <c r="C53" s="44" t="s">
        <v>354</v>
      </c>
      <c r="D53" s="27"/>
      <c r="E53" s="10"/>
      <c r="F53" s="28">
        <f>Source!AO27</f>
        <v>20.64</v>
      </c>
      <c r="G53" s="29" t="str">
        <f>Source!DG27</f>
        <v>)*1,15*2)*1,2</v>
      </c>
      <c r="H53" s="28">
        <f>ROUND(Source!AF27*Source!I27, 2)</f>
        <v>20.68</v>
      </c>
      <c r="I53" s="29"/>
      <c r="J53" s="29">
        <f>IF(Source!BA27&lt;&gt; 0, Source!BA27, 1)</f>
        <v>6.08</v>
      </c>
      <c r="K53" s="28">
        <f>Source!S27</f>
        <v>125.74</v>
      </c>
      <c r="L53" s="30"/>
      <c r="R53">
        <f>H53</f>
        <v>20.68</v>
      </c>
    </row>
    <row r="54" spans="1:26" ht="28.5" x14ac:dyDescent="0.2">
      <c r="A54" s="43"/>
      <c r="B54" s="44"/>
      <c r="C54" s="44" t="s">
        <v>156</v>
      </c>
      <c r="D54" s="27"/>
      <c r="E54" s="10"/>
      <c r="F54" s="28">
        <f>Source!AM27</f>
        <v>1.21</v>
      </c>
      <c r="G54" s="29" t="str">
        <f>Source!DE27</f>
        <v>)*1,25*2)*1,2</v>
      </c>
      <c r="H54" s="28">
        <f>ROUND(Source!AD27*Source!I27, 2)</f>
        <v>1.32</v>
      </c>
      <c r="I54" s="29"/>
      <c r="J54" s="29">
        <f>IF(Source!BB27&lt;&gt; 0, Source!BB27, 1)</f>
        <v>6.08</v>
      </c>
      <c r="K54" s="28">
        <f>Source!Q27</f>
        <v>8.01</v>
      </c>
      <c r="L54" s="30"/>
    </row>
    <row r="55" spans="1:26" ht="28.5" x14ac:dyDescent="0.2">
      <c r="A55" s="43"/>
      <c r="B55" s="44"/>
      <c r="C55" s="44" t="s">
        <v>360</v>
      </c>
      <c r="D55" s="27"/>
      <c r="E55" s="10"/>
      <c r="F55" s="28">
        <f>Source!AN27</f>
        <v>0.35</v>
      </c>
      <c r="G55" s="29" t="str">
        <f>Source!DF27</f>
        <v>)*1,25*2)*1,2</v>
      </c>
      <c r="H55" s="38">
        <f>ROUND(Source!AE27*Source!I27, 2)</f>
        <v>0.38</v>
      </c>
      <c r="I55" s="29"/>
      <c r="J55" s="29">
        <f>IF(Source!BS27&lt;&gt; 0, Source!BS27, 1)</f>
        <v>6.08</v>
      </c>
      <c r="K55" s="38">
        <f>Source!R27</f>
        <v>2.3199999999999998</v>
      </c>
      <c r="L55" s="30"/>
      <c r="R55">
        <f>H55</f>
        <v>0.38</v>
      </c>
    </row>
    <row r="56" spans="1:26" ht="14.25" x14ac:dyDescent="0.2">
      <c r="A56" s="43"/>
      <c r="B56" s="44"/>
      <c r="C56" s="44" t="s">
        <v>361</v>
      </c>
      <c r="D56" s="27"/>
      <c r="E56" s="10"/>
      <c r="F56" s="28">
        <f>Source!AL27</f>
        <v>2048.75</v>
      </c>
      <c r="G56" s="29" t="str">
        <f>Source!DD27</f>
        <v>*2</v>
      </c>
      <c r="H56" s="28">
        <f>ROUND(Source!AC27*Source!I27, 2)</f>
        <v>1487.39</v>
      </c>
      <c r="I56" s="29"/>
      <c r="J56" s="29">
        <f>IF(Source!BC27&lt;&gt; 0, Source!BC27, 1)</f>
        <v>6.08</v>
      </c>
      <c r="K56" s="28">
        <f>Source!P27</f>
        <v>9043.35</v>
      </c>
      <c r="L56" s="30"/>
    </row>
    <row r="57" spans="1:26" ht="14.25" x14ac:dyDescent="0.2">
      <c r="A57" s="43"/>
      <c r="B57" s="44"/>
      <c r="C57" s="44" t="s">
        <v>355</v>
      </c>
      <c r="D57" s="27" t="s">
        <v>356</v>
      </c>
      <c r="E57" s="10">
        <f>Source!BZ27</f>
        <v>123</v>
      </c>
      <c r="F57" s="55" t="str">
        <f>CONCATENATE(" )", Source!DL27, Source!FT27, "=", Source!FX27)</f>
        <v xml:space="preserve"> )*0,9=110,7</v>
      </c>
      <c r="G57" s="67"/>
      <c r="H57" s="28">
        <f>SUM(S52:S59)</f>
        <v>23.31</v>
      </c>
      <c r="I57" s="31"/>
      <c r="J57" s="26">
        <f>Source!AT27</f>
        <v>111</v>
      </c>
      <c r="K57" s="28">
        <f>SUM(T52:T59)</f>
        <v>142.15</v>
      </c>
      <c r="L57" s="30"/>
    </row>
    <row r="58" spans="1:26" ht="14.25" x14ac:dyDescent="0.2">
      <c r="A58" s="43"/>
      <c r="B58" s="44"/>
      <c r="C58" s="44" t="s">
        <v>357</v>
      </c>
      <c r="D58" s="27" t="s">
        <v>356</v>
      </c>
      <c r="E58" s="10">
        <f>Source!CA27</f>
        <v>75</v>
      </c>
      <c r="F58" s="55" t="str">
        <f>CONCATENATE(" )", Source!DM27, Source!FU27, "=", Source!FY27)</f>
        <v xml:space="preserve"> )*0,85=63,75</v>
      </c>
      <c r="G58" s="67"/>
      <c r="H58" s="28">
        <f>SUM(U52:U59)</f>
        <v>13.43</v>
      </c>
      <c r="I58" s="31"/>
      <c r="J58" s="26">
        <f>Source!AU27</f>
        <v>64</v>
      </c>
      <c r="K58" s="28">
        <f>SUM(V52:V59)</f>
        <v>81.96</v>
      </c>
      <c r="L58" s="30"/>
    </row>
    <row r="59" spans="1:26" ht="28.5" x14ac:dyDescent="0.2">
      <c r="A59" s="45"/>
      <c r="B59" s="46"/>
      <c r="C59" s="46" t="s">
        <v>358</v>
      </c>
      <c r="D59" s="32" t="s">
        <v>359</v>
      </c>
      <c r="E59" s="33">
        <f>Source!AQ27</f>
        <v>2.42</v>
      </c>
      <c r="F59" s="34"/>
      <c r="G59" s="35" t="str">
        <f>Source!DI27</f>
        <v>)*1,15*2)*1,2</v>
      </c>
      <c r="H59" s="34"/>
      <c r="I59" s="35"/>
      <c r="J59" s="35"/>
      <c r="K59" s="34"/>
      <c r="L59" s="36">
        <f>Source!U27</f>
        <v>2.4245495999999997</v>
      </c>
    </row>
    <row r="60" spans="1:26" ht="15" x14ac:dyDescent="0.25">
      <c r="G60" s="66">
        <f>H53+H54+H56+H57+H58</f>
        <v>1546.13</v>
      </c>
      <c r="H60" s="66"/>
      <c r="J60" s="66">
        <f>K53+K54+K56+K57+K58</f>
        <v>9401.2099999999991</v>
      </c>
      <c r="K60" s="66"/>
      <c r="L60" s="37">
        <f>Source!U27</f>
        <v>2.4245495999999997</v>
      </c>
      <c r="O60" s="23">
        <f>G60</f>
        <v>1546.13</v>
      </c>
      <c r="P60" s="23">
        <f>J60</f>
        <v>9401.2099999999991</v>
      </c>
      <c r="Q60" s="23">
        <f>L60</f>
        <v>2.4245495999999997</v>
      </c>
      <c r="W60">
        <f>IF(Source!BI27&lt;=1,H53+H54+H56+H57+H58, 0)</f>
        <v>1546.13</v>
      </c>
      <c r="X60">
        <f>IF(Source!BI27=2,H53+H54+H56+H57+H58, 0)</f>
        <v>0</v>
      </c>
      <c r="Y60">
        <f>IF(Source!BI27=3,H53+H54+H56+H57+H58, 0)</f>
        <v>0</v>
      </c>
      <c r="Z60">
        <f>IF(Source!BI27=4,H53+H54+H56+H57+H58, 0)</f>
        <v>0</v>
      </c>
    </row>
    <row r="61" spans="1:26" ht="28.5" x14ac:dyDescent="0.2">
      <c r="A61" s="43" t="str">
        <f>Source!E28</f>
        <v>5</v>
      </c>
      <c r="B61" s="44" t="str">
        <f>Source!F28</f>
        <v>11-01-036-01</v>
      </c>
      <c r="C61" s="44" t="str">
        <f>Source!G28</f>
        <v>Устройство покрытий из линолеума на клее</v>
      </c>
      <c r="D61" s="27" t="str">
        <f>Source!H28</f>
        <v>100 м2</v>
      </c>
      <c r="E61" s="10">
        <f>Source!I28</f>
        <v>0.36299999999999999</v>
      </c>
      <c r="F61" s="28">
        <f>Source!AL28+Source!AM28+Source!AO28</f>
        <v>397.04999999999995</v>
      </c>
      <c r="G61" s="29"/>
      <c r="H61" s="28"/>
      <c r="I61" s="29" t="str">
        <f>Source!BO28</f>
        <v/>
      </c>
      <c r="J61" s="29"/>
      <c r="K61" s="28"/>
      <c r="L61" s="30"/>
      <c r="S61">
        <f>ROUND((Source!FX28/100)*((ROUND(Source!AF28*Source!I28, 2)+ROUND(Source!AE28*Source!I28, 2))), 2)</f>
        <v>201.74</v>
      </c>
      <c r="T61">
        <f>Source!X28</f>
        <v>1229.8800000000001</v>
      </c>
      <c r="U61">
        <f>ROUND((Source!FY28/100)*((ROUND(Source!AF28*Source!I28, 2)+ROUND(Source!AE28*Source!I28, 2))), 2)</f>
        <v>116.18</v>
      </c>
      <c r="V61">
        <f>Source!Y28</f>
        <v>709.12</v>
      </c>
    </row>
    <row r="62" spans="1:26" ht="14.25" x14ac:dyDescent="0.2">
      <c r="A62" s="43"/>
      <c r="B62" s="44"/>
      <c r="C62" s="44" t="s">
        <v>354</v>
      </c>
      <c r="D62" s="27"/>
      <c r="E62" s="10"/>
      <c r="F62" s="28">
        <f>Source!AO28</f>
        <v>352.34</v>
      </c>
      <c r="G62" s="29" t="str">
        <f>Source!DG28</f>
        <v>)*1,15)*1,2</v>
      </c>
      <c r="H62" s="28">
        <f>ROUND(Source!AF28*Source!I28, 2)</f>
        <v>176.5</v>
      </c>
      <c r="I62" s="29"/>
      <c r="J62" s="29">
        <f>IF(Source!BA28&lt;&gt; 0, Source!BA28, 1)</f>
        <v>6.08</v>
      </c>
      <c r="K62" s="28">
        <f>Source!S28</f>
        <v>1073.1300000000001</v>
      </c>
      <c r="L62" s="30"/>
      <c r="R62">
        <f>H62</f>
        <v>176.5</v>
      </c>
    </row>
    <row r="63" spans="1:26" ht="14.25" x14ac:dyDescent="0.2">
      <c r="A63" s="43"/>
      <c r="B63" s="44"/>
      <c r="C63" s="44" t="s">
        <v>156</v>
      </c>
      <c r="D63" s="27"/>
      <c r="E63" s="10"/>
      <c r="F63" s="28">
        <f>Source!AM28</f>
        <v>43.8</v>
      </c>
      <c r="G63" s="29" t="str">
        <f>Source!DE28</f>
        <v>)*1,25)*1,2</v>
      </c>
      <c r="H63" s="28">
        <f>ROUND(Source!AD28*Source!I28, 2)</f>
        <v>23.85</v>
      </c>
      <c r="I63" s="29"/>
      <c r="J63" s="29">
        <f>IF(Source!BB28&lt;&gt; 0, Source!BB28, 1)</f>
        <v>6.08</v>
      </c>
      <c r="K63" s="28">
        <f>Source!Q28</f>
        <v>145.02000000000001</v>
      </c>
      <c r="L63" s="30"/>
    </row>
    <row r="64" spans="1:26" ht="14.25" x14ac:dyDescent="0.2">
      <c r="A64" s="43"/>
      <c r="B64" s="44"/>
      <c r="C64" s="44" t="s">
        <v>360</v>
      </c>
      <c r="D64" s="27"/>
      <c r="E64" s="10"/>
      <c r="F64" s="28">
        <f>Source!AN28</f>
        <v>10.53</v>
      </c>
      <c r="G64" s="29" t="str">
        <f>Source!DF28</f>
        <v>)*1,25)*1,2</v>
      </c>
      <c r="H64" s="38">
        <f>ROUND(Source!AE28*Source!I28, 2)</f>
        <v>5.74</v>
      </c>
      <c r="I64" s="29"/>
      <c r="J64" s="29">
        <f>IF(Source!BS28&lt;&gt; 0, Source!BS28, 1)</f>
        <v>6.08</v>
      </c>
      <c r="K64" s="38">
        <f>Source!R28</f>
        <v>34.869999999999997</v>
      </c>
      <c r="L64" s="30"/>
      <c r="R64">
        <f>H64</f>
        <v>5.74</v>
      </c>
    </row>
    <row r="65" spans="1:26" ht="14.25" x14ac:dyDescent="0.2">
      <c r="A65" s="43"/>
      <c r="B65" s="44"/>
      <c r="C65" s="44" t="s">
        <v>361</v>
      </c>
      <c r="D65" s="27"/>
      <c r="E65" s="10"/>
      <c r="F65" s="28">
        <f>Source!AL28</f>
        <v>0.91</v>
      </c>
      <c r="G65" s="29" t="str">
        <f>Source!DD28</f>
        <v/>
      </c>
      <c r="H65" s="28">
        <f>ROUND(Source!AC28*Source!I28, 2)</f>
        <v>0.33</v>
      </c>
      <c r="I65" s="29"/>
      <c r="J65" s="29">
        <f>IF(Source!BC28&lt;&gt; 0, Source!BC28, 1)</f>
        <v>6.08</v>
      </c>
      <c r="K65" s="28">
        <f>Source!P28</f>
        <v>2.0099999999999998</v>
      </c>
      <c r="L65" s="30"/>
    </row>
    <row r="66" spans="1:26" ht="14.25" x14ac:dyDescent="0.2">
      <c r="A66" s="43"/>
      <c r="B66" s="44"/>
      <c r="C66" s="44" t="s">
        <v>355</v>
      </c>
      <c r="D66" s="27" t="s">
        <v>356</v>
      </c>
      <c r="E66" s="10">
        <f>Source!BZ28</f>
        <v>123</v>
      </c>
      <c r="F66" s="55" t="str">
        <f>CONCATENATE(" )", Source!DL28, Source!FT28, "=", Source!FX28)</f>
        <v xml:space="preserve"> )*0,9=110,7</v>
      </c>
      <c r="G66" s="67"/>
      <c r="H66" s="28">
        <f>SUM(S61:S72)</f>
        <v>201.74</v>
      </c>
      <c r="I66" s="31"/>
      <c r="J66" s="26">
        <f>Source!AT28</f>
        <v>111</v>
      </c>
      <c r="K66" s="28">
        <f>SUM(T61:T72)</f>
        <v>1229.8800000000001</v>
      </c>
      <c r="L66" s="30"/>
    </row>
    <row r="67" spans="1:26" ht="14.25" x14ac:dyDescent="0.2">
      <c r="A67" s="43"/>
      <c r="B67" s="44"/>
      <c r="C67" s="44" t="s">
        <v>357</v>
      </c>
      <c r="D67" s="27" t="s">
        <v>356</v>
      </c>
      <c r="E67" s="10">
        <f>Source!CA28</f>
        <v>75</v>
      </c>
      <c r="F67" s="55" t="str">
        <f>CONCATENATE(" )", Source!DM28, Source!FU28, "=", Source!FY28)</f>
        <v xml:space="preserve"> )*0,85=63,75</v>
      </c>
      <c r="G67" s="67"/>
      <c r="H67" s="28">
        <f>SUM(U61:U72)</f>
        <v>116.18</v>
      </c>
      <c r="I67" s="31"/>
      <c r="J67" s="26">
        <f>Source!AU28</f>
        <v>64</v>
      </c>
      <c r="K67" s="28">
        <f>SUM(V61:V72)</f>
        <v>709.12</v>
      </c>
      <c r="L67" s="30"/>
    </row>
    <row r="68" spans="1:26" ht="14.25" x14ac:dyDescent="0.2">
      <c r="A68" s="43"/>
      <c r="B68" s="44"/>
      <c r="C68" s="44" t="s">
        <v>358</v>
      </c>
      <c r="D68" s="27" t="s">
        <v>359</v>
      </c>
      <c r="E68" s="10">
        <f>Source!AQ28</f>
        <v>42.4</v>
      </c>
      <c r="F68" s="28"/>
      <c r="G68" s="29" t="str">
        <f>Source!DI28</f>
        <v>)*1,15)*1,2</v>
      </c>
      <c r="H68" s="28"/>
      <c r="I68" s="29"/>
      <c r="J68" s="29"/>
      <c r="K68" s="28"/>
      <c r="L68" s="39">
        <f>Source!U28</f>
        <v>21.239855999999996</v>
      </c>
    </row>
    <row r="69" spans="1:26" ht="57" x14ac:dyDescent="0.2">
      <c r="A69" s="43" t="str">
        <f>Source!E29</f>
        <v>5,1</v>
      </c>
      <c r="B69" s="44" t="str">
        <f>Source!F29</f>
        <v>01.6.03.04-0121</v>
      </c>
      <c r="C69" s="44" t="str">
        <f>Source!G29</f>
        <v>Линолеум коммерческий гомогенный "ТАРКЕТТ iQ MONOLIT" (толщина 2 мм, класс 34/43, пож. безопасность Г1, В2, РП1, Д2, Т2)</v>
      </c>
      <c r="D69" s="27" t="str">
        <f>Source!H29</f>
        <v>м2</v>
      </c>
      <c r="E69" s="10">
        <f>Source!I29</f>
        <v>37.026000000000003</v>
      </c>
      <c r="F69" s="28">
        <f>Source!AL29+Source!AM29+Source!AO29</f>
        <v>176.21</v>
      </c>
      <c r="G69" s="40" t="s">
        <v>3</v>
      </c>
      <c r="H69" s="28">
        <f>ROUND(Source!AC29*Source!I29, 2)+ROUND(Source!AD29*Source!I29, 2)+ROUND(Source!AF29*Source!I29, 2)</f>
        <v>6524.35</v>
      </c>
      <c r="I69" s="29"/>
      <c r="J69" s="29">
        <f>IF(Source!BC29&lt;&gt; 0, Source!BC29, 1)</f>
        <v>6.08</v>
      </c>
      <c r="K69" s="28">
        <f>Source!O29</f>
        <v>39668.06</v>
      </c>
      <c r="L69" s="30"/>
      <c r="S69">
        <f>ROUND((Source!FX29/100)*((ROUND(Source!AF29*Source!I29, 2)+ROUND(Source!AE29*Source!I29, 2))), 2)</f>
        <v>0</v>
      </c>
      <c r="T69">
        <f>Source!X29</f>
        <v>0</v>
      </c>
      <c r="U69">
        <f>ROUND((Source!FY29/100)*((ROUND(Source!AF29*Source!I29, 2)+ROUND(Source!AE29*Source!I29, 2))), 2)</f>
        <v>0</v>
      </c>
      <c r="V69">
        <f>Source!Y29</f>
        <v>0</v>
      </c>
      <c r="W69">
        <f>IF(Source!BI29&lt;=1,H69, 0)</f>
        <v>6524.35</v>
      </c>
      <c r="X69">
        <f>IF(Source!BI29=2,H69, 0)</f>
        <v>0</v>
      </c>
      <c r="Y69">
        <f>IF(Source!BI29=3,H69, 0)</f>
        <v>0</v>
      </c>
      <c r="Z69">
        <f>IF(Source!BI29=4,H69, 0)</f>
        <v>0</v>
      </c>
    </row>
    <row r="70" spans="1:26" ht="28.5" x14ac:dyDescent="0.2">
      <c r="A70" s="43" t="str">
        <f>Source!E30</f>
        <v>5,2</v>
      </c>
      <c r="B70" s="44" t="str">
        <f>Source!F30</f>
        <v>01.6.03.04</v>
      </c>
      <c r="C70" s="44" t="str">
        <f>Source!G30</f>
        <v>Линолеум на теплозвукоизолирующей подоснове</v>
      </c>
      <c r="D70" s="27" t="str">
        <f>Source!H30</f>
        <v>м2</v>
      </c>
      <c r="E70" s="10">
        <f>Source!I30</f>
        <v>37.026000000000003</v>
      </c>
      <c r="F70" s="28">
        <f>Source!AL30+Source!AM30+Source!AO30</f>
        <v>0</v>
      </c>
      <c r="G70" s="40" t="s">
        <v>3</v>
      </c>
      <c r="H70" s="28">
        <f>ROUND(Source!AC30*Source!I30, 2)+ROUND(Source!AD30*Source!I30, 2)+ROUND(Source!AF30*Source!I30, 2)</f>
        <v>0</v>
      </c>
      <c r="I70" s="29"/>
      <c r="J70" s="29">
        <f>IF(Source!BC30&lt;&gt; 0, Source!BC30, 1)</f>
        <v>6.08</v>
      </c>
      <c r="K70" s="28">
        <f>Source!O30</f>
        <v>0</v>
      </c>
      <c r="L70" s="30"/>
      <c r="S70">
        <f>ROUND((Source!FX30/100)*((ROUND(Source!AF30*Source!I30, 2)+ROUND(Source!AE30*Source!I30, 2))), 2)</f>
        <v>0</v>
      </c>
      <c r="T70">
        <f>Source!X30</f>
        <v>0</v>
      </c>
      <c r="U70">
        <f>ROUND((Source!FY30/100)*((ROUND(Source!AF30*Source!I30, 2)+ROUND(Source!AE30*Source!I30, 2))), 2)</f>
        <v>0</v>
      </c>
      <c r="V70">
        <f>Source!Y30</f>
        <v>0</v>
      </c>
      <c r="W70">
        <f>IF(Source!BI30&lt;=1,H70, 0)</f>
        <v>0</v>
      </c>
      <c r="X70">
        <f>IF(Source!BI30=2,H70, 0)</f>
        <v>0</v>
      </c>
      <c r="Y70">
        <f>IF(Source!BI30=3,H70, 0)</f>
        <v>0</v>
      </c>
      <c r="Z70">
        <f>IF(Source!BI30=4,H70, 0)</f>
        <v>0</v>
      </c>
    </row>
    <row r="71" spans="1:26" ht="14.25" x14ac:dyDescent="0.2">
      <c r="A71" s="43" t="str">
        <f>Source!E31</f>
        <v>5,3</v>
      </c>
      <c r="B71" s="44" t="str">
        <f>Source!F31</f>
        <v>14.1.02.04-0101</v>
      </c>
      <c r="C71" s="44" t="str">
        <f>Source!G31</f>
        <v>Клей «Бустилат»</v>
      </c>
      <c r="D71" s="27" t="str">
        <f>Source!H31</f>
        <v>т</v>
      </c>
      <c r="E71" s="10">
        <f>Source!I31</f>
        <v>1.8149999999999999E-2</v>
      </c>
      <c r="F71" s="28">
        <f>Source!AL31+Source!AM31+Source!AO31</f>
        <v>11300</v>
      </c>
      <c r="G71" s="40" t="s">
        <v>3</v>
      </c>
      <c r="H71" s="28">
        <f>ROUND(Source!AC31*Source!I31, 2)+ROUND(Source!AD31*Source!I31, 2)+ROUND(Source!AF31*Source!I31, 2)</f>
        <v>205.1</v>
      </c>
      <c r="I71" s="29"/>
      <c r="J71" s="29">
        <f>IF(Source!BC31&lt;&gt; 0, Source!BC31, 1)</f>
        <v>6.08</v>
      </c>
      <c r="K71" s="28">
        <f>Source!O31</f>
        <v>1246.98</v>
      </c>
      <c r="L71" s="30"/>
      <c r="S71">
        <f>ROUND((Source!FX31/100)*((ROUND(Source!AF31*Source!I31, 2)+ROUND(Source!AE31*Source!I31, 2))), 2)</f>
        <v>0</v>
      </c>
      <c r="T71">
        <f>Source!X31</f>
        <v>0</v>
      </c>
      <c r="U71">
        <f>ROUND((Source!FY31/100)*((ROUND(Source!AF31*Source!I31, 2)+ROUND(Source!AE31*Source!I31, 2))), 2)</f>
        <v>0</v>
      </c>
      <c r="V71">
        <f>Source!Y31</f>
        <v>0</v>
      </c>
      <c r="W71">
        <f>IF(Source!BI31&lt;=1,H71, 0)</f>
        <v>205.1</v>
      </c>
      <c r="X71">
        <f>IF(Source!BI31=2,H71, 0)</f>
        <v>0</v>
      </c>
      <c r="Y71">
        <f>IF(Source!BI31=3,H71, 0)</f>
        <v>0</v>
      </c>
      <c r="Z71">
        <f>IF(Source!BI31=4,H71, 0)</f>
        <v>0</v>
      </c>
    </row>
    <row r="72" spans="1:26" ht="14.25" x14ac:dyDescent="0.2">
      <c r="A72" s="45" t="str">
        <f>Source!E32</f>
        <v>5,4</v>
      </c>
      <c r="B72" s="46" t="str">
        <f>Source!F32</f>
        <v>14.1.06.05</v>
      </c>
      <c r="C72" s="46" t="str">
        <f>Source!G32</f>
        <v>Состав клеящий</v>
      </c>
      <c r="D72" s="32" t="str">
        <f>Source!H32</f>
        <v>кг</v>
      </c>
      <c r="E72" s="33">
        <f>Source!I32</f>
        <v>18.149999999999999</v>
      </c>
      <c r="F72" s="34">
        <f>Source!AL32+Source!AM32+Source!AO32</f>
        <v>0</v>
      </c>
      <c r="G72" s="41" t="s">
        <v>3</v>
      </c>
      <c r="H72" s="34">
        <f>ROUND(Source!AC32*Source!I32, 2)+ROUND(Source!AD32*Source!I32, 2)+ROUND(Source!AF32*Source!I32, 2)</f>
        <v>0</v>
      </c>
      <c r="I72" s="35"/>
      <c r="J72" s="35">
        <f>IF(Source!BC32&lt;&gt; 0, Source!BC32, 1)</f>
        <v>6.08</v>
      </c>
      <c r="K72" s="34">
        <f>Source!O32</f>
        <v>0</v>
      </c>
      <c r="L72" s="42"/>
      <c r="S72">
        <f>ROUND((Source!FX32/100)*((ROUND(Source!AF32*Source!I32, 2)+ROUND(Source!AE32*Source!I32, 2))), 2)</f>
        <v>0</v>
      </c>
      <c r="T72">
        <f>Source!X32</f>
        <v>0</v>
      </c>
      <c r="U72">
        <f>ROUND((Source!FY32/100)*((ROUND(Source!AF32*Source!I32, 2)+ROUND(Source!AE32*Source!I32, 2))), 2)</f>
        <v>0</v>
      </c>
      <c r="V72">
        <f>Source!Y32</f>
        <v>0</v>
      </c>
      <c r="W72">
        <f>IF(Source!BI32&lt;=1,H72, 0)</f>
        <v>0</v>
      </c>
      <c r="X72">
        <f>IF(Source!BI32=2,H72, 0)</f>
        <v>0</v>
      </c>
      <c r="Y72">
        <f>IF(Source!BI32=3,H72, 0)</f>
        <v>0</v>
      </c>
      <c r="Z72">
        <f>IF(Source!BI32=4,H72, 0)</f>
        <v>0</v>
      </c>
    </row>
    <row r="73" spans="1:26" ht="15" x14ac:dyDescent="0.25">
      <c r="G73" s="66">
        <f>H62+H63+H65+H66+H67+SUM(H69:H72)</f>
        <v>7248.0500000000011</v>
      </c>
      <c r="H73" s="66"/>
      <c r="J73" s="66">
        <f>K62+K63+K65+K66+K67+SUM(K69:K72)</f>
        <v>44074.2</v>
      </c>
      <c r="K73" s="66"/>
      <c r="L73" s="37">
        <f>Source!U28</f>
        <v>21.239855999999996</v>
      </c>
      <c r="O73" s="23">
        <f>G73</f>
        <v>7248.0500000000011</v>
      </c>
      <c r="P73" s="23">
        <f>J73</f>
        <v>44074.2</v>
      </c>
      <c r="Q73" s="23">
        <f>L73</f>
        <v>21.239855999999996</v>
      </c>
      <c r="W73">
        <f>IF(Source!BI28&lt;=1,H62+H63+H65+H66+H67, 0)</f>
        <v>518.6</v>
      </c>
      <c r="X73">
        <f>IF(Source!BI28=2,H62+H63+H65+H66+H67, 0)</f>
        <v>0</v>
      </c>
      <c r="Y73">
        <f>IF(Source!BI28=3,H62+H63+H65+H66+H67, 0)</f>
        <v>0</v>
      </c>
      <c r="Z73">
        <f>IF(Source!BI28=4,H62+H63+H65+H66+H67, 0)</f>
        <v>0</v>
      </c>
    </row>
    <row r="74" spans="1:26" ht="28.5" x14ac:dyDescent="0.2">
      <c r="A74" s="43" t="str">
        <f>Source!E33</f>
        <v>6</v>
      </c>
      <c r="B74" s="44" t="str">
        <f>Source!F33</f>
        <v>11-01-040-01</v>
      </c>
      <c r="C74" s="44" t="str">
        <f>Source!G33</f>
        <v>Устройство плинтусов поливинилхлоридных на клее КН-2</v>
      </c>
      <c r="D74" s="27" t="str">
        <f>Source!H33</f>
        <v>100 м</v>
      </c>
      <c r="E74" s="10">
        <f>Source!I33</f>
        <v>0.23</v>
      </c>
      <c r="F74" s="28">
        <f>Source!AL33+Source!AM33+Source!AO33</f>
        <v>133.12</v>
      </c>
      <c r="G74" s="29"/>
      <c r="H74" s="28"/>
      <c r="I74" s="29" t="str">
        <f>Source!BO33</f>
        <v/>
      </c>
      <c r="J74" s="29"/>
      <c r="K74" s="28"/>
      <c r="L74" s="30"/>
      <c r="S74">
        <f>ROUND((Source!FX33/100)*((ROUND(Source!AF33*Source!I33, 2)+ROUND(Source!AE33*Source!I33, 2))), 2)</f>
        <v>31.05</v>
      </c>
      <c r="T74">
        <f>Source!X33</f>
        <v>189.35</v>
      </c>
      <c r="U74">
        <f>ROUND((Source!FY33/100)*((ROUND(Source!AF33*Source!I33, 2)+ROUND(Source!AE33*Source!I33, 2))), 2)</f>
        <v>17.88</v>
      </c>
      <c r="V74">
        <f>Source!Y33</f>
        <v>109.18</v>
      </c>
    </row>
    <row r="75" spans="1:26" ht="14.25" x14ac:dyDescent="0.2">
      <c r="A75" s="43"/>
      <c r="B75" s="44"/>
      <c r="C75" s="44" t="s">
        <v>354</v>
      </c>
      <c r="D75" s="27"/>
      <c r="E75" s="10"/>
      <c r="F75" s="28">
        <f>Source!AO33</f>
        <v>87.94</v>
      </c>
      <c r="G75" s="29" t="str">
        <f>Source!DG33</f>
        <v>)*1,15)*1,2</v>
      </c>
      <c r="H75" s="28">
        <f>ROUND(Source!AF33*Source!I33, 2)</f>
        <v>27.91</v>
      </c>
      <c r="I75" s="29"/>
      <c r="J75" s="29">
        <f>IF(Source!BA33&lt;&gt; 0, Source!BA33, 1)</f>
        <v>6.08</v>
      </c>
      <c r="K75" s="28">
        <f>Source!S33</f>
        <v>169.71</v>
      </c>
      <c r="L75" s="30"/>
      <c r="R75">
        <f>H75</f>
        <v>27.91</v>
      </c>
    </row>
    <row r="76" spans="1:26" ht="14.25" x14ac:dyDescent="0.2">
      <c r="A76" s="43"/>
      <c r="B76" s="44"/>
      <c r="C76" s="44" t="s">
        <v>156</v>
      </c>
      <c r="D76" s="27"/>
      <c r="E76" s="10"/>
      <c r="F76" s="28">
        <f>Source!AM33</f>
        <v>2.13</v>
      </c>
      <c r="G76" s="29" t="str">
        <f>Source!DE33</f>
        <v>)*1,25)*1,2</v>
      </c>
      <c r="H76" s="28">
        <f>ROUND(Source!AD33*Source!I33, 2)</f>
        <v>0.74</v>
      </c>
      <c r="I76" s="29"/>
      <c r="J76" s="29">
        <f>IF(Source!BB33&lt;&gt; 0, Source!BB33, 1)</f>
        <v>6.08</v>
      </c>
      <c r="K76" s="28">
        <f>Source!Q33</f>
        <v>4.47</v>
      </c>
      <c r="L76" s="30"/>
    </row>
    <row r="77" spans="1:26" ht="14.25" x14ac:dyDescent="0.2">
      <c r="A77" s="43"/>
      <c r="B77" s="44"/>
      <c r="C77" s="44" t="s">
        <v>360</v>
      </c>
      <c r="D77" s="27"/>
      <c r="E77" s="10"/>
      <c r="F77" s="28">
        <f>Source!AN33</f>
        <v>0.42</v>
      </c>
      <c r="G77" s="29" t="str">
        <f>Source!DF33</f>
        <v>)*1,25)*1,2</v>
      </c>
      <c r="H77" s="38">
        <f>ROUND(Source!AE33*Source!I33, 2)</f>
        <v>0.14000000000000001</v>
      </c>
      <c r="I77" s="29"/>
      <c r="J77" s="29">
        <f>IF(Source!BS33&lt;&gt; 0, Source!BS33, 1)</f>
        <v>6.08</v>
      </c>
      <c r="K77" s="38">
        <f>Source!R33</f>
        <v>0.88</v>
      </c>
      <c r="L77" s="30"/>
      <c r="R77">
        <f>H77</f>
        <v>0.14000000000000001</v>
      </c>
    </row>
    <row r="78" spans="1:26" ht="14.25" x14ac:dyDescent="0.2">
      <c r="A78" s="43"/>
      <c r="B78" s="44"/>
      <c r="C78" s="44" t="s">
        <v>361</v>
      </c>
      <c r="D78" s="27"/>
      <c r="E78" s="10"/>
      <c r="F78" s="28">
        <f>Source!AL33</f>
        <v>43.05</v>
      </c>
      <c r="G78" s="29" t="str">
        <f>Source!DD33</f>
        <v/>
      </c>
      <c r="H78" s="28">
        <f>ROUND(Source!AC33*Source!I33, 2)</f>
        <v>9.9</v>
      </c>
      <c r="I78" s="29"/>
      <c r="J78" s="29">
        <f>IF(Source!BC33&lt;&gt; 0, Source!BC33, 1)</f>
        <v>6.08</v>
      </c>
      <c r="K78" s="28">
        <f>Source!P33</f>
        <v>60.2</v>
      </c>
      <c r="L78" s="30"/>
    </row>
    <row r="79" spans="1:26" ht="14.25" x14ac:dyDescent="0.2">
      <c r="A79" s="43"/>
      <c r="B79" s="44"/>
      <c r="C79" s="44" t="s">
        <v>355</v>
      </c>
      <c r="D79" s="27" t="s">
        <v>356</v>
      </c>
      <c r="E79" s="10">
        <f>Source!BZ33</f>
        <v>123</v>
      </c>
      <c r="F79" s="55" t="str">
        <f>CONCATENATE(" )", Source!DL33, Source!FT33, "=", Source!FX33)</f>
        <v xml:space="preserve"> )*0,9=110,7</v>
      </c>
      <c r="G79" s="67"/>
      <c r="H79" s="28">
        <f>SUM(S74:S83)</f>
        <v>31.05</v>
      </c>
      <c r="I79" s="31"/>
      <c r="J79" s="26">
        <f>Source!AT33</f>
        <v>111</v>
      </c>
      <c r="K79" s="28">
        <f>SUM(T74:T83)</f>
        <v>189.35</v>
      </c>
      <c r="L79" s="30"/>
    </row>
    <row r="80" spans="1:26" ht="14.25" x14ac:dyDescent="0.2">
      <c r="A80" s="43"/>
      <c r="B80" s="44"/>
      <c r="C80" s="44" t="s">
        <v>357</v>
      </c>
      <c r="D80" s="27" t="s">
        <v>356</v>
      </c>
      <c r="E80" s="10">
        <f>Source!CA33</f>
        <v>75</v>
      </c>
      <c r="F80" s="55" t="str">
        <f>CONCATENATE(" )", Source!DM33, Source!FU33, "=", Source!FY33)</f>
        <v xml:space="preserve"> )*0,85=63,75</v>
      </c>
      <c r="G80" s="67"/>
      <c r="H80" s="28">
        <f>SUM(U74:U83)</f>
        <v>17.88</v>
      </c>
      <c r="I80" s="31"/>
      <c r="J80" s="26">
        <f>Source!AU33</f>
        <v>64</v>
      </c>
      <c r="K80" s="28">
        <f>SUM(V74:V83)</f>
        <v>109.18</v>
      </c>
      <c r="L80" s="30"/>
    </row>
    <row r="81" spans="1:26" ht="14.25" x14ac:dyDescent="0.2">
      <c r="A81" s="43"/>
      <c r="B81" s="44"/>
      <c r="C81" s="44" t="s">
        <v>358</v>
      </c>
      <c r="D81" s="27" t="s">
        <v>359</v>
      </c>
      <c r="E81" s="10">
        <f>Source!AQ33</f>
        <v>9.01</v>
      </c>
      <c r="F81" s="28"/>
      <c r="G81" s="29" t="str">
        <f>Source!DI33</f>
        <v>)*1,15)*1,2</v>
      </c>
      <c r="H81" s="28"/>
      <c r="I81" s="29"/>
      <c r="J81" s="29"/>
      <c r="K81" s="28"/>
      <c r="L81" s="39">
        <f>Source!U33</f>
        <v>2.8597740000000003</v>
      </c>
    </row>
    <row r="82" spans="1:26" ht="28.5" x14ac:dyDescent="0.2">
      <c r="A82" s="43" t="str">
        <f>Source!E34</f>
        <v>6,1</v>
      </c>
      <c r="B82" s="44" t="str">
        <f>Source!F34</f>
        <v>11.3.03.06-0001</v>
      </c>
      <c r="C82" s="44" t="str">
        <f>Source!G34</f>
        <v>Плинтуса для полов пластиковые, 19х48 мм</v>
      </c>
      <c r="D82" s="27" t="str">
        <f>Source!H34</f>
        <v>м</v>
      </c>
      <c r="E82" s="10">
        <f>Source!I34</f>
        <v>23.23</v>
      </c>
      <c r="F82" s="28">
        <f>Source!AL34+Source!AM34+Source!AO34</f>
        <v>12.3</v>
      </c>
      <c r="G82" s="40" t="s">
        <v>3</v>
      </c>
      <c r="H82" s="28">
        <f>ROUND(Source!AC34*Source!I34, 2)+ROUND(Source!AD34*Source!I34, 2)+ROUND(Source!AF34*Source!I34, 2)</f>
        <v>285.73</v>
      </c>
      <c r="I82" s="29"/>
      <c r="J82" s="29">
        <f>IF(Source!BC34&lt;&gt; 0, Source!BC34, 1)</f>
        <v>6.08</v>
      </c>
      <c r="K82" s="28">
        <f>Source!O34</f>
        <v>1737.23</v>
      </c>
      <c r="L82" s="30"/>
      <c r="S82">
        <f>ROUND((Source!FX34/100)*((ROUND(Source!AF34*Source!I34, 2)+ROUND(Source!AE34*Source!I34, 2))), 2)</f>
        <v>0</v>
      </c>
      <c r="T82">
        <f>Source!X34</f>
        <v>0</v>
      </c>
      <c r="U82">
        <f>ROUND((Source!FY34/100)*((ROUND(Source!AF34*Source!I34, 2)+ROUND(Source!AE34*Source!I34, 2))), 2)</f>
        <v>0</v>
      </c>
      <c r="V82">
        <f>Source!Y34</f>
        <v>0</v>
      </c>
      <c r="W82">
        <f>IF(Source!BI34&lt;=1,H82, 0)</f>
        <v>285.73</v>
      </c>
      <c r="X82">
        <f>IF(Source!BI34=2,H82, 0)</f>
        <v>0</v>
      </c>
      <c r="Y82">
        <f>IF(Source!BI34=3,H82, 0)</f>
        <v>0</v>
      </c>
      <c r="Z82">
        <f>IF(Source!BI34=4,H82, 0)</f>
        <v>0</v>
      </c>
    </row>
    <row r="83" spans="1:26" ht="14.25" x14ac:dyDescent="0.2">
      <c r="A83" s="45" t="str">
        <f>Source!E35</f>
        <v>6,2</v>
      </c>
      <c r="B83" s="46" t="str">
        <f>Source!F35</f>
        <v>11.3.03.06</v>
      </c>
      <c r="C83" s="46" t="str">
        <f>Source!G35</f>
        <v>Плинтуса для полов пластиковые</v>
      </c>
      <c r="D83" s="32" t="str">
        <f>Source!H35</f>
        <v>м</v>
      </c>
      <c r="E83" s="33">
        <f>Source!I35</f>
        <v>23.23</v>
      </c>
      <c r="F83" s="34">
        <f>Source!AL35+Source!AM35+Source!AO35</f>
        <v>0</v>
      </c>
      <c r="G83" s="41" t="s">
        <v>3</v>
      </c>
      <c r="H83" s="34">
        <f>ROUND(Source!AC35*Source!I35, 2)+ROUND(Source!AD35*Source!I35, 2)+ROUND(Source!AF35*Source!I35, 2)</f>
        <v>0</v>
      </c>
      <c r="I83" s="35"/>
      <c r="J83" s="35">
        <f>IF(Source!BC35&lt;&gt; 0, Source!BC35, 1)</f>
        <v>6.08</v>
      </c>
      <c r="K83" s="34">
        <f>Source!O35</f>
        <v>0</v>
      </c>
      <c r="L83" s="42"/>
      <c r="S83">
        <f>ROUND((Source!FX35/100)*((ROUND(Source!AF35*Source!I35, 2)+ROUND(Source!AE35*Source!I35, 2))), 2)</f>
        <v>0</v>
      </c>
      <c r="T83">
        <f>Source!X35</f>
        <v>0</v>
      </c>
      <c r="U83">
        <f>ROUND((Source!FY35/100)*((ROUND(Source!AF35*Source!I35, 2)+ROUND(Source!AE35*Source!I35, 2))), 2)</f>
        <v>0</v>
      </c>
      <c r="V83">
        <f>Source!Y35</f>
        <v>0</v>
      </c>
      <c r="W83">
        <f>IF(Source!BI35&lt;=1,H83, 0)</f>
        <v>0</v>
      </c>
      <c r="X83">
        <f>IF(Source!BI35=2,H83, 0)</f>
        <v>0</v>
      </c>
      <c r="Y83">
        <f>IF(Source!BI35=3,H83, 0)</f>
        <v>0</v>
      </c>
      <c r="Z83">
        <f>IF(Source!BI35=4,H83, 0)</f>
        <v>0</v>
      </c>
    </row>
    <row r="84" spans="1:26" ht="15" x14ac:dyDescent="0.25">
      <c r="G84" s="66">
        <f>H75+H76+H78+H79+H80+SUM(H82:H83)</f>
        <v>373.21000000000004</v>
      </c>
      <c r="H84" s="66"/>
      <c r="J84" s="66">
        <f>K75+K76+K78+K79+K80+SUM(K82:K83)</f>
        <v>2270.1400000000003</v>
      </c>
      <c r="K84" s="66"/>
      <c r="L84" s="37">
        <f>Source!U33</f>
        <v>2.8597740000000003</v>
      </c>
      <c r="O84" s="23">
        <f>G84</f>
        <v>373.21000000000004</v>
      </c>
      <c r="P84" s="23">
        <f>J84</f>
        <v>2270.1400000000003</v>
      </c>
      <c r="Q84" s="23">
        <f>L84</f>
        <v>2.8597740000000003</v>
      </c>
      <c r="W84">
        <f>IF(Source!BI33&lt;=1,H75+H76+H78+H79+H80, 0)</f>
        <v>87.47999999999999</v>
      </c>
      <c r="X84">
        <f>IF(Source!BI33=2,H75+H76+H78+H79+H80, 0)</f>
        <v>0</v>
      </c>
      <c r="Y84">
        <f>IF(Source!BI33=3,H75+H76+H78+H79+H80, 0)</f>
        <v>0</v>
      </c>
      <c r="Z84">
        <f>IF(Source!BI33=4,H75+H76+H78+H79+H80, 0)</f>
        <v>0</v>
      </c>
    </row>
    <row r="85" spans="1:26" ht="14.25" x14ac:dyDescent="0.2">
      <c r="A85" s="43" t="str">
        <f>Source!E36</f>
        <v>7</v>
      </c>
      <c r="B85" s="44" t="str">
        <f>Source!F36</f>
        <v>13-06-003-01</v>
      </c>
      <c r="C85" s="44" t="str">
        <f>Source!G36</f>
        <v>Очистка поверхности щетками</v>
      </c>
      <c r="D85" s="27" t="str">
        <f>Source!H36</f>
        <v>м2</v>
      </c>
      <c r="E85" s="10">
        <f>Source!I36</f>
        <v>76.900000000000006</v>
      </c>
      <c r="F85" s="28">
        <f>Source!AL36+Source!AM36+Source!AO36</f>
        <v>7.68</v>
      </c>
      <c r="G85" s="29"/>
      <c r="H85" s="28"/>
      <c r="I85" s="29" t="str">
        <f>Source!BO36</f>
        <v/>
      </c>
      <c r="J85" s="29"/>
      <c r="K85" s="28"/>
      <c r="L85" s="30"/>
      <c r="S85">
        <f>ROUND((Source!FX36/100)*((ROUND(Source!AF36*Source!I36, 2)+ROUND(Source!AE36*Source!I36, 2))), 2)</f>
        <v>660.26</v>
      </c>
      <c r="T85">
        <f>Source!X36</f>
        <v>4014.4</v>
      </c>
      <c r="U85">
        <f>ROUND((Source!FY36/100)*((ROUND(Source!AF36*Source!I36, 2)+ROUND(Source!AE36*Source!I36, 2))), 2)</f>
        <v>485.01</v>
      </c>
      <c r="V85">
        <f>Source!Y36</f>
        <v>2973.63</v>
      </c>
    </row>
    <row r="86" spans="1:26" ht="14.25" x14ac:dyDescent="0.2">
      <c r="A86" s="43"/>
      <c r="B86" s="44"/>
      <c r="C86" s="44" t="s">
        <v>354</v>
      </c>
      <c r="D86" s="27"/>
      <c r="E86" s="10"/>
      <c r="F86" s="28">
        <f>Source!AO36</f>
        <v>7.68</v>
      </c>
      <c r="G86" s="29" t="str">
        <f>Source!DG36</f>
        <v>)*1,15)*1,2</v>
      </c>
      <c r="H86" s="28">
        <f>ROUND(Source!AF36*Source!I36, 2)</f>
        <v>815.14</v>
      </c>
      <c r="I86" s="29"/>
      <c r="J86" s="29">
        <f>IF(Source!BA36&lt;&gt; 0, Source!BA36, 1)</f>
        <v>6.08</v>
      </c>
      <c r="K86" s="28">
        <f>Source!S36</f>
        <v>4956.05</v>
      </c>
      <c r="L86" s="30"/>
      <c r="R86">
        <f>H86</f>
        <v>815.14</v>
      </c>
    </row>
    <row r="87" spans="1:26" ht="14.25" x14ac:dyDescent="0.2">
      <c r="A87" s="43"/>
      <c r="B87" s="44"/>
      <c r="C87" s="44" t="s">
        <v>355</v>
      </c>
      <c r="D87" s="27" t="s">
        <v>356</v>
      </c>
      <c r="E87" s="10">
        <f>Source!BZ36</f>
        <v>90</v>
      </c>
      <c r="F87" s="55" t="str">
        <f>CONCATENATE(" )", Source!DL36, Source!FT36, "=", Source!FX36)</f>
        <v xml:space="preserve"> )*0,9=81</v>
      </c>
      <c r="G87" s="67"/>
      <c r="H87" s="28">
        <f>SUM(S85:S89)</f>
        <v>660.26</v>
      </c>
      <c r="I87" s="31"/>
      <c r="J87" s="26">
        <f>Source!AT36</f>
        <v>81</v>
      </c>
      <c r="K87" s="28">
        <f>SUM(T85:T89)</f>
        <v>4014.4</v>
      </c>
      <c r="L87" s="30"/>
    </row>
    <row r="88" spans="1:26" ht="14.25" x14ac:dyDescent="0.2">
      <c r="A88" s="43"/>
      <c r="B88" s="44"/>
      <c r="C88" s="44" t="s">
        <v>357</v>
      </c>
      <c r="D88" s="27" t="s">
        <v>356</v>
      </c>
      <c r="E88" s="10">
        <f>Source!CA36</f>
        <v>70</v>
      </c>
      <c r="F88" s="55" t="str">
        <f>CONCATENATE(" )", Source!DM36, Source!FU36, "=", Source!FY36)</f>
        <v xml:space="preserve"> )*0,85=59,5</v>
      </c>
      <c r="G88" s="67"/>
      <c r="H88" s="28">
        <f>SUM(U85:U89)</f>
        <v>485.01</v>
      </c>
      <c r="I88" s="31"/>
      <c r="J88" s="26">
        <f>Source!AU36</f>
        <v>60</v>
      </c>
      <c r="K88" s="28">
        <f>SUM(V85:V89)</f>
        <v>2973.63</v>
      </c>
      <c r="L88" s="30"/>
    </row>
    <row r="89" spans="1:26" ht="14.25" x14ac:dyDescent="0.2">
      <c r="A89" s="45"/>
      <c r="B89" s="46"/>
      <c r="C89" s="46" t="s">
        <v>358</v>
      </c>
      <c r="D89" s="32" t="s">
        <v>359</v>
      </c>
      <c r="E89" s="33">
        <f>Source!AQ36</f>
        <v>0.9</v>
      </c>
      <c r="F89" s="34"/>
      <c r="G89" s="35" t="str">
        <f>Source!DI36</f>
        <v>)*1,15)*1,2</v>
      </c>
      <c r="H89" s="34"/>
      <c r="I89" s="35"/>
      <c r="J89" s="35"/>
      <c r="K89" s="34"/>
      <c r="L89" s="36">
        <f>Source!U36</f>
        <v>95.509799999999984</v>
      </c>
    </row>
    <row r="90" spans="1:26" ht="15" x14ac:dyDescent="0.25">
      <c r="G90" s="66">
        <f>H86+H87+H88</f>
        <v>1960.41</v>
      </c>
      <c r="H90" s="66"/>
      <c r="J90" s="66">
        <f>K86+K87+K88</f>
        <v>11944.080000000002</v>
      </c>
      <c r="K90" s="66"/>
      <c r="L90" s="37">
        <f>Source!U36</f>
        <v>95.509799999999984</v>
      </c>
      <c r="O90" s="23">
        <f>G90</f>
        <v>1960.41</v>
      </c>
      <c r="P90" s="23">
        <f>J90</f>
        <v>11944.080000000002</v>
      </c>
      <c r="Q90" s="23">
        <f>L90</f>
        <v>95.509799999999984</v>
      </c>
      <c r="W90">
        <f>IF(Source!BI36&lt;=1,H86+H87+H88, 0)</f>
        <v>1960.41</v>
      </c>
      <c r="X90">
        <f>IF(Source!BI36=2,H86+H87+H88, 0)</f>
        <v>0</v>
      </c>
      <c r="Y90">
        <f>IF(Source!BI36=3,H86+H87+H88, 0)</f>
        <v>0</v>
      </c>
      <c r="Z90">
        <f>IF(Source!BI36=4,H86+H87+H88, 0)</f>
        <v>0</v>
      </c>
    </row>
    <row r="91" spans="1:26" ht="85.5" x14ac:dyDescent="0.2">
      <c r="A91" s="43" t="str">
        <f>Source!E37</f>
        <v>8</v>
      </c>
      <c r="B91" s="44" t="str">
        <f>Source!F37</f>
        <v>61-1-9</v>
      </c>
      <c r="C91" s="44" t="str">
        <f>Source!G37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91" s="27" t="str">
        <f>Source!H37</f>
        <v>100 м2</v>
      </c>
      <c r="E91" s="10">
        <f>Source!I37</f>
        <v>0.76900000000000002</v>
      </c>
      <c r="F91" s="28">
        <f>Source!AL37+Source!AM37+Source!AO37</f>
        <v>321.53000000000003</v>
      </c>
      <c r="G91" s="29"/>
      <c r="H91" s="28"/>
      <c r="I91" s="29" t="str">
        <f>Source!BO37</f>
        <v/>
      </c>
      <c r="J91" s="29"/>
      <c r="K91" s="28"/>
      <c r="L91" s="30"/>
      <c r="S91">
        <f>ROUND((Source!FX37/100)*((ROUND(Source!AF37*Source!I37, 2)+ROUND(Source!AE37*Source!I37, 2))), 2)</f>
        <v>190.33</v>
      </c>
      <c r="T91">
        <f>Source!X37</f>
        <v>1157.22</v>
      </c>
      <c r="U91">
        <f>ROUND((Source!FY37/100)*((ROUND(Source!AF37*Source!I37, 2)+ROUND(Source!AE37*Source!I37, 2))), 2)</f>
        <v>120.47</v>
      </c>
      <c r="V91">
        <f>Source!Y37</f>
        <v>732.42</v>
      </c>
    </row>
    <row r="92" spans="1:26" ht="14.25" x14ac:dyDescent="0.2">
      <c r="A92" s="43"/>
      <c r="B92" s="44"/>
      <c r="C92" s="44" t="s">
        <v>354</v>
      </c>
      <c r="D92" s="27"/>
      <c r="E92" s="10"/>
      <c r="F92" s="28">
        <f>Source!AO37</f>
        <v>303.12</v>
      </c>
      <c r="G92" s="29" t="str">
        <f>Source!DG37</f>
        <v/>
      </c>
      <c r="H92" s="28">
        <f>ROUND(Source!AF37*Source!I37, 2)</f>
        <v>233.1</v>
      </c>
      <c r="I92" s="29"/>
      <c r="J92" s="29">
        <f>IF(Source!BA37&lt;&gt; 0, Source!BA37, 1)</f>
        <v>6.08</v>
      </c>
      <c r="K92" s="28">
        <f>Source!S37</f>
        <v>1417.24</v>
      </c>
      <c r="L92" s="30"/>
      <c r="R92">
        <f>H92</f>
        <v>233.1</v>
      </c>
    </row>
    <row r="93" spans="1:26" ht="14.25" x14ac:dyDescent="0.2">
      <c r="A93" s="43"/>
      <c r="B93" s="44"/>
      <c r="C93" s="44" t="s">
        <v>156</v>
      </c>
      <c r="D93" s="27"/>
      <c r="E93" s="10"/>
      <c r="F93" s="28">
        <f>Source!AM37</f>
        <v>17.16</v>
      </c>
      <c r="G93" s="29" t="str">
        <f>Source!DE37</f>
        <v/>
      </c>
      <c r="H93" s="28">
        <f>ROUND(Source!AD37*Source!I37, 2)</f>
        <v>13.2</v>
      </c>
      <c r="I93" s="29"/>
      <c r="J93" s="29">
        <f>IF(Source!BB37&lt;&gt; 0, Source!BB37, 1)</f>
        <v>6.08</v>
      </c>
      <c r="K93" s="28">
        <f>Source!Q37</f>
        <v>80.23</v>
      </c>
      <c r="L93" s="30"/>
    </row>
    <row r="94" spans="1:26" ht="14.25" x14ac:dyDescent="0.2">
      <c r="A94" s="43"/>
      <c r="B94" s="44"/>
      <c r="C94" s="44" t="s">
        <v>360</v>
      </c>
      <c r="D94" s="27"/>
      <c r="E94" s="10"/>
      <c r="F94" s="28">
        <f>Source!AN37</f>
        <v>10.18</v>
      </c>
      <c r="G94" s="29" t="str">
        <f>Source!DF37</f>
        <v/>
      </c>
      <c r="H94" s="38">
        <f>ROUND(Source!AE37*Source!I37, 2)</f>
        <v>7.83</v>
      </c>
      <c r="I94" s="29"/>
      <c r="J94" s="29">
        <f>IF(Source!BS37&lt;&gt; 0, Source!BS37, 1)</f>
        <v>6.08</v>
      </c>
      <c r="K94" s="38">
        <f>Source!R37</f>
        <v>47.6</v>
      </c>
      <c r="L94" s="30"/>
      <c r="R94">
        <f>H94</f>
        <v>7.83</v>
      </c>
    </row>
    <row r="95" spans="1:26" ht="14.25" x14ac:dyDescent="0.2">
      <c r="A95" s="43"/>
      <c r="B95" s="44"/>
      <c r="C95" s="44" t="s">
        <v>361</v>
      </c>
      <c r="D95" s="27"/>
      <c r="E95" s="10"/>
      <c r="F95" s="28">
        <f>Source!AL37</f>
        <v>1.25</v>
      </c>
      <c r="G95" s="29" t="str">
        <f>Source!DD37</f>
        <v/>
      </c>
      <c r="H95" s="28">
        <f>ROUND(Source!AC37*Source!I37, 2)</f>
        <v>0.96</v>
      </c>
      <c r="I95" s="29"/>
      <c r="J95" s="29">
        <f>IF(Source!BC37&lt;&gt; 0, Source!BC37, 1)</f>
        <v>6.08</v>
      </c>
      <c r="K95" s="28">
        <f>Source!P37</f>
        <v>5.84</v>
      </c>
      <c r="L95" s="30"/>
    </row>
    <row r="96" spans="1:26" ht="14.25" x14ac:dyDescent="0.2">
      <c r="A96" s="43"/>
      <c r="B96" s="44"/>
      <c r="C96" s="44" t="s">
        <v>355</v>
      </c>
      <c r="D96" s="27" t="s">
        <v>356</v>
      </c>
      <c r="E96" s="10">
        <f>Source!BZ37</f>
        <v>79</v>
      </c>
      <c r="F96" s="47"/>
      <c r="G96" s="29"/>
      <c r="H96" s="28">
        <f>SUM(S91:S100)</f>
        <v>190.33</v>
      </c>
      <c r="I96" s="31"/>
      <c r="J96" s="26">
        <f>Source!AT37</f>
        <v>79</v>
      </c>
      <c r="K96" s="28">
        <f>SUM(T91:T100)</f>
        <v>1157.22</v>
      </c>
      <c r="L96" s="30"/>
    </row>
    <row r="97" spans="1:26" ht="14.25" x14ac:dyDescent="0.2">
      <c r="A97" s="43"/>
      <c r="B97" s="44"/>
      <c r="C97" s="44" t="s">
        <v>357</v>
      </c>
      <c r="D97" s="27" t="s">
        <v>356</v>
      </c>
      <c r="E97" s="10">
        <f>Source!CA37</f>
        <v>50</v>
      </c>
      <c r="F97" s="47"/>
      <c r="G97" s="29"/>
      <c r="H97" s="28">
        <f>SUM(U91:U100)</f>
        <v>120.47</v>
      </c>
      <c r="I97" s="31"/>
      <c r="J97" s="26">
        <f>Source!AU37</f>
        <v>50</v>
      </c>
      <c r="K97" s="28">
        <f>SUM(V91:V100)</f>
        <v>732.42</v>
      </c>
      <c r="L97" s="30"/>
    </row>
    <row r="98" spans="1:26" ht="14.25" x14ac:dyDescent="0.2">
      <c r="A98" s="43"/>
      <c r="B98" s="44"/>
      <c r="C98" s="44" t="s">
        <v>358</v>
      </c>
      <c r="D98" s="27" t="s">
        <v>359</v>
      </c>
      <c r="E98" s="10">
        <f>Source!AQ37</f>
        <v>35.83</v>
      </c>
      <c r="F98" s="28"/>
      <c r="G98" s="29" t="str">
        <f>Source!DI37</f>
        <v/>
      </c>
      <c r="H98" s="28"/>
      <c r="I98" s="29"/>
      <c r="J98" s="29"/>
      <c r="K98" s="28"/>
      <c r="L98" s="39">
        <f>Source!U37</f>
        <v>27.553269999999998</v>
      </c>
    </row>
    <row r="99" spans="1:26" ht="42.75" x14ac:dyDescent="0.2">
      <c r="A99" s="43" t="str">
        <f>Source!E38</f>
        <v>8,1</v>
      </c>
      <c r="B99" s="44" t="str">
        <f>Source!F38</f>
        <v>04.3.02.12-0002</v>
      </c>
      <c r="C99" s="44" t="str">
        <f>Source!G38</f>
        <v>Смесь сухая штукатурная цементно-известково-песчаная "БИРСС 15" (марка М100)</v>
      </c>
      <c r="D99" s="27" t="str">
        <f>Source!H38</f>
        <v>т</v>
      </c>
      <c r="E99" s="10">
        <f>Source!I38</f>
        <v>0.65749500000000005</v>
      </c>
      <c r="F99" s="28">
        <f>Source!AL38+Source!AM38+Source!AO38</f>
        <v>931.37</v>
      </c>
      <c r="G99" s="40" t="s">
        <v>3</v>
      </c>
      <c r="H99" s="28">
        <f>ROUND(Source!AC38*Source!I38, 2)+ROUND(Source!AD38*Source!I38, 2)+ROUND(Source!AF38*Source!I38, 2)</f>
        <v>612.37</v>
      </c>
      <c r="I99" s="29"/>
      <c r="J99" s="29">
        <f>IF(Source!BC38&lt;&gt; 0, Source!BC38, 1)</f>
        <v>6.08</v>
      </c>
      <c r="K99" s="28">
        <f>Source!O38</f>
        <v>3723.22</v>
      </c>
      <c r="L99" s="30"/>
      <c r="S99">
        <f>ROUND((Source!FX38/100)*((ROUND(Source!AF38*Source!I38, 2)+ROUND(Source!AE38*Source!I38, 2))), 2)</f>
        <v>0</v>
      </c>
      <c r="T99">
        <f>Source!X38</f>
        <v>0</v>
      </c>
      <c r="U99">
        <f>ROUND((Source!FY38/100)*((ROUND(Source!AF38*Source!I38, 2)+ROUND(Source!AE38*Source!I38, 2))), 2)</f>
        <v>0</v>
      </c>
      <c r="V99">
        <f>Source!Y38</f>
        <v>0</v>
      </c>
      <c r="W99">
        <f>IF(Source!BI38&lt;=1,H99, 0)</f>
        <v>612.37</v>
      </c>
      <c r="X99">
        <f>IF(Source!BI38=2,H99, 0)</f>
        <v>0</v>
      </c>
      <c r="Y99">
        <f>IF(Source!BI38=3,H99, 0)</f>
        <v>0</v>
      </c>
      <c r="Z99">
        <f>IF(Source!BI38=4,H99, 0)</f>
        <v>0</v>
      </c>
    </row>
    <row r="100" spans="1:26" ht="14.25" x14ac:dyDescent="0.2">
      <c r="A100" s="45" t="str">
        <f>Source!E39</f>
        <v>8,2</v>
      </c>
      <c r="B100" s="46" t="str">
        <f>Source!F39</f>
        <v>04.3.02.09</v>
      </c>
      <c r="C100" s="46" t="str">
        <f>Source!G39</f>
        <v>Смеси на цементной основе</v>
      </c>
      <c r="D100" s="32" t="str">
        <f>Source!H39</f>
        <v>т</v>
      </c>
      <c r="E100" s="33">
        <f>Source!I39</f>
        <v>0.65749500000000005</v>
      </c>
      <c r="F100" s="34">
        <f>Source!AL39+Source!AM39+Source!AO39</f>
        <v>0</v>
      </c>
      <c r="G100" s="41" t="s">
        <v>3</v>
      </c>
      <c r="H100" s="34">
        <f>ROUND(Source!AC39*Source!I39, 2)+ROUND(Source!AD39*Source!I39, 2)+ROUND(Source!AF39*Source!I39, 2)</f>
        <v>0</v>
      </c>
      <c r="I100" s="35"/>
      <c r="J100" s="35">
        <f>IF(Source!BC39&lt;&gt; 0, Source!BC39, 1)</f>
        <v>6.08</v>
      </c>
      <c r="K100" s="34">
        <f>Source!O39</f>
        <v>0</v>
      </c>
      <c r="L100" s="42"/>
      <c r="S100">
        <f>ROUND((Source!FX39/100)*((ROUND(Source!AF39*Source!I39, 2)+ROUND(Source!AE39*Source!I39, 2))), 2)</f>
        <v>0</v>
      </c>
      <c r="T100">
        <f>Source!X39</f>
        <v>0</v>
      </c>
      <c r="U100">
        <f>ROUND((Source!FY39/100)*((ROUND(Source!AF39*Source!I39, 2)+ROUND(Source!AE39*Source!I39, 2))), 2)</f>
        <v>0</v>
      </c>
      <c r="V100">
        <f>Source!Y39</f>
        <v>0</v>
      </c>
      <c r="W100">
        <f>IF(Source!BI39&lt;=1,H100, 0)</f>
        <v>0</v>
      </c>
      <c r="X100">
        <f>IF(Source!BI39=2,H100, 0)</f>
        <v>0</v>
      </c>
      <c r="Y100">
        <f>IF(Source!BI39=3,H100, 0)</f>
        <v>0</v>
      </c>
      <c r="Z100">
        <f>IF(Source!BI39=4,H100, 0)</f>
        <v>0</v>
      </c>
    </row>
    <row r="101" spans="1:26" ht="15" x14ac:dyDescent="0.25">
      <c r="G101" s="66">
        <f>H92+H93+H95+H96+H97+SUM(H99:H100)</f>
        <v>1170.43</v>
      </c>
      <c r="H101" s="66"/>
      <c r="J101" s="66">
        <f>K92+K93+K95+K96+K97+SUM(K99:K100)</f>
        <v>7116.17</v>
      </c>
      <c r="K101" s="66"/>
      <c r="L101" s="37">
        <f>Source!U37</f>
        <v>27.553269999999998</v>
      </c>
      <c r="O101" s="23">
        <f>G101</f>
        <v>1170.43</v>
      </c>
      <c r="P101" s="23">
        <f>J101</f>
        <v>7116.17</v>
      </c>
      <c r="Q101" s="23">
        <f>L101</f>
        <v>27.553269999999998</v>
      </c>
      <c r="W101">
        <f>IF(Source!BI37&lt;=1,H92+H93+H95+H96+H97, 0)</f>
        <v>558.06000000000006</v>
      </c>
      <c r="X101">
        <f>IF(Source!BI37=2,H92+H93+H95+H96+H97, 0)</f>
        <v>0</v>
      </c>
      <c r="Y101">
        <f>IF(Source!BI37=3,H92+H93+H95+H96+H97, 0)</f>
        <v>0</v>
      </c>
      <c r="Z101">
        <f>IF(Source!BI37=4,H92+H93+H95+H96+H97, 0)</f>
        <v>0</v>
      </c>
    </row>
    <row r="102" spans="1:26" ht="28.5" x14ac:dyDescent="0.2">
      <c r="A102" s="43" t="str">
        <f>Source!E40</f>
        <v>9</v>
      </c>
      <c r="B102" s="44" t="str">
        <f>Source!F40</f>
        <v>15-04-006-03</v>
      </c>
      <c r="C102" s="44" t="str">
        <f>Source!G40</f>
        <v>Покрытие поверхностей грунтовкой глубокого проникновения за 1 раз стен</v>
      </c>
      <c r="D102" s="27" t="str">
        <f>Source!H40</f>
        <v>100 м2</v>
      </c>
      <c r="E102" s="10">
        <f>Source!I40</f>
        <v>0.76900000000000002</v>
      </c>
      <c r="F102" s="28">
        <f>Source!AL40+Source!AM40+Source!AO40</f>
        <v>64.16</v>
      </c>
      <c r="G102" s="29"/>
      <c r="H102" s="28"/>
      <c r="I102" s="29" t="str">
        <f>Source!BO40</f>
        <v/>
      </c>
      <c r="J102" s="29"/>
      <c r="K102" s="28"/>
      <c r="L102" s="30"/>
      <c r="S102">
        <f>ROUND((Source!FX40/100)*((ROUND(Source!AF40*Source!I40, 2)+ROUND(Source!AE40*Source!I40, 2))), 2)</f>
        <v>63.47</v>
      </c>
      <c r="T102">
        <f>Source!X40</f>
        <v>387.94</v>
      </c>
      <c r="U102">
        <f>ROUND((Source!FY40/100)*((ROUND(Source!AF40*Source!I40, 2)+ROUND(Source!AE40*Source!I40, 2))), 2)</f>
        <v>31.4</v>
      </c>
      <c r="V102">
        <f>Source!Y40</f>
        <v>191.93</v>
      </c>
    </row>
    <row r="103" spans="1:26" ht="14.25" x14ac:dyDescent="0.2">
      <c r="A103" s="43"/>
      <c r="B103" s="44"/>
      <c r="C103" s="44" t="s">
        <v>354</v>
      </c>
      <c r="D103" s="27"/>
      <c r="E103" s="10"/>
      <c r="F103" s="28">
        <f>Source!AO40</f>
        <v>63.01</v>
      </c>
      <c r="G103" s="29" t="str">
        <f>Source!DG40</f>
        <v>)*1,15)*1,2</v>
      </c>
      <c r="H103" s="28">
        <f>ROUND(Source!AF40*Source!I40, 2)</f>
        <v>66.86</v>
      </c>
      <c r="I103" s="29"/>
      <c r="J103" s="29">
        <f>IF(Source!BA40&lt;&gt; 0, Source!BA40, 1)</f>
        <v>6.08</v>
      </c>
      <c r="K103" s="28">
        <f>Source!S40</f>
        <v>406.54</v>
      </c>
      <c r="L103" s="30"/>
      <c r="R103">
        <f>H103</f>
        <v>66.86</v>
      </c>
    </row>
    <row r="104" spans="1:26" ht="14.25" x14ac:dyDescent="0.2">
      <c r="A104" s="43"/>
      <c r="B104" s="44"/>
      <c r="C104" s="44" t="s">
        <v>156</v>
      </c>
      <c r="D104" s="27"/>
      <c r="E104" s="10"/>
      <c r="F104" s="28">
        <f>Source!AM40</f>
        <v>0.97</v>
      </c>
      <c r="G104" s="29" t="str">
        <f>Source!DE40</f>
        <v>)*1,25)*1,2</v>
      </c>
      <c r="H104" s="28">
        <f>ROUND(Source!AD40*Source!I40, 2)</f>
        <v>1.1200000000000001</v>
      </c>
      <c r="I104" s="29"/>
      <c r="J104" s="29">
        <f>IF(Source!BB40&lt;&gt; 0, Source!BB40, 1)</f>
        <v>6.08</v>
      </c>
      <c r="K104" s="28">
        <f>Source!Q40</f>
        <v>6.83</v>
      </c>
      <c r="L104" s="30"/>
    </row>
    <row r="105" spans="1:26" ht="14.25" x14ac:dyDescent="0.2">
      <c r="A105" s="43"/>
      <c r="B105" s="44"/>
      <c r="C105" s="44" t="s">
        <v>360</v>
      </c>
      <c r="D105" s="27"/>
      <c r="E105" s="10"/>
      <c r="F105" s="28">
        <f>Source!AN40</f>
        <v>0.26</v>
      </c>
      <c r="G105" s="29" t="str">
        <f>Source!DF40</f>
        <v>)*1,25)*1,2</v>
      </c>
      <c r="H105" s="38">
        <f>ROUND(Source!AE40*Source!I40, 2)</f>
        <v>0.3</v>
      </c>
      <c r="I105" s="29"/>
      <c r="J105" s="29">
        <f>IF(Source!BS40&lt;&gt; 0, Source!BS40, 1)</f>
        <v>6.08</v>
      </c>
      <c r="K105" s="38">
        <f>Source!R40</f>
        <v>1.82</v>
      </c>
      <c r="L105" s="30"/>
      <c r="R105">
        <f>H105</f>
        <v>0.3</v>
      </c>
    </row>
    <row r="106" spans="1:26" ht="14.25" x14ac:dyDescent="0.2">
      <c r="A106" s="43"/>
      <c r="B106" s="44"/>
      <c r="C106" s="44" t="s">
        <v>361</v>
      </c>
      <c r="D106" s="27"/>
      <c r="E106" s="10"/>
      <c r="F106" s="28">
        <f>Source!AL40</f>
        <v>0.18</v>
      </c>
      <c r="G106" s="29" t="str">
        <f>Source!DD40</f>
        <v/>
      </c>
      <c r="H106" s="28">
        <f>ROUND(Source!AC40*Source!I40, 2)</f>
        <v>0.14000000000000001</v>
      </c>
      <c r="I106" s="29"/>
      <c r="J106" s="29">
        <f>IF(Source!BC40&lt;&gt; 0, Source!BC40, 1)</f>
        <v>6.08</v>
      </c>
      <c r="K106" s="28">
        <f>Source!P40</f>
        <v>0.84</v>
      </c>
      <c r="L106" s="30"/>
    </row>
    <row r="107" spans="1:26" ht="14.25" x14ac:dyDescent="0.2">
      <c r="A107" s="43"/>
      <c r="B107" s="44"/>
      <c r="C107" s="44" t="s">
        <v>355</v>
      </c>
      <c r="D107" s="27" t="s">
        <v>356</v>
      </c>
      <c r="E107" s="10">
        <f>Source!BZ40</f>
        <v>105</v>
      </c>
      <c r="F107" s="55" t="str">
        <f>CONCATENATE(" )", Source!DL40, Source!FT40, "=", Source!FX40)</f>
        <v xml:space="preserve"> )*0,9=94,5</v>
      </c>
      <c r="G107" s="67"/>
      <c r="H107" s="28">
        <f>SUM(S102:S111)</f>
        <v>63.47</v>
      </c>
      <c r="I107" s="31"/>
      <c r="J107" s="26">
        <f>Source!AT40</f>
        <v>95</v>
      </c>
      <c r="K107" s="28">
        <f>SUM(T102:T111)</f>
        <v>387.94</v>
      </c>
      <c r="L107" s="30"/>
    </row>
    <row r="108" spans="1:26" ht="14.25" x14ac:dyDescent="0.2">
      <c r="A108" s="43"/>
      <c r="B108" s="44"/>
      <c r="C108" s="44" t="s">
        <v>357</v>
      </c>
      <c r="D108" s="27" t="s">
        <v>356</v>
      </c>
      <c r="E108" s="10">
        <f>Source!CA40</f>
        <v>55</v>
      </c>
      <c r="F108" s="55" t="str">
        <f>CONCATENATE(" )", Source!DM40, Source!FU40, "=", Source!FY40)</f>
        <v xml:space="preserve"> )*0,85=46,75</v>
      </c>
      <c r="G108" s="67"/>
      <c r="H108" s="28">
        <f>SUM(U102:U111)</f>
        <v>31.4</v>
      </c>
      <c r="I108" s="31"/>
      <c r="J108" s="26">
        <f>Source!AU40</f>
        <v>47</v>
      </c>
      <c r="K108" s="28">
        <f>SUM(V102:V111)</f>
        <v>191.93</v>
      </c>
      <c r="L108" s="30"/>
    </row>
    <row r="109" spans="1:26" ht="14.25" x14ac:dyDescent="0.2">
      <c r="A109" s="43"/>
      <c r="B109" s="44"/>
      <c r="C109" s="44" t="s">
        <v>358</v>
      </c>
      <c r="D109" s="27" t="s">
        <v>359</v>
      </c>
      <c r="E109" s="10">
        <f>Source!AQ40</f>
        <v>6.55</v>
      </c>
      <c r="F109" s="28"/>
      <c r="G109" s="29" t="str">
        <f>Source!DI40</f>
        <v>)*1,15)*1,2</v>
      </c>
      <c r="H109" s="28"/>
      <c r="I109" s="29"/>
      <c r="J109" s="29"/>
      <c r="K109" s="28"/>
      <c r="L109" s="39">
        <f>Source!U40</f>
        <v>6.9509909999999984</v>
      </c>
    </row>
    <row r="110" spans="1:26" ht="28.5" x14ac:dyDescent="0.2">
      <c r="A110" s="43" t="str">
        <f>Source!E41</f>
        <v>9,1</v>
      </c>
      <c r="B110" s="44" t="str">
        <f>Source!F41</f>
        <v>14.3.01.02-0102</v>
      </c>
      <c r="C110" s="44" t="str">
        <f>Source!G41</f>
        <v>Грунтовка: водно-дисперсионная "БИРСС Бетон-контакт"</v>
      </c>
      <c r="D110" s="27" t="str">
        <f>Source!H41</f>
        <v>т</v>
      </c>
      <c r="E110" s="10">
        <f>Source!I41</f>
        <v>9.9970000000000007E-3</v>
      </c>
      <c r="F110" s="28">
        <f>Source!AL41+Source!AM41+Source!AO41</f>
        <v>18390.16</v>
      </c>
      <c r="G110" s="40" t="s">
        <v>3</v>
      </c>
      <c r="H110" s="28">
        <f>ROUND(Source!AC41*Source!I41, 2)+ROUND(Source!AD41*Source!I41, 2)+ROUND(Source!AF41*Source!I41, 2)</f>
        <v>183.85</v>
      </c>
      <c r="I110" s="29"/>
      <c r="J110" s="29">
        <f>IF(Source!BC41&lt;&gt; 0, Source!BC41, 1)</f>
        <v>6.08</v>
      </c>
      <c r="K110" s="28">
        <f>Source!O41</f>
        <v>1117.79</v>
      </c>
      <c r="L110" s="30"/>
      <c r="S110">
        <f>ROUND((Source!FX41/100)*((ROUND(Source!AF41*Source!I41, 2)+ROUND(Source!AE41*Source!I41, 2))), 2)</f>
        <v>0</v>
      </c>
      <c r="T110">
        <f>Source!X41</f>
        <v>0</v>
      </c>
      <c r="U110">
        <f>ROUND((Source!FY41/100)*((ROUND(Source!AF41*Source!I41, 2)+ROUND(Source!AE41*Source!I41, 2))), 2)</f>
        <v>0</v>
      </c>
      <c r="V110">
        <f>Source!Y41</f>
        <v>0</v>
      </c>
      <c r="W110">
        <f>IF(Source!BI41&lt;=1,H110, 0)</f>
        <v>183.85</v>
      </c>
      <c r="X110">
        <f>IF(Source!BI41=2,H110, 0)</f>
        <v>0</v>
      </c>
      <c r="Y110">
        <f>IF(Source!BI41=3,H110, 0)</f>
        <v>0</v>
      </c>
      <c r="Z110">
        <f>IF(Source!BI41=4,H110, 0)</f>
        <v>0</v>
      </c>
    </row>
    <row r="111" spans="1:26" ht="14.25" x14ac:dyDescent="0.2">
      <c r="A111" s="45" t="str">
        <f>Source!E42</f>
        <v>9,2</v>
      </c>
      <c r="B111" s="46" t="str">
        <f>Source!F42</f>
        <v>14.4.01.21</v>
      </c>
      <c r="C111" s="46" t="str">
        <f>Source!G42</f>
        <v>Грунтовка</v>
      </c>
      <c r="D111" s="32" t="str">
        <f>Source!H42</f>
        <v>т</v>
      </c>
      <c r="E111" s="33">
        <f>Source!I42</f>
        <v>9.9970000000000007E-3</v>
      </c>
      <c r="F111" s="34">
        <f>Source!AL42+Source!AM42+Source!AO42</f>
        <v>0</v>
      </c>
      <c r="G111" s="41" t="s">
        <v>3</v>
      </c>
      <c r="H111" s="34">
        <f>ROUND(Source!AC42*Source!I42, 2)+ROUND(Source!AD42*Source!I42, 2)+ROUND(Source!AF42*Source!I42, 2)</f>
        <v>0</v>
      </c>
      <c r="I111" s="35"/>
      <c r="J111" s="35">
        <f>IF(Source!BC42&lt;&gt; 0, Source!BC42, 1)</f>
        <v>6.08</v>
      </c>
      <c r="K111" s="34">
        <f>Source!O42</f>
        <v>0</v>
      </c>
      <c r="L111" s="42"/>
      <c r="S111">
        <f>ROUND((Source!FX42/100)*((ROUND(Source!AF42*Source!I42, 2)+ROUND(Source!AE42*Source!I42, 2))), 2)</f>
        <v>0</v>
      </c>
      <c r="T111">
        <f>Source!X42</f>
        <v>0</v>
      </c>
      <c r="U111">
        <f>ROUND((Source!FY42/100)*((ROUND(Source!AF42*Source!I42, 2)+ROUND(Source!AE42*Source!I42, 2))), 2)</f>
        <v>0</v>
      </c>
      <c r="V111">
        <f>Source!Y42</f>
        <v>0</v>
      </c>
      <c r="W111">
        <f>IF(Source!BI42&lt;=1,H111, 0)</f>
        <v>0</v>
      </c>
      <c r="X111">
        <f>IF(Source!BI42=2,H111, 0)</f>
        <v>0</v>
      </c>
      <c r="Y111">
        <f>IF(Source!BI42=3,H111, 0)</f>
        <v>0</v>
      </c>
      <c r="Z111">
        <f>IF(Source!BI42=4,H111, 0)</f>
        <v>0</v>
      </c>
    </row>
    <row r="112" spans="1:26" ht="15" x14ac:dyDescent="0.25">
      <c r="G112" s="66">
        <f>H103+H104+H106+H107+H108+SUM(H110:H111)</f>
        <v>346.84000000000003</v>
      </c>
      <c r="H112" s="66"/>
      <c r="J112" s="66">
        <f>K103+K104+K106+K107+K108+SUM(K110:K111)</f>
        <v>2111.87</v>
      </c>
      <c r="K112" s="66"/>
      <c r="L112" s="37">
        <f>Source!U40</f>
        <v>6.9509909999999984</v>
      </c>
      <c r="O112" s="23">
        <f>G112</f>
        <v>346.84000000000003</v>
      </c>
      <c r="P112" s="23">
        <f>J112</f>
        <v>2111.87</v>
      </c>
      <c r="Q112" s="23">
        <f>L112</f>
        <v>6.9509909999999984</v>
      </c>
      <c r="W112">
        <f>IF(Source!BI40&lt;=1,H103+H104+H106+H107+H108, 0)</f>
        <v>162.99</v>
      </c>
      <c r="X112">
        <f>IF(Source!BI40=2,H103+H104+H106+H107+H108, 0)</f>
        <v>0</v>
      </c>
      <c r="Y112">
        <f>IF(Source!BI40=3,H103+H104+H106+H107+H108, 0)</f>
        <v>0</v>
      </c>
      <c r="Z112">
        <f>IF(Source!BI40=4,H103+H104+H106+H107+H108, 0)</f>
        <v>0</v>
      </c>
    </row>
    <row r="113" spans="1:26" ht="42.75" x14ac:dyDescent="0.2">
      <c r="A113" s="43" t="str">
        <f>Source!E43</f>
        <v>10</v>
      </c>
      <c r="B113" s="44" t="str">
        <f>Source!F43</f>
        <v>15-04-006-01</v>
      </c>
      <c r="C113" s="44" t="str">
        <f>Source!G43</f>
        <v>Покрытие поверхностей грунтовкой глубокого проникновения за 1 раз потолков</v>
      </c>
      <c r="D113" s="27" t="str">
        <f>Source!H43</f>
        <v>100 м2</v>
      </c>
      <c r="E113" s="10">
        <f>Source!I43</f>
        <v>0.36299999999999999</v>
      </c>
      <c r="F113" s="28">
        <f>Source!AL43+Source!AM43+Source!AO43</f>
        <v>79.070000000000007</v>
      </c>
      <c r="G113" s="29"/>
      <c r="H113" s="28"/>
      <c r="I113" s="29" t="str">
        <f>Source!BO43</f>
        <v/>
      </c>
      <c r="J113" s="29"/>
      <c r="K113" s="28"/>
      <c r="L113" s="30"/>
      <c r="S113">
        <f>ROUND((Source!FX43/100)*((ROUND(Source!AF43*Source!I43, 2)+ROUND(Source!AE43*Source!I43, 2))), 2)</f>
        <v>37.020000000000003</v>
      </c>
      <c r="T113">
        <f>Source!X43</f>
        <v>226.27</v>
      </c>
      <c r="U113">
        <f>ROUND((Source!FY43/100)*((ROUND(Source!AF43*Source!I43, 2)+ROUND(Source!AE43*Source!I43, 2))), 2)</f>
        <v>18.309999999999999</v>
      </c>
      <c r="V113">
        <f>Source!Y43</f>
        <v>111.94</v>
      </c>
    </row>
    <row r="114" spans="1:26" ht="14.25" x14ac:dyDescent="0.2">
      <c r="A114" s="43"/>
      <c r="B114" s="44"/>
      <c r="C114" s="44" t="s">
        <v>354</v>
      </c>
      <c r="D114" s="27"/>
      <c r="E114" s="10"/>
      <c r="F114" s="28">
        <f>Source!AO43</f>
        <v>77.92</v>
      </c>
      <c r="G114" s="29" t="str">
        <f>Source!DG43</f>
        <v>)*1,15)*1,2</v>
      </c>
      <c r="H114" s="28">
        <f>ROUND(Source!AF43*Source!I43, 2)</f>
        <v>39.03</v>
      </c>
      <c r="I114" s="29"/>
      <c r="J114" s="29">
        <f>IF(Source!BA43&lt;&gt; 0, Source!BA43, 1)</f>
        <v>6.08</v>
      </c>
      <c r="K114" s="28">
        <f>Source!S43</f>
        <v>237.32</v>
      </c>
      <c r="L114" s="30"/>
      <c r="R114">
        <f>H114</f>
        <v>39.03</v>
      </c>
    </row>
    <row r="115" spans="1:26" ht="14.25" x14ac:dyDescent="0.2">
      <c r="A115" s="43"/>
      <c r="B115" s="44"/>
      <c r="C115" s="44" t="s">
        <v>156</v>
      </c>
      <c r="D115" s="27"/>
      <c r="E115" s="10"/>
      <c r="F115" s="28">
        <f>Source!AM43</f>
        <v>0.97</v>
      </c>
      <c r="G115" s="29" t="str">
        <f>Source!DE43</f>
        <v>)*1,25)*1,2</v>
      </c>
      <c r="H115" s="28">
        <f>ROUND(Source!AD43*Source!I43, 2)</f>
        <v>0.53</v>
      </c>
      <c r="I115" s="29"/>
      <c r="J115" s="29">
        <f>IF(Source!BB43&lt;&gt; 0, Source!BB43, 1)</f>
        <v>6.08</v>
      </c>
      <c r="K115" s="28">
        <f>Source!Q43</f>
        <v>3.22</v>
      </c>
      <c r="L115" s="30"/>
    </row>
    <row r="116" spans="1:26" ht="14.25" x14ac:dyDescent="0.2">
      <c r="A116" s="43"/>
      <c r="B116" s="44"/>
      <c r="C116" s="44" t="s">
        <v>360</v>
      </c>
      <c r="D116" s="27"/>
      <c r="E116" s="10"/>
      <c r="F116" s="28">
        <f>Source!AN43</f>
        <v>0.26</v>
      </c>
      <c r="G116" s="29" t="str">
        <f>Source!DF43</f>
        <v>)*1,25)*1,2</v>
      </c>
      <c r="H116" s="38">
        <f>ROUND(Source!AE43*Source!I43, 2)</f>
        <v>0.14000000000000001</v>
      </c>
      <c r="I116" s="29"/>
      <c r="J116" s="29">
        <f>IF(Source!BS43&lt;&gt; 0, Source!BS43, 1)</f>
        <v>6.08</v>
      </c>
      <c r="K116" s="38">
        <f>Source!R43</f>
        <v>0.86</v>
      </c>
      <c r="L116" s="30"/>
      <c r="R116">
        <f>H116</f>
        <v>0.14000000000000001</v>
      </c>
    </row>
    <row r="117" spans="1:26" ht="14.25" x14ac:dyDescent="0.2">
      <c r="A117" s="43"/>
      <c r="B117" s="44"/>
      <c r="C117" s="44" t="s">
        <v>361</v>
      </c>
      <c r="D117" s="27"/>
      <c r="E117" s="10"/>
      <c r="F117" s="28">
        <f>Source!AL43</f>
        <v>0.18</v>
      </c>
      <c r="G117" s="29" t="str">
        <f>Source!DD43</f>
        <v/>
      </c>
      <c r="H117" s="28">
        <f>ROUND(Source!AC43*Source!I43, 2)</f>
        <v>7.0000000000000007E-2</v>
      </c>
      <c r="I117" s="29"/>
      <c r="J117" s="29">
        <f>IF(Source!BC43&lt;&gt; 0, Source!BC43, 1)</f>
        <v>6.08</v>
      </c>
      <c r="K117" s="28">
        <f>Source!P43</f>
        <v>0.4</v>
      </c>
      <c r="L117" s="30"/>
    </row>
    <row r="118" spans="1:26" ht="14.25" x14ac:dyDescent="0.2">
      <c r="A118" s="43"/>
      <c r="B118" s="44"/>
      <c r="C118" s="44" t="s">
        <v>355</v>
      </c>
      <c r="D118" s="27" t="s">
        <v>356</v>
      </c>
      <c r="E118" s="10">
        <f>Source!BZ43</f>
        <v>105</v>
      </c>
      <c r="F118" s="55" t="str">
        <f>CONCATENATE(" )", Source!DL43, Source!FT43, "=", Source!FX43)</f>
        <v xml:space="preserve"> )*0,9=94,5</v>
      </c>
      <c r="G118" s="67"/>
      <c r="H118" s="28">
        <f>SUM(S113:S122)</f>
        <v>37.020000000000003</v>
      </c>
      <c r="I118" s="31"/>
      <c r="J118" s="26">
        <f>Source!AT43</f>
        <v>95</v>
      </c>
      <c r="K118" s="28">
        <f>SUM(T113:T122)</f>
        <v>226.27</v>
      </c>
      <c r="L118" s="30"/>
    </row>
    <row r="119" spans="1:26" ht="14.25" x14ac:dyDescent="0.2">
      <c r="A119" s="43"/>
      <c r="B119" s="44"/>
      <c r="C119" s="44" t="s">
        <v>357</v>
      </c>
      <c r="D119" s="27" t="s">
        <v>356</v>
      </c>
      <c r="E119" s="10">
        <f>Source!CA43</f>
        <v>55</v>
      </c>
      <c r="F119" s="55" t="str">
        <f>CONCATENATE(" )", Source!DM43, Source!FU43, "=", Source!FY43)</f>
        <v xml:space="preserve"> )*0,85=46,75</v>
      </c>
      <c r="G119" s="67"/>
      <c r="H119" s="28">
        <f>SUM(U113:U122)</f>
        <v>18.309999999999999</v>
      </c>
      <c r="I119" s="31"/>
      <c r="J119" s="26">
        <f>Source!AU43</f>
        <v>47</v>
      </c>
      <c r="K119" s="28">
        <f>SUM(V113:V122)</f>
        <v>111.94</v>
      </c>
      <c r="L119" s="30"/>
    </row>
    <row r="120" spans="1:26" ht="14.25" x14ac:dyDescent="0.2">
      <c r="A120" s="43"/>
      <c r="B120" s="44"/>
      <c r="C120" s="44" t="s">
        <v>358</v>
      </c>
      <c r="D120" s="27" t="s">
        <v>359</v>
      </c>
      <c r="E120" s="10">
        <f>Source!AQ43</f>
        <v>8.1</v>
      </c>
      <c r="F120" s="28"/>
      <c r="G120" s="29" t="str">
        <f>Source!DI43</f>
        <v>)*1,15)*1,2</v>
      </c>
      <c r="H120" s="28"/>
      <c r="I120" s="29"/>
      <c r="J120" s="29"/>
      <c r="K120" s="28"/>
      <c r="L120" s="39">
        <f>Source!U43</f>
        <v>4.0576139999999992</v>
      </c>
    </row>
    <row r="121" spans="1:26" ht="28.5" x14ac:dyDescent="0.2">
      <c r="A121" s="43" t="str">
        <f>Source!E44</f>
        <v>10,1</v>
      </c>
      <c r="B121" s="44" t="str">
        <f>Source!F44</f>
        <v>14.3.01.02-0102</v>
      </c>
      <c r="C121" s="44" t="str">
        <f>Source!G44</f>
        <v>Грунтовка: водно-дисперсионная "БИРСС Бетон-контакт"</v>
      </c>
      <c r="D121" s="27" t="str">
        <f>Source!H44</f>
        <v>т</v>
      </c>
      <c r="E121" s="10">
        <f>Source!I44</f>
        <v>4.7190000000000001E-3</v>
      </c>
      <c r="F121" s="28">
        <f>Source!AL44+Source!AM44+Source!AO44</f>
        <v>18390.16</v>
      </c>
      <c r="G121" s="40" t="s">
        <v>3</v>
      </c>
      <c r="H121" s="28">
        <f>ROUND(Source!AC44*Source!I44, 2)+ROUND(Source!AD44*Source!I44, 2)+ROUND(Source!AF44*Source!I44, 2)</f>
        <v>86.78</v>
      </c>
      <c r="I121" s="29"/>
      <c r="J121" s="29">
        <f>IF(Source!BC44&lt;&gt; 0, Source!BC44, 1)</f>
        <v>6.08</v>
      </c>
      <c r="K121" s="28">
        <f>Source!O44</f>
        <v>527.64</v>
      </c>
      <c r="L121" s="30"/>
      <c r="S121">
        <f>ROUND((Source!FX44/100)*((ROUND(Source!AF44*Source!I44, 2)+ROUND(Source!AE44*Source!I44, 2))), 2)</f>
        <v>0</v>
      </c>
      <c r="T121">
        <f>Source!X44</f>
        <v>0</v>
      </c>
      <c r="U121">
        <f>ROUND((Source!FY44/100)*((ROUND(Source!AF44*Source!I44, 2)+ROUND(Source!AE44*Source!I44, 2))), 2)</f>
        <v>0</v>
      </c>
      <c r="V121">
        <f>Source!Y44</f>
        <v>0</v>
      </c>
      <c r="W121">
        <f>IF(Source!BI44&lt;=1,H121, 0)</f>
        <v>86.78</v>
      </c>
      <c r="X121">
        <f>IF(Source!BI44=2,H121, 0)</f>
        <v>0</v>
      </c>
      <c r="Y121">
        <f>IF(Source!BI44=3,H121, 0)</f>
        <v>0</v>
      </c>
      <c r="Z121">
        <f>IF(Source!BI44=4,H121, 0)</f>
        <v>0</v>
      </c>
    </row>
    <row r="122" spans="1:26" ht="14.25" x14ac:dyDescent="0.2">
      <c r="A122" s="45" t="str">
        <f>Source!E45</f>
        <v>10,2</v>
      </c>
      <c r="B122" s="46" t="str">
        <f>Source!F45</f>
        <v>14.4.01.21</v>
      </c>
      <c r="C122" s="46" t="str">
        <f>Source!G45</f>
        <v>Грунтовка</v>
      </c>
      <c r="D122" s="32" t="str">
        <f>Source!H45</f>
        <v>т</v>
      </c>
      <c r="E122" s="33">
        <f>Source!I45</f>
        <v>4.7190000000000001E-3</v>
      </c>
      <c r="F122" s="34">
        <f>Source!AL45+Source!AM45+Source!AO45</f>
        <v>0</v>
      </c>
      <c r="G122" s="41" t="s">
        <v>3</v>
      </c>
      <c r="H122" s="34">
        <f>ROUND(Source!AC45*Source!I45, 2)+ROUND(Source!AD45*Source!I45, 2)+ROUND(Source!AF45*Source!I45, 2)</f>
        <v>0</v>
      </c>
      <c r="I122" s="35"/>
      <c r="J122" s="35">
        <f>IF(Source!BC45&lt;&gt; 0, Source!BC45, 1)</f>
        <v>6.08</v>
      </c>
      <c r="K122" s="34">
        <f>Source!O45</f>
        <v>0</v>
      </c>
      <c r="L122" s="42"/>
      <c r="S122">
        <f>ROUND((Source!FX45/100)*((ROUND(Source!AF45*Source!I45, 2)+ROUND(Source!AE45*Source!I45, 2))), 2)</f>
        <v>0</v>
      </c>
      <c r="T122">
        <f>Source!X45</f>
        <v>0</v>
      </c>
      <c r="U122">
        <f>ROUND((Source!FY45/100)*((ROUND(Source!AF45*Source!I45, 2)+ROUND(Source!AE45*Source!I45, 2))), 2)</f>
        <v>0</v>
      </c>
      <c r="V122">
        <f>Source!Y45</f>
        <v>0</v>
      </c>
      <c r="W122">
        <f>IF(Source!BI45&lt;=1,H122, 0)</f>
        <v>0</v>
      </c>
      <c r="X122">
        <f>IF(Source!BI45=2,H122, 0)</f>
        <v>0</v>
      </c>
      <c r="Y122">
        <f>IF(Source!BI45=3,H122, 0)</f>
        <v>0</v>
      </c>
      <c r="Z122">
        <f>IF(Source!BI45=4,H122, 0)</f>
        <v>0</v>
      </c>
    </row>
    <row r="123" spans="1:26" ht="15" x14ac:dyDescent="0.25">
      <c r="G123" s="66">
        <f>H114+H115+H117+H118+H119+SUM(H121:H122)</f>
        <v>181.74</v>
      </c>
      <c r="H123" s="66"/>
      <c r="J123" s="66">
        <f>K114+K115+K117+K118+K119+SUM(K121:K122)</f>
        <v>1106.79</v>
      </c>
      <c r="K123" s="66"/>
      <c r="L123" s="37">
        <f>Source!U43</f>
        <v>4.0576139999999992</v>
      </c>
      <c r="O123" s="23">
        <f>G123</f>
        <v>181.74</v>
      </c>
      <c r="P123" s="23">
        <f>J123</f>
        <v>1106.79</v>
      </c>
      <c r="Q123" s="23">
        <f>L123</f>
        <v>4.0576139999999992</v>
      </c>
      <c r="W123">
        <f>IF(Source!BI43&lt;=1,H114+H115+H117+H118+H119, 0)</f>
        <v>94.960000000000008</v>
      </c>
      <c r="X123">
        <f>IF(Source!BI43=2,H114+H115+H117+H118+H119, 0)</f>
        <v>0</v>
      </c>
      <c r="Y123">
        <f>IF(Source!BI43=3,H114+H115+H117+H118+H119, 0)</f>
        <v>0</v>
      </c>
      <c r="Z123">
        <f>IF(Source!BI43=4,H114+H115+H117+H118+H119, 0)</f>
        <v>0</v>
      </c>
    </row>
    <row r="124" spans="1:26" ht="42.75" x14ac:dyDescent="0.2">
      <c r="A124" s="43" t="str">
        <f>Source!E46</f>
        <v>11</v>
      </c>
      <c r="B124" s="44" t="str">
        <f>Source!F46</f>
        <v>15-04-005-03</v>
      </c>
      <c r="C124" s="44" t="str">
        <f>Source!G46</f>
        <v>Окраска поливинилацетатными водоэмульсионными составами улучшенная по штукатурке стен</v>
      </c>
      <c r="D124" s="27" t="str">
        <f>Source!H46</f>
        <v>100 м2</v>
      </c>
      <c r="E124" s="10">
        <f>Source!I46</f>
        <v>0.76900000000000002</v>
      </c>
      <c r="F124" s="28">
        <f>Source!AL46+Source!AM46+Source!AO46</f>
        <v>675.6</v>
      </c>
      <c r="G124" s="29"/>
      <c r="H124" s="28"/>
      <c r="I124" s="29" t="str">
        <f>Source!BO46</f>
        <v/>
      </c>
      <c r="J124" s="29"/>
      <c r="K124" s="28"/>
      <c r="L124" s="30"/>
      <c r="S124">
        <f>ROUND((Source!FX46/100)*((ROUND(Source!AF46*Source!I46, 2)+ROUND(Source!AE46*Source!I46, 2))), 2)</f>
        <v>388.1</v>
      </c>
      <c r="T124">
        <f>Source!X46</f>
        <v>2372.16</v>
      </c>
      <c r="U124">
        <f>ROUND((Source!FY46/100)*((ROUND(Source!AF46*Source!I46, 2)+ROUND(Source!AE46*Source!I46, 2))), 2)</f>
        <v>192</v>
      </c>
      <c r="V124">
        <f>Source!Y46</f>
        <v>1173.5899999999999</v>
      </c>
    </row>
    <row r="125" spans="1:26" ht="14.25" x14ac:dyDescent="0.2">
      <c r="A125" s="43"/>
      <c r="B125" s="44"/>
      <c r="C125" s="44" t="s">
        <v>354</v>
      </c>
      <c r="D125" s="27"/>
      <c r="E125" s="10"/>
      <c r="F125" s="28">
        <f>Source!AO46</f>
        <v>384.81</v>
      </c>
      <c r="G125" s="29" t="str">
        <f>Source!DG46</f>
        <v>)*1,15)*1,2</v>
      </c>
      <c r="H125" s="28">
        <f>ROUND(Source!AF46*Source!I46, 2)</f>
        <v>408.37</v>
      </c>
      <c r="I125" s="29"/>
      <c r="J125" s="29">
        <f>IF(Source!BA46&lt;&gt; 0, Source!BA46, 1)</f>
        <v>6.08</v>
      </c>
      <c r="K125" s="28">
        <f>Source!S46</f>
        <v>2482.89</v>
      </c>
      <c r="L125" s="30"/>
      <c r="R125">
        <f>H125</f>
        <v>408.37</v>
      </c>
    </row>
    <row r="126" spans="1:26" ht="14.25" x14ac:dyDescent="0.2">
      <c r="A126" s="43"/>
      <c r="B126" s="44"/>
      <c r="C126" s="44" t="s">
        <v>156</v>
      </c>
      <c r="D126" s="27"/>
      <c r="E126" s="10"/>
      <c r="F126" s="28">
        <f>Source!AM46</f>
        <v>10.49</v>
      </c>
      <c r="G126" s="29" t="str">
        <f>Source!DE46</f>
        <v>)*1,25)*1,2</v>
      </c>
      <c r="H126" s="28">
        <f>ROUND(Source!AD46*Source!I46, 2)</f>
        <v>12.1</v>
      </c>
      <c r="I126" s="29"/>
      <c r="J126" s="29">
        <f>IF(Source!BB46&lt;&gt; 0, Source!BB46, 1)</f>
        <v>6.08</v>
      </c>
      <c r="K126" s="28">
        <f>Source!Q46</f>
        <v>73.59</v>
      </c>
      <c r="L126" s="30"/>
    </row>
    <row r="127" spans="1:26" ht="14.25" x14ac:dyDescent="0.2">
      <c r="A127" s="43"/>
      <c r="B127" s="44"/>
      <c r="C127" s="44" t="s">
        <v>360</v>
      </c>
      <c r="D127" s="27"/>
      <c r="E127" s="10"/>
      <c r="F127" s="28">
        <f>Source!AN46</f>
        <v>2.0099999999999998</v>
      </c>
      <c r="G127" s="29" t="str">
        <f>Source!DF46</f>
        <v>)*1,25)*1,2</v>
      </c>
      <c r="H127" s="38">
        <f>ROUND(Source!AE46*Source!I46, 2)</f>
        <v>2.3199999999999998</v>
      </c>
      <c r="I127" s="29"/>
      <c r="J127" s="29">
        <f>IF(Source!BS46&lt;&gt; 0, Source!BS46, 1)</f>
        <v>6.08</v>
      </c>
      <c r="K127" s="38">
        <f>Source!R46</f>
        <v>14.12</v>
      </c>
      <c r="L127" s="30"/>
      <c r="R127">
        <f>H127</f>
        <v>2.3199999999999998</v>
      </c>
    </row>
    <row r="128" spans="1:26" ht="14.25" x14ac:dyDescent="0.2">
      <c r="A128" s="43"/>
      <c r="B128" s="44"/>
      <c r="C128" s="44" t="s">
        <v>361</v>
      </c>
      <c r="D128" s="27"/>
      <c r="E128" s="10"/>
      <c r="F128" s="28">
        <f>Source!AL46</f>
        <v>280.3</v>
      </c>
      <c r="G128" s="29" t="str">
        <f>Source!DD46</f>
        <v/>
      </c>
      <c r="H128" s="28">
        <f>ROUND(Source!AC46*Source!I46, 2)</f>
        <v>215.55</v>
      </c>
      <c r="I128" s="29"/>
      <c r="J128" s="29">
        <f>IF(Source!BC46&lt;&gt; 0, Source!BC46, 1)</f>
        <v>6.08</v>
      </c>
      <c r="K128" s="28">
        <f>Source!P46</f>
        <v>1310.55</v>
      </c>
      <c r="L128" s="30"/>
    </row>
    <row r="129" spans="1:26" ht="14.25" x14ac:dyDescent="0.2">
      <c r="A129" s="43"/>
      <c r="B129" s="44"/>
      <c r="C129" s="44" t="s">
        <v>355</v>
      </c>
      <c r="D129" s="27" t="s">
        <v>356</v>
      </c>
      <c r="E129" s="10">
        <f>Source!BZ46</f>
        <v>105</v>
      </c>
      <c r="F129" s="55" t="str">
        <f>CONCATENATE(" )", Source!DL46, Source!FT46, "=", Source!FX46)</f>
        <v xml:space="preserve"> )*0,9=94,5</v>
      </c>
      <c r="G129" s="67"/>
      <c r="H129" s="28">
        <f>SUM(S124:S133)</f>
        <v>388.1</v>
      </c>
      <c r="I129" s="31"/>
      <c r="J129" s="26">
        <f>Source!AT46</f>
        <v>95</v>
      </c>
      <c r="K129" s="28">
        <f>SUM(T124:T133)</f>
        <v>2372.16</v>
      </c>
      <c r="L129" s="30"/>
    </row>
    <row r="130" spans="1:26" ht="14.25" x14ac:dyDescent="0.2">
      <c r="A130" s="43"/>
      <c r="B130" s="44"/>
      <c r="C130" s="44" t="s">
        <v>357</v>
      </c>
      <c r="D130" s="27" t="s">
        <v>356</v>
      </c>
      <c r="E130" s="10">
        <f>Source!CA46</f>
        <v>55</v>
      </c>
      <c r="F130" s="55" t="str">
        <f>CONCATENATE(" )", Source!DM46, Source!FU46, "=", Source!FY46)</f>
        <v xml:space="preserve"> )*0,85=46,75</v>
      </c>
      <c r="G130" s="67"/>
      <c r="H130" s="28">
        <f>SUM(U124:U133)</f>
        <v>192</v>
      </c>
      <c r="I130" s="31"/>
      <c r="J130" s="26">
        <f>Source!AU46</f>
        <v>47</v>
      </c>
      <c r="K130" s="28">
        <f>SUM(V124:V133)</f>
        <v>1173.5899999999999</v>
      </c>
      <c r="L130" s="30"/>
    </row>
    <row r="131" spans="1:26" ht="14.25" x14ac:dyDescent="0.2">
      <c r="A131" s="43"/>
      <c r="B131" s="44"/>
      <c r="C131" s="44" t="s">
        <v>358</v>
      </c>
      <c r="D131" s="27" t="s">
        <v>359</v>
      </c>
      <c r="E131" s="10">
        <f>Source!AQ46</f>
        <v>42.9</v>
      </c>
      <c r="F131" s="28"/>
      <c r="G131" s="29" t="str">
        <f>Source!DI46</f>
        <v>)*1,15)*1,2</v>
      </c>
      <c r="H131" s="28"/>
      <c r="I131" s="29"/>
      <c r="J131" s="29"/>
      <c r="K131" s="28"/>
      <c r="L131" s="39">
        <f>Source!U46</f>
        <v>45.526337999999996</v>
      </c>
    </row>
    <row r="132" spans="1:26" ht="28.5" x14ac:dyDescent="0.2">
      <c r="A132" s="43" t="str">
        <f>Source!E47</f>
        <v>11,1</v>
      </c>
      <c r="B132" s="44" t="str">
        <f>Source!F47</f>
        <v>14.3.02.01-0015</v>
      </c>
      <c r="C132" s="44" t="str">
        <f>Source!G47</f>
        <v>Краска акриловая Alpina  RENOVA, CAPAROL водно-дисперсионная</v>
      </c>
      <c r="D132" s="27" t="str">
        <f>Source!H47</f>
        <v>т</v>
      </c>
      <c r="E132" s="10">
        <f>Source!I47</f>
        <v>4.8447000000000004E-2</v>
      </c>
      <c r="F132" s="28">
        <f>Source!AL47+Source!AM47+Source!AO47</f>
        <v>13287.69</v>
      </c>
      <c r="G132" s="40" t="s">
        <v>3</v>
      </c>
      <c r="H132" s="28">
        <f>ROUND(Source!AC47*Source!I47, 2)+ROUND(Source!AD47*Source!I47, 2)+ROUND(Source!AF47*Source!I47, 2)</f>
        <v>643.75</v>
      </c>
      <c r="I132" s="29"/>
      <c r="J132" s="29">
        <f>IF(Source!BC47&lt;&gt; 0, Source!BC47, 1)</f>
        <v>6.08</v>
      </c>
      <c r="K132" s="28">
        <f>Source!O47</f>
        <v>3913.99</v>
      </c>
      <c r="L132" s="30"/>
      <c r="S132">
        <f>ROUND((Source!FX47/100)*((ROUND(Source!AF47*Source!I47, 2)+ROUND(Source!AE47*Source!I47, 2))), 2)</f>
        <v>0</v>
      </c>
      <c r="T132">
        <f>Source!X47</f>
        <v>0</v>
      </c>
      <c r="U132">
        <f>ROUND((Source!FY47/100)*((ROUND(Source!AF47*Source!I47, 2)+ROUND(Source!AE47*Source!I47, 2))), 2)</f>
        <v>0</v>
      </c>
      <c r="V132">
        <f>Source!Y47</f>
        <v>0</v>
      </c>
      <c r="W132">
        <f>IF(Source!BI47&lt;=1,H132, 0)</f>
        <v>643.75</v>
      </c>
      <c r="X132">
        <f>IF(Source!BI47=2,H132, 0)</f>
        <v>0</v>
      </c>
      <c r="Y132">
        <f>IF(Source!BI47=3,H132, 0)</f>
        <v>0</v>
      </c>
      <c r="Z132">
        <f>IF(Source!BI47=4,H132, 0)</f>
        <v>0</v>
      </c>
    </row>
    <row r="133" spans="1:26" ht="14.25" x14ac:dyDescent="0.2">
      <c r="A133" s="45" t="str">
        <f>Source!E48</f>
        <v>11,2</v>
      </c>
      <c r="B133" s="46" t="str">
        <f>Source!F48</f>
        <v>14.3.02.01</v>
      </c>
      <c r="C133" s="46" t="str">
        <f>Source!G48</f>
        <v>Краска водоэмульсионная</v>
      </c>
      <c r="D133" s="32" t="str">
        <f>Source!H48</f>
        <v>т</v>
      </c>
      <c r="E133" s="33">
        <f>Source!I48</f>
        <v>4.8447000000000004E-2</v>
      </c>
      <c r="F133" s="34">
        <f>Source!AL48+Source!AM48+Source!AO48</f>
        <v>0</v>
      </c>
      <c r="G133" s="41" t="s">
        <v>3</v>
      </c>
      <c r="H133" s="34">
        <f>ROUND(Source!AC48*Source!I48, 2)+ROUND(Source!AD48*Source!I48, 2)+ROUND(Source!AF48*Source!I48, 2)</f>
        <v>0</v>
      </c>
      <c r="I133" s="35"/>
      <c r="J133" s="35">
        <f>IF(Source!BC48&lt;&gt; 0, Source!BC48, 1)</f>
        <v>6.08</v>
      </c>
      <c r="K133" s="34">
        <f>Source!O48</f>
        <v>0</v>
      </c>
      <c r="L133" s="42"/>
      <c r="S133">
        <f>ROUND((Source!FX48/100)*((ROUND(Source!AF48*Source!I48, 2)+ROUND(Source!AE48*Source!I48, 2))), 2)</f>
        <v>0</v>
      </c>
      <c r="T133">
        <f>Source!X48</f>
        <v>0</v>
      </c>
      <c r="U133">
        <f>ROUND((Source!FY48/100)*((ROUND(Source!AF48*Source!I48, 2)+ROUND(Source!AE48*Source!I48, 2))), 2)</f>
        <v>0</v>
      </c>
      <c r="V133">
        <f>Source!Y48</f>
        <v>0</v>
      </c>
      <c r="W133">
        <f>IF(Source!BI48&lt;=1,H133, 0)</f>
        <v>0</v>
      </c>
      <c r="X133">
        <f>IF(Source!BI48=2,H133, 0)</f>
        <v>0</v>
      </c>
      <c r="Y133">
        <f>IF(Source!BI48=3,H133, 0)</f>
        <v>0</v>
      </c>
      <c r="Z133">
        <f>IF(Source!BI48=4,H133, 0)</f>
        <v>0</v>
      </c>
    </row>
    <row r="134" spans="1:26" ht="15" x14ac:dyDescent="0.25">
      <c r="G134" s="66">
        <f>H125+H126+H128+H129+H130+SUM(H132:H133)</f>
        <v>1859.87</v>
      </c>
      <c r="H134" s="66"/>
      <c r="J134" s="66">
        <f>K125+K126+K128+K129+K130+SUM(K132:K133)</f>
        <v>11326.77</v>
      </c>
      <c r="K134" s="66"/>
      <c r="L134" s="37">
        <f>Source!U46</f>
        <v>45.526337999999996</v>
      </c>
      <c r="O134" s="23">
        <f>G134</f>
        <v>1859.87</v>
      </c>
      <c r="P134" s="23">
        <f>J134</f>
        <v>11326.77</v>
      </c>
      <c r="Q134" s="23">
        <f>L134</f>
        <v>45.526337999999996</v>
      </c>
      <c r="W134">
        <f>IF(Source!BI46&lt;=1,H125+H126+H128+H129+H130, 0)</f>
        <v>1216.1199999999999</v>
      </c>
      <c r="X134">
        <f>IF(Source!BI46=2,H125+H126+H128+H129+H130, 0)</f>
        <v>0</v>
      </c>
      <c r="Y134">
        <f>IF(Source!BI46=3,H125+H126+H128+H129+H130, 0)</f>
        <v>0</v>
      </c>
      <c r="Z134">
        <f>IF(Source!BI46=4,H125+H126+H128+H129+H130, 0)</f>
        <v>0</v>
      </c>
    </row>
    <row r="135" spans="1:26" ht="71.25" x14ac:dyDescent="0.2">
      <c r="A135" s="43" t="str">
        <f>Source!E49</f>
        <v>12</v>
      </c>
      <c r="B135" s="44" t="str">
        <f>Source!F49</f>
        <v>62-17-4</v>
      </c>
      <c r="C135" s="44" t="str">
        <f>Source!G49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135" s="27" t="str">
        <f>Source!H49</f>
        <v>100 м2</v>
      </c>
      <c r="E135" s="10">
        <f>Source!I49</f>
        <v>0.36299999999999999</v>
      </c>
      <c r="F135" s="28">
        <f>Source!AL49+Source!AM49+Source!AO49</f>
        <v>812.32</v>
      </c>
      <c r="G135" s="29"/>
      <c r="H135" s="28"/>
      <c r="I135" s="29" t="str">
        <f>Source!BO49</f>
        <v/>
      </c>
      <c r="J135" s="29"/>
      <c r="K135" s="28"/>
      <c r="L135" s="30"/>
      <c r="S135">
        <f>ROUND((Source!FX49/100)*((ROUND(Source!AF49*Source!I49, 2)+ROUND(Source!AE49*Source!I49, 2))), 2)</f>
        <v>85.35</v>
      </c>
      <c r="T135">
        <f>Source!X49</f>
        <v>518.94000000000005</v>
      </c>
      <c r="U135">
        <f>ROUND((Source!FY49/100)*((ROUND(Source!AF49*Source!I49, 2)+ROUND(Source!AE49*Source!I49, 2))), 2)</f>
        <v>53.35</v>
      </c>
      <c r="V135">
        <f>Source!Y49</f>
        <v>324.33999999999997</v>
      </c>
    </row>
    <row r="136" spans="1:26" ht="14.25" x14ac:dyDescent="0.2">
      <c r="A136" s="43"/>
      <c r="B136" s="44"/>
      <c r="C136" s="44" t="s">
        <v>354</v>
      </c>
      <c r="D136" s="27"/>
      <c r="E136" s="10"/>
      <c r="F136" s="28">
        <f>Source!AO49</f>
        <v>291.86</v>
      </c>
      <c r="G136" s="29" t="str">
        <f>Source!DG49</f>
        <v/>
      </c>
      <c r="H136" s="28">
        <f>ROUND(Source!AF49*Source!I49, 2)</f>
        <v>105.95</v>
      </c>
      <c r="I136" s="29"/>
      <c r="J136" s="29">
        <f>IF(Source!BA49&lt;&gt; 0, Source!BA49, 1)</f>
        <v>6.08</v>
      </c>
      <c r="K136" s="28">
        <f>Source!S49</f>
        <v>644.15</v>
      </c>
      <c r="L136" s="30"/>
      <c r="R136">
        <f>H136</f>
        <v>105.95</v>
      </c>
    </row>
    <row r="137" spans="1:26" ht="14.25" x14ac:dyDescent="0.2">
      <c r="A137" s="43"/>
      <c r="B137" s="44"/>
      <c r="C137" s="44" t="s">
        <v>156</v>
      </c>
      <c r="D137" s="27"/>
      <c r="E137" s="10"/>
      <c r="F137" s="28">
        <f>Source!AM49</f>
        <v>7.07</v>
      </c>
      <c r="G137" s="29" t="str">
        <f>Source!DE49</f>
        <v/>
      </c>
      <c r="H137" s="28">
        <f>ROUND(Source!AD49*Source!I49, 2)</f>
        <v>2.57</v>
      </c>
      <c r="I137" s="29"/>
      <c r="J137" s="29">
        <f>IF(Source!BB49&lt;&gt; 0, Source!BB49, 1)</f>
        <v>6.08</v>
      </c>
      <c r="K137" s="28">
        <f>Source!Q49</f>
        <v>15.6</v>
      </c>
      <c r="L137" s="30"/>
    </row>
    <row r="138" spans="1:26" ht="14.25" x14ac:dyDescent="0.2">
      <c r="A138" s="43"/>
      <c r="B138" s="44"/>
      <c r="C138" s="44" t="s">
        <v>360</v>
      </c>
      <c r="D138" s="27"/>
      <c r="E138" s="10"/>
      <c r="F138" s="28">
        <f>Source!AN49</f>
        <v>2.0499999999999998</v>
      </c>
      <c r="G138" s="29" t="str">
        <f>Source!DF49</f>
        <v/>
      </c>
      <c r="H138" s="38">
        <f>ROUND(Source!AE49*Source!I49, 2)</f>
        <v>0.74</v>
      </c>
      <c r="I138" s="29"/>
      <c r="J138" s="29">
        <f>IF(Source!BS49&lt;&gt; 0, Source!BS49, 1)</f>
        <v>6.08</v>
      </c>
      <c r="K138" s="38">
        <f>Source!R49</f>
        <v>4.5199999999999996</v>
      </c>
      <c r="L138" s="30"/>
      <c r="R138">
        <f>H138</f>
        <v>0.74</v>
      </c>
    </row>
    <row r="139" spans="1:26" ht="14.25" x14ac:dyDescent="0.2">
      <c r="A139" s="43"/>
      <c r="B139" s="44"/>
      <c r="C139" s="44" t="s">
        <v>361</v>
      </c>
      <c r="D139" s="27"/>
      <c r="E139" s="10"/>
      <c r="F139" s="28">
        <f>Source!AL49</f>
        <v>513.39</v>
      </c>
      <c r="G139" s="29" t="str">
        <f>Source!DD49</f>
        <v/>
      </c>
      <c r="H139" s="28">
        <f>ROUND(Source!AC49*Source!I49, 2)</f>
        <v>186.36</v>
      </c>
      <c r="I139" s="29"/>
      <c r="J139" s="29">
        <f>IF(Source!BC49&lt;&gt; 0, Source!BC49, 1)</f>
        <v>6.08</v>
      </c>
      <c r="K139" s="28">
        <f>Source!P49</f>
        <v>1133.07</v>
      </c>
      <c r="L139" s="30"/>
    </row>
    <row r="140" spans="1:26" ht="14.25" x14ac:dyDescent="0.2">
      <c r="A140" s="43"/>
      <c r="B140" s="44"/>
      <c r="C140" s="44" t="s">
        <v>355</v>
      </c>
      <c r="D140" s="27" t="s">
        <v>356</v>
      </c>
      <c r="E140" s="10">
        <f>Source!BZ49</f>
        <v>80</v>
      </c>
      <c r="F140" s="47"/>
      <c r="G140" s="29"/>
      <c r="H140" s="28">
        <f>SUM(S135:S144)</f>
        <v>85.35</v>
      </c>
      <c r="I140" s="31"/>
      <c r="J140" s="26">
        <f>Source!AT49</f>
        <v>80</v>
      </c>
      <c r="K140" s="28">
        <f>SUM(T135:T144)</f>
        <v>518.94000000000005</v>
      </c>
      <c r="L140" s="30"/>
    </row>
    <row r="141" spans="1:26" ht="14.25" x14ac:dyDescent="0.2">
      <c r="A141" s="43"/>
      <c r="B141" s="44"/>
      <c r="C141" s="44" t="s">
        <v>357</v>
      </c>
      <c r="D141" s="27" t="s">
        <v>356</v>
      </c>
      <c r="E141" s="10">
        <f>Source!CA49</f>
        <v>50</v>
      </c>
      <c r="F141" s="47"/>
      <c r="G141" s="29"/>
      <c r="H141" s="28">
        <f>SUM(U135:U144)</f>
        <v>53.35</v>
      </c>
      <c r="I141" s="31"/>
      <c r="J141" s="26">
        <f>Source!AU49</f>
        <v>50</v>
      </c>
      <c r="K141" s="28">
        <f>SUM(V135:V144)</f>
        <v>324.33999999999997</v>
      </c>
      <c r="L141" s="30"/>
    </row>
    <row r="142" spans="1:26" ht="14.25" x14ac:dyDescent="0.2">
      <c r="A142" s="43"/>
      <c r="B142" s="44"/>
      <c r="C142" s="44" t="s">
        <v>358</v>
      </c>
      <c r="D142" s="27" t="s">
        <v>359</v>
      </c>
      <c r="E142" s="10">
        <f>Source!AQ49</f>
        <v>33.78</v>
      </c>
      <c r="F142" s="28"/>
      <c r="G142" s="29" t="str">
        <f>Source!DI49</f>
        <v/>
      </c>
      <c r="H142" s="28"/>
      <c r="I142" s="29"/>
      <c r="J142" s="29"/>
      <c r="K142" s="28"/>
      <c r="L142" s="39">
        <f>Source!U49</f>
        <v>12.26214</v>
      </c>
    </row>
    <row r="143" spans="1:26" ht="28.5" x14ac:dyDescent="0.2">
      <c r="A143" s="43" t="str">
        <f>Source!E50</f>
        <v>12,1</v>
      </c>
      <c r="B143" s="44" t="str">
        <f>Source!F50</f>
        <v>14.3.02.01-0015</v>
      </c>
      <c r="C143" s="44" t="str">
        <f>Source!G50</f>
        <v>Краска акриловая Alpina  RENOVA, CAPAROL водно-дисперсионная</v>
      </c>
      <c r="D143" s="27" t="str">
        <f>Source!H50</f>
        <v>т</v>
      </c>
      <c r="E143" s="10">
        <f>Source!I50</f>
        <v>2.5773000000000001E-2</v>
      </c>
      <c r="F143" s="28">
        <f>Source!AL50+Source!AM50+Source!AO50</f>
        <v>13287.69</v>
      </c>
      <c r="G143" s="40" t="s">
        <v>3</v>
      </c>
      <c r="H143" s="28">
        <f>ROUND(Source!AC50*Source!I50, 2)+ROUND(Source!AD50*Source!I50, 2)+ROUND(Source!AF50*Source!I50, 2)</f>
        <v>342.46</v>
      </c>
      <c r="I143" s="29"/>
      <c r="J143" s="29">
        <f>IF(Source!BC50&lt;&gt; 0, Source!BC50, 1)</f>
        <v>6.08</v>
      </c>
      <c r="K143" s="28">
        <f>Source!O50</f>
        <v>2082.1799999999998</v>
      </c>
      <c r="L143" s="30"/>
      <c r="S143">
        <f>ROUND((Source!FX50/100)*((ROUND(Source!AF50*Source!I50, 2)+ROUND(Source!AE50*Source!I50, 2))), 2)</f>
        <v>0</v>
      </c>
      <c r="T143">
        <f>Source!X50</f>
        <v>0</v>
      </c>
      <c r="U143">
        <f>ROUND((Source!FY50/100)*((ROUND(Source!AF50*Source!I50, 2)+ROUND(Source!AE50*Source!I50, 2))), 2)</f>
        <v>0</v>
      </c>
      <c r="V143">
        <f>Source!Y50</f>
        <v>0</v>
      </c>
      <c r="W143">
        <f>IF(Source!BI50&lt;=1,H143, 0)</f>
        <v>342.46</v>
      </c>
      <c r="X143">
        <f>IF(Source!BI50=2,H143, 0)</f>
        <v>0</v>
      </c>
      <c r="Y143">
        <f>IF(Source!BI50=3,H143, 0)</f>
        <v>0</v>
      </c>
      <c r="Z143">
        <f>IF(Source!BI50=4,H143, 0)</f>
        <v>0</v>
      </c>
    </row>
    <row r="144" spans="1:26" ht="14.25" x14ac:dyDescent="0.2">
      <c r="A144" s="45" t="str">
        <f>Source!E51</f>
        <v>12,2</v>
      </c>
      <c r="B144" s="46" t="str">
        <f>Source!F51</f>
        <v>14.3.02.01</v>
      </c>
      <c r="C144" s="46" t="str">
        <f>Source!G51</f>
        <v>Краска водоэмульсионная</v>
      </c>
      <c r="D144" s="32" t="str">
        <f>Source!H51</f>
        <v>т</v>
      </c>
      <c r="E144" s="33">
        <f>Source!I51</f>
        <v>2.5773000000000001E-2</v>
      </c>
      <c r="F144" s="34">
        <f>Source!AL51+Source!AM51+Source!AO51</f>
        <v>0</v>
      </c>
      <c r="G144" s="41" t="s">
        <v>3</v>
      </c>
      <c r="H144" s="34">
        <f>ROUND(Source!AC51*Source!I51, 2)+ROUND(Source!AD51*Source!I51, 2)+ROUND(Source!AF51*Source!I51, 2)</f>
        <v>0</v>
      </c>
      <c r="I144" s="35"/>
      <c r="J144" s="35">
        <f>IF(Source!BC51&lt;&gt; 0, Source!BC51, 1)</f>
        <v>6.08</v>
      </c>
      <c r="K144" s="34">
        <f>Source!O51</f>
        <v>0</v>
      </c>
      <c r="L144" s="42"/>
      <c r="S144">
        <f>ROUND((Source!FX51/100)*((ROUND(Source!AF51*Source!I51, 2)+ROUND(Source!AE51*Source!I51, 2))), 2)</f>
        <v>0</v>
      </c>
      <c r="T144">
        <f>Source!X51</f>
        <v>0</v>
      </c>
      <c r="U144">
        <f>ROUND((Source!FY51/100)*((ROUND(Source!AF51*Source!I51, 2)+ROUND(Source!AE51*Source!I51, 2))), 2)</f>
        <v>0</v>
      </c>
      <c r="V144">
        <f>Source!Y51</f>
        <v>0</v>
      </c>
      <c r="W144">
        <f>IF(Source!BI51&lt;=1,H144, 0)</f>
        <v>0</v>
      </c>
      <c r="X144">
        <f>IF(Source!BI51=2,H144, 0)</f>
        <v>0</v>
      </c>
      <c r="Y144">
        <f>IF(Source!BI51=3,H144, 0)</f>
        <v>0</v>
      </c>
      <c r="Z144">
        <f>IF(Source!BI51=4,H144, 0)</f>
        <v>0</v>
      </c>
    </row>
    <row r="145" spans="1:26" ht="15" x14ac:dyDescent="0.25">
      <c r="G145" s="66">
        <f>H136+H137+H139+H140+H141+SUM(H143:H144)</f>
        <v>776.04</v>
      </c>
      <c r="H145" s="66"/>
      <c r="J145" s="66">
        <f>K136+K137+K139+K140+K141+SUM(K143:K144)</f>
        <v>4718.2800000000007</v>
      </c>
      <c r="K145" s="66"/>
      <c r="L145" s="37">
        <f>Source!U49</f>
        <v>12.26214</v>
      </c>
      <c r="O145" s="23">
        <f>G145</f>
        <v>776.04</v>
      </c>
      <c r="P145" s="23">
        <f>J145</f>
        <v>4718.2800000000007</v>
      </c>
      <c r="Q145" s="23">
        <f>L145</f>
        <v>12.26214</v>
      </c>
      <c r="W145">
        <f>IF(Source!BI49&lt;=1,H136+H137+H139+H140+H141, 0)</f>
        <v>433.58000000000004</v>
      </c>
      <c r="X145">
        <f>IF(Source!BI49=2,H136+H137+H139+H140+H141, 0)</f>
        <v>0</v>
      </c>
      <c r="Y145">
        <f>IF(Source!BI49=3,H136+H137+H139+H140+H141, 0)</f>
        <v>0</v>
      </c>
      <c r="Z145">
        <f>IF(Source!BI49=4,H136+H137+H139+H140+H141, 0)</f>
        <v>0</v>
      </c>
    </row>
    <row r="146" spans="1:26" ht="15" x14ac:dyDescent="0.25">
      <c r="A146" s="64" t="str">
        <f>CONCATENATE("Итого по локальной смете: ",IF(Source!G53&lt;&gt;"Новая локальная смета", Source!G53, ""))</f>
        <v xml:space="preserve">Итого по локальной смете: </v>
      </c>
      <c r="B146" s="64"/>
      <c r="C146" s="64"/>
      <c r="D146" s="64"/>
      <c r="E146" s="64"/>
      <c r="F146" s="64"/>
      <c r="G146" s="65">
        <f>SUM(O29:O145)</f>
        <v>19893.510000000002</v>
      </c>
      <c r="H146" s="65"/>
      <c r="I146" s="25"/>
      <c r="J146" s="65">
        <f>SUM(P29:P145)</f>
        <v>121014.18999999999</v>
      </c>
      <c r="K146" s="65"/>
      <c r="L146" s="37">
        <f>SUM(Q29:Q145)</f>
        <v>242.25641239999993</v>
      </c>
    </row>
    <row r="147" spans="1:26" ht="15" x14ac:dyDescent="0.25">
      <c r="C147" s="64" t="str">
        <f>Source!H81</f>
        <v>Итого</v>
      </c>
      <c r="D147" s="64"/>
      <c r="E147" s="64"/>
      <c r="F147" s="64"/>
      <c r="G147" s="64"/>
      <c r="H147" s="64"/>
      <c r="I147" s="64"/>
      <c r="J147" s="65">
        <f>IF(Source!F81=0, "", Source!F81)</f>
        <v>121014.19</v>
      </c>
      <c r="K147" s="65"/>
    </row>
    <row r="148" spans="1:26" ht="14.25" x14ac:dyDescent="0.2">
      <c r="C148" s="53" t="str">
        <f>Source!H82</f>
        <v>НДС 18%</v>
      </c>
      <c r="D148" s="53"/>
      <c r="E148" s="53"/>
      <c r="F148" s="53"/>
      <c r="G148" s="53"/>
      <c r="H148" s="53"/>
      <c r="I148" s="53"/>
      <c r="J148" s="60">
        <f>IF(Source!F82=0, "", Source!F82)</f>
        <v>21782.55</v>
      </c>
      <c r="K148" s="60"/>
    </row>
    <row r="149" spans="1:26" ht="15" x14ac:dyDescent="0.25">
      <c r="C149" s="64" t="str">
        <f>Source!H83</f>
        <v>Всего</v>
      </c>
      <c r="D149" s="64"/>
      <c r="E149" s="64"/>
      <c r="F149" s="64"/>
      <c r="G149" s="64"/>
      <c r="H149" s="64"/>
      <c r="I149" s="64"/>
      <c r="J149" s="65">
        <f>IF(Source!F83=0, "", Source!F83)</f>
        <v>142796.74</v>
      </c>
      <c r="K149" s="65"/>
    </row>
    <row r="152" spans="1:26" ht="14.25" x14ac:dyDescent="0.2">
      <c r="A152" s="24" t="s">
        <v>362</v>
      </c>
      <c r="B152" s="24"/>
      <c r="C152" s="50"/>
      <c r="D152" s="49"/>
      <c r="E152" s="49"/>
      <c r="F152" s="49"/>
      <c r="G152" s="49"/>
      <c r="H152" s="49"/>
      <c r="I152" s="11" t="str">
        <f>IF(Source!AB12&lt;&gt;"", Source!AB12," ")</f>
        <v xml:space="preserve"> </v>
      </c>
      <c r="J152" s="11"/>
      <c r="K152" s="11"/>
      <c r="L152" s="11"/>
    </row>
    <row r="153" spans="1:26" ht="14.25" x14ac:dyDescent="0.2">
      <c r="A153" s="11"/>
      <c r="B153" s="11"/>
      <c r="C153" s="50"/>
      <c r="D153" s="68"/>
      <c r="E153" s="68"/>
      <c r="F153" s="68"/>
      <c r="G153" s="68"/>
      <c r="H153" s="68"/>
      <c r="I153" s="11"/>
      <c r="J153" s="11"/>
      <c r="K153" s="11"/>
      <c r="L153" s="11"/>
    </row>
    <row r="154" spans="1:26" ht="14.25" x14ac:dyDescent="0.2">
      <c r="A154" s="11"/>
      <c r="B154" s="11"/>
      <c r="C154" s="50"/>
      <c r="D154" s="49"/>
      <c r="E154" s="49"/>
      <c r="F154" s="49"/>
      <c r="G154" s="49"/>
      <c r="H154" s="49"/>
      <c r="I154" s="11"/>
      <c r="J154" s="11"/>
      <c r="K154" s="11"/>
      <c r="L154" s="11"/>
    </row>
    <row r="155" spans="1:26" ht="14.25" x14ac:dyDescent="0.2">
      <c r="A155" s="24" t="s">
        <v>362</v>
      </c>
      <c r="B155" s="24"/>
      <c r="C155" s="50"/>
      <c r="D155" s="49"/>
      <c r="E155" s="49"/>
      <c r="F155" s="49"/>
      <c r="G155" s="49"/>
      <c r="H155" s="49"/>
      <c r="I155" s="11" t="str">
        <f>IF(Source!AD12&lt;&gt;"", Source!AD12," ")</f>
        <v xml:space="preserve"> </v>
      </c>
      <c r="J155" s="11"/>
      <c r="K155" s="11"/>
      <c r="L155" s="11"/>
    </row>
    <row r="156" spans="1:26" ht="14.25" x14ac:dyDescent="0.2">
      <c r="A156" s="11"/>
      <c r="B156" s="11"/>
      <c r="C156" s="49"/>
      <c r="D156" s="68"/>
      <c r="E156" s="68"/>
      <c r="F156" s="68"/>
      <c r="G156" s="68"/>
      <c r="H156" s="68"/>
      <c r="I156" s="11"/>
      <c r="J156" s="11"/>
      <c r="K156" s="11"/>
      <c r="L156" s="11"/>
    </row>
  </sheetData>
  <mergeCells count="93">
    <mergeCell ref="F107:G107"/>
    <mergeCell ref="A146:F146"/>
    <mergeCell ref="J145:K145"/>
    <mergeCell ref="G145:H145"/>
    <mergeCell ref="J134:K134"/>
    <mergeCell ref="G134:H134"/>
    <mergeCell ref="G146:H146"/>
    <mergeCell ref="J146:K146"/>
    <mergeCell ref="G34:H34"/>
    <mergeCell ref="F129:G129"/>
    <mergeCell ref="J123:K123"/>
    <mergeCell ref="G123:H123"/>
    <mergeCell ref="F119:G119"/>
    <mergeCell ref="F58:G58"/>
    <mergeCell ref="F57:G57"/>
    <mergeCell ref="J51:K51"/>
    <mergeCell ref="G51:H51"/>
    <mergeCell ref="F49:G49"/>
    <mergeCell ref="F48:G48"/>
    <mergeCell ref="F79:G79"/>
    <mergeCell ref="F118:G118"/>
    <mergeCell ref="J112:K112"/>
    <mergeCell ref="G112:H112"/>
    <mergeCell ref="F108:G108"/>
    <mergeCell ref="D153:H153"/>
    <mergeCell ref="D156:H156"/>
    <mergeCell ref="C24:F24"/>
    <mergeCell ref="G24:H24"/>
    <mergeCell ref="I24:J24"/>
    <mergeCell ref="F80:G80"/>
    <mergeCell ref="C148:I148"/>
    <mergeCell ref="J148:K148"/>
    <mergeCell ref="C149:I149"/>
    <mergeCell ref="J149:K149"/>
    <mergeCell ref="G90:H90"/>
    <mergeCell ref="F88:G88"/>
    <mergeCell ref="F87:G87"/>
    <mergeCell ref="J84:K84"/>
    <mergeCell ref="G84:H84"/>
    <mergeCell ref="J73:K73"/>
    <mergeCell ref="K24:L24"/>
    <mergeCell ref="A26:L26"/>
    <mergeCell ref="C147:I147"/>
    <mergeCell ref="J147:K147"/>
    <mergeCell ref="J101:K101"/>
    <mergeCell ref="G101:H101"/>
    <mergeCell ref="J90:K90"/>
    <mergeCell ref="G73:H73"/>
    <mergeCell ref="F67:G67"/>
    <mergeCell ref="F66:G66"/>
    <mergeCell ref="J60:K60"/>
    <mergeCell ref="G60:H60"/>
    <mergeCell ref="F130:G130"/>
    <mergeCell ref="J42:K42"/>
    <mergeCell ref="G42:H42"/>
    <mergeCell ref="J34:K34"/>
    <mergeCell ref="C22:F22"/>
    <mergeCell ref="G22:H22"/>
    <mergeCell ref="I22:J22"/>
    <mergeCell ref="K22:L22"/>
    <mergeCell ref="C23:F23"/>
    <mergeCell ref="G23:H23"/>
    <mergeCell ref="I23:J23"/>
    <mergeCell ref="K23:L23"/>
    <mergeCell ref="C20:F20"/>
    <mergeCell ref="G20:H20"/>
    <mergeCell ref="I20:J20"/>
    <mergeCell ref="K20:L20"/>
    <mergeCell ref="C21:F21"/>
    <mergeCell ref="G21:H21"/>
    <mergeCell ref="I21:J21"/>
    <mergeCell ref="K21:L21"/>
    <mergeCell ref="C18:F18"/>
    <mergeCell ref="G18:H18"/>
    <mergeCell ref="I18:J18"/>
    <mergeCell ref="K18:L18"/>
    <mergeCell ref="C19:F19"/>
    <mergeCell ref="G19:H19"/>
    <mergeCell ref="I19:J19"/>
    <mergeCell ref="K19:L19"/>
    <mergeCell ref="B11:K11"/>
    <mergeCell ref="B12:K12"/>
    <mergeCell ref="B14:K14"/>
    <mergeCell ref="G17:H17"/>
    <mergeCell ref="I17:J17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48"/>
  <sheetViews>
    <sheetView workbookViewId="0">
      <selection activeCell="A144" sqref="A144:AH144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143</v>
      </c>
      <c r="C12" s="1">
        <v>0</v>
      </c>
      <c r="D12" s="1">
        <f>ROW(A85)</f>
        <v>85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B85</f>
        <v>143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</v>
      </c>
      <c r="G18" s="2" t="str">
        <f t="shared" si="0"/>
        <v>на капитальный ремонт помещения  №37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18" s="2"/>
      <c r="I18" s="2"/>
      <c r="J18" s="2"/>
      <c r="K18" s="2"/>
      <c r="L18" s="2"/>
      <c r="M18" s="2"/>
      <c r="N18" s="2"/>
      <c r="O18" s="2">
        <f t="shared" ref="O18:AT18" si="1">O85</f>
        <v>102286.84</v>
      </c>
      <c r="P18" s="2">
        <f t="shared" si="1"/>
        <v>89191.61</v>
      </c>
      <c r="Q18" s="2">
        <f t="shared" si="1"/>
        <v>366.57</v>
      </c>
      <c r="R18" s="2">
        <f t="shared" si="1"/>
        <v>117.4</v>
      </c>
      <c r="S18" s="2">
        <f t="shared" si="1"/>
        <v>12728.66</v>
      </c>
      <c r="T18" s="2">
        <f t="shared" si="1"/>
        <v>0</v>
      </c>
      <c r="U18" s="2">
        <f t="shared" si="1"/>
        <v>242.25641239999993</v>
      </c>
      <c r="V18" s="2">
        <f t="shared" si="1"/>
        <v>1.6600449999999998</v>
      </c>
      <c r="W18" s="2">
        <f t="shared" si="1"/>
        <v>0</v>
      </c>
      <c r="X18" s="2">
        <f t="shared" si="1"/>
        <v>11524.76</v>
      </c>
      <c r="Y18" s="2">
        <f t="shared" si="1"/>
        <v>7202.59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121014.19</v>
      </c>
      <c r="AS18" s="2">
        <f t="shared" si="1"/>
        <v>121014.19</v>
      </c>
      <c r="AT18" s="2">
        <f t="shared" si="1"/>
        <v>0</v>
      </c>
      <c r="AU18" s="2">
        <f t="shared" ref="AU18:BZ18" si="2">AU85</f>
        <v>0</v>
      </c>
      <c r="AV18" s="2">
        <f t="shared" si="2"/>
        <v>89191.61</v>
      </c>
      <c r="AW18" s="2">
        <f t="shared" si="2"/>
        <v>89191.61</v>
      </c>
      <c r="AX18" s="2">
        <f t="shared" si="2"/>
        <v>0</v>
      </c>
      <c r="AY18" s="2">
        <f t="shared" si="2"/>
        <v>89191.61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CA85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DG85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EM85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FS85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ROW(A53)</f>
        <v>53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B53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O53</f>
        <v>102286.84</v>
      </c>
      <c r="P22" s="2">
        <f t="shared" si="8"/>
        <v>89191.61</v>
      </c>
      <c r="Q22" s="2">
        <f t="shared" si="8"/>
        <v>366.57</v>
      </c>
      <c r="R22" s="2">
        <f t="shared" si="8"/>
        <v>117.4</v>
      </c>
      <c r="S22" s="2">
        <f t="shared" si="8"/>
        <v>12728.66</v>
      </c>
      <c r="T22" s="2">
        <f t="shared" si="8"/>
        <v>0</v>
      </c>
      <c r="U22" s="2">
        <f t="shared" si="8"/>
        <v>242.25641239999993</v>
      </c>
      <c r="V22" s="2">
        <f t="shared" si="8"/>
        <v>1.6600449999999998</v>
      </c>
      <c r="W22" s="2">
        <f t="shared" si="8"/>
        <v>0</v>
      </c>
      <c r="X22" s="2">
        <f t="shared" si="8"/>
        <v>11524.76</v>
      </c>
      <c r="Y22" s="2">
        <f t="shared" si="8"/>
        <v>7202.59</v>
      </c>
      <c r="Z22" s="2">
        <f t="shared" si="8"/>
        <v>0</v>
      </c>
      <c r="AA22" s="2">
        <f t="shared" si="8"/>
        <v>0</v>
      </c>
      <c r="AB22" s="2">
        <f t="shared" si="8"/>
        <v>102286.84</v>
      </c>
      <c r="AC22" s="2">
        <f t="shared" si="8"/>
        <v>89191.61</v>
      </c>
      <c r="AD22" s="2">
        <f t="shared" si="8"/>
        <v>366.57</v>
      </c>
      <c r="AE22" s="2">
        <f t="shared" si="8"/>
        <v>117.4</v>
      </c>
      <c r="AF22" s="2">
        <f t="shared" si="8"/>
        <v>12728.66</v>
      </c>
      <c r="AG22" s="2">
        <f t="shared" si="8"/>
        <v>0</v>
      </c>
      <c r="AH22" s="2">
        <f t="shared" si="8"/>
        <v>242.25641239999993</v>
      </c>
      <c r="AI22" s="2">
        <f t="shared" si="8"/>
        <v>1.6600449999999998</v>
      </c>
      <c r="AJ22" s="2">
        <f t="shared" si="8"/>
        <v>0</v>
      </c>
      <c r="AK22" s="2">
        <f t="shared" si="8"/>
        <v>11524.76</v>
      </c>
      <c r="AL22" s="2">
        <f t="shared" si="8"/>
        <v>7202.59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121014.19</v>
      </c>
      <c r="AS22" s="2">
        <f t="shared" si="8"/>
        <v>121014.19</v>
      </c>
      <c r="AT22" s="2">
        <f t="shared" si="8"/>
        <v>0</v>
      </c>
      <c r="AU22" s="2">
        <f t="shared" ref="AU22:BZ22" si="9">AU53</f>
        <v>0</v>
      </c>
      <c r="AV22" s="2">
        <f t="shared" si="9"/>
        <v>89191.61</v>
      </c>
      <c r="AW22" s="2">
        <f t="shared" si="9"/>
        <v>89191.61</v>
      </c>
      <c r="AX22" s="2">
        <f t="shared" si="9"/>
        <v>0</v>
      </c>
      <c r="AY22" s="2">
        <f t="shared" si="9"/>
        <v>89191.61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CA53</f>
        <v>121014.19</v>
      </c>
      <c r="CB22" s="2">
        <f t="shared" si="10"/>
        <v>121014.19</v>
      </c>
      <c r="CC22" s="2">
        <f t="shared" si="10"/>
        <v>0</v>
      </c>
      <c r="CD22" s="2">
        <f t="shared" si="10"/>
        <v>0</v>
      </c>
      <c r="CE22" s="2">
        <f t="shared" si="10"/>
        <v>89191.61</v>
      </c>
      <c r="CF22" s="2">
        <f t="shared" si="10"/>
        <v>89191.61</v>
      </c>
      <c r="CG22" s="2">
        <f t="shared" si="10"/>
        <v>0</v>
      </c>
      <c r="CH22" s="2">
        <f t="shared" si="10"/>
        <v>89191.61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DG53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EM53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FS53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ROW(SmtRes!A1)</f>
        <v>1</v>
      </c>
      <c r="D24">
        <f>ROW(EtalonRes!A2)</f>
        <v>2</v>
      </c>
      <c r="E24" t="s">
        <v>12</v>
      </c>
      <c r="F24" t="s">
        <v>13</v>
      </c>
      <c r="G24" t="s">
        <v>14</v>
      </c>
      <c r="H24" t="s">
        <v>15</v>
      </c>
      <c r="I24">
        <v>0.23</v>
      </c>
      <c r="J24">
        <v>0</v>
      </c>
      <c r="O24">
        <f t="shared" ref="O24:O51" si="14">ROUND(CP24,2)</f>
        <v>41.13</v>
      </c>
      <c r="P24">
        <f t="shared" ref="P24:P51" si="15">ROUND(CQ24*I24,2)</f>
        <v>0</v>
      </c>
      <c r="Q24">
        <f t="shared" ref="Q24:Q51" si="16">ROUND(CR24*I24,2)</f>
        <v>0</v>
      </c>
      <c r="R24">
        <f t="shared" ref="R24:R51" si="17">ROUND(CS24*I24,2)</f>
        <v>0</v>
      </c>
      <c r="S24">
        <f t="shared" ref="S24:S51" si="18">ROUND(CT24*I24,2)</f>
        <v>41.13</v>
      </c>
      <c r="T24">
        <f t="shared" ref="T24:T51" si="19">ROUND(CU24*I24,2)</f>
        <v>0</v>
      </c>
      <c r="U24">
        <f t="shared" ref="U24:U51" si="20">CV24*I24</f>
        <v>0.86710000000000009</v>
      </c>
      <c r="V24">
        <f t="shared" ref="V24:V51" si="21">CW24*I24</f>
        <v>0</v>
      </c>
      <c r="W24">
        <f t="shared" ref="W24:W51" si="22">ROUND(CX24*I24,2)</f>
        <v>0</v>
      </c>
      <c r="X24">
        <f t="shared" ref="X24:X51" si="23">ROUND(CY24,2)</f>
        <v>32.9</v>
      </c>
      <c r="Y24">
        <f t="shared" ref="Y24:Y51" si="24">ROUND(CZ24,2)</f>
        <v>27.97</v>
      </c>
      <c r="AA24">
        <v>39102310</v>
      </c>
      <c r="AB24">
        <f t="shared" ref="AB24:AB51" si="25">ROUND((AC24+AD24+AF24),2)</f>
        <v>29.41</v>
      </c>
      <c r="AC24">
        <f>ROUND((ES24),2)</f>
        <v>0</v>
      </c>
      <c r="AD24">
        <f>ROUND((((ET24)-(EU24))+AE24),2)</f>
        <v>0</v>
      </c>
      <c r="AE24">
        <f>ROUND((EU24),2)</f>
        <v>0</v>
      </c>
      <c r="AF24">
        <f>ROUND((EV24),2)</f>
        <v>29.41</v>
      </c>
      <c r="AG24">
        <f t="shared" ref="AG24:AG51" si="26">ROUND((AP24),2)</f>
        <v>0</v>
      </c>
      <c r="AH24">
        <f>(EW24)</f>
        <v>3.77</v>
      </c>
      <c r="AI24">
        <f>(EX24)</f>
        <v>0</v>
      </c>
      <c r="AJ24">
        <f t="shared" ref="AJ24:AJ51" si="27">ROUND((AS24),2)</f>
        <v>0</v>
      </c>
      <c r="AK24">
        <v>29.41</v>
      </c>
      <c r="AL24">
        <v>0</v>
      </c>
      <c r="AM24">
        <v>0</v>
      </c>
      <c r="AN24">
        <v>0</v>
      </c>
      <c r="AO24">
        <v>29.41</v>
      </c>
      <c r="AP24">
        <v>0</v>
      </c>
      <c r="AQ24">
        <v>3.77</v>
      </c>
      <c r="AR24">
        <v>0</v>
      </c>
      <c r="AS24">
        <v>0</v>
      </c>
      <c r="AT24">
        <v>80</v>
      </c>
      <c r="AU24">
        <v>68</v>
      </c>
      <c r="AV24">
        <v>1</v>
      </c>
      <c r="AW24">
        <v>1</v>
      </c>
      <c r="AZ24">
        <v>6.08</v>
      </c>
      <c r="BA24">
        <v>6.08</v>
      </c>
      <c r="BB24">
        <v>6.08</v>
      </c>
      <c r="BC24">
        <v>6.08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16</v>
      </c>
      <c r="BM24">
        <v>57001</v>
      </c>
      <c r="BN24">
        <v>0</v>
      </c>
      <c r="BO24" t="s">
        <v>3</v>
      </c>
      <c r="BP24">
        <v>0</v>
      </c>
      <c r="BQ24">
        <v>6</v>
      </c>
      <c r="BR24">
        <v>0</v>
      </c>
      <c r="BS24">
        <v>6.08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68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1" si="28">(P24+Q24+S24)</f>
        <v>41.13</v>
      </c>
      <c r="CQ24">
        <f t="shared" ref="CQ24:CQ51" si="29">AC24*BC24</f>
        <v>0</v>
      </c>
      <c r="CR24">
        <f t="shared" ref="CR24:CR51" si="30">AD24*BB24</f>
        <v>0</v>
      </c>
      <c r="CS24">
        <f t="shared" ref="CS24:CS51" si="31">AE24*BS24</f>
        <v>0</v>
      </c>
      <c r="CT24">
        <f t="shared" ref="CT24:CT51" si="32">AF24*BA24</f>
        <v>178.81280000000001</v>
      </c>
      <c r="CU24">
        <f t="shared" ref="CU24:CU51" si="33">AG24</f>
        <v>0</v>
      </c>
      <c r="CV24">
        <f t="shared" ref="CV24:CV51" si="34">AH24</f>
        <v>3.77</v>
      </c>
      <c r="CW24">
        <f t="shared" ref="CW24:CW51" si="35">AI24</f>
        <v>0</v>
      </c>
      <c r="CX24">
        <f t="shared" ref="CX24:CX51" si="36">AJ24</f>
        <v>0</v>
      </c>
      <c r="CY24">
        <f t="shared" ref="CY24:CY51" si="37">(((S24+R24)*AT24)/100)</f>
        <v>32.904000000000003</v>
      </c>
      <c r="CZ24">
        <f t="shared" ref="CZ24:CZ51" si="38">(((S24+R24)*AU24)/100)</f>
        <v>27.968400000000003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1003</v>
      </c>
      <c r="DV24" t="s">
        <v>15</v>
      </c>
      <c r="DW24" t="s">
        <v>15</v>
      </c>
      <c r="DX24">
        <v>100</v>
      </c>
      <c r="EE24">
        <v>38092894</v>
      </c>
      <c r="EF24">
        <v>6</v>
      </c>
      <c r="EG24" t="s">
        <v>17</v>
      </c>
      <c r="EH24">
        <v>0</v>
      </c>
      <c r="EI24" t="s">
        <v>3</v>
      </c>
      <c r="EJ24">
        <v>1</v>
      </c>
      <c r="EK24">
        <v>57001</v>
      </c>
      <c r="EL24" t="s">
        <v>18</v>
      </c>
      <c r="EM24" t="s">
        <v>19</v>
      </c>
      <c r="EO24" t="s">
        <v>3</v>
      </c>
      <c r="EQ24">
        <v>0</v>
      </c>
      <c r="ER24">
        <v>29.41</v>
      </c>
      <c r="ES24">
        <v>0</v>
      </c>
      <c r="ET24">
        <v>0</v>
      </c>
      <c r="EU24">
        <v>0</v>
      </c>
      <c r="EV24">
        <v>29.41</v>
      </c>
      <c r="EW24">
        <v>3.77</v>
      </c>
      <c r="EX24">
        <v>0</v>
      </c>
      <c r="EY24">
        <v>0</v>
      </c>
      <c r="FQ24">
        <v>0</v>
      </c>
      <c r="FR24">
        <f t="shared" ref="FR24:FR51" si="39">ROUND(IF(AND(BH24=3,BI24=3),P24,0),2)</f>
        <v>0</v>
      </c>
      <c r="FS24">
        <v>0</v>
      </c>
      <c r="FX24">
        <v>80</v>
      </c>
      <c r="FY24">
        <v>68</v>
      </c>
      <c r="GA24" t="s">
        <v>3</v>
      </c>
      <c r="GD24">
        <v>0</v>
      </c>
      <c r="GF24">
        <v>-1219653826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1" si="40">ROUND(IF(AND(BH24=3,BI24=3,FS24&lt;&gt;0),P24,0),2)</f>
        <v>0</v>
      </c>
      <c r="GM24">
        <f t="shared" ref="GM24:GM51" si="41">ROUND(O24+X24+Y24+GK24,2)+GX24</f>
        <v>102</v>
      </c>
      <c r="GN24">
        <f t="shared" ref="GN24:GN51" si="42">IF(OR(BI24=0,BI24=1),ROUND(O24+X24+Y24+GK24,2),0)</f>
        <v>102</v>
      </c>
      <c r="GO24">
        <f t="shared" ref="GO24:GO51" si="43">IF(BI24=2,ROUND(O24+X24+Y24+GK24,2),0)</f>
        <v>0</v>
      </c>
      <c r="GP24">
        <f t="shared" ref="GP24:GP51" si="44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1" si="45">ROUND(GT24,2)</f>
        <v>0</v>
      </c>
      <c r="GW24">
        <v>1</v>
      </c>
      <c r="GX24">
        <f t="shared" ref="GX24:GX51" si="46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ROW(SmtRes!A4)</f>
        <v>4</v>
      </c>
      <c r="D25">
        <f>ROW(EtalonRes!A6)</f>
        <v>6</v>
      </c>
      <c r="E25" t="s">
        <v>20</v>
      </c>
      <c r="F25" t="s">
        <v>21</v>
      </c>
      <c r="G25" t="s">
        <v>22</v>
      </c>
      <c r="H25" t="s">
        <v>23</v>
      </c>
      <c r="I25">
        <v>0.36299999999999999</v>
      </c>
      <c r="J25">
        <v>0</v>
      </c>
      <c r="O25">
        <f t="shared" si="14"/>
        <v>205.03</v>
      </c>
      <c r="P25">
        <f t="shared" si="15"/>
        <v>0</v>
      </c>
      <c r="Q25">
        <f t="shared" si="16"/>
        <v>8.9600000000000009</v>
      </c>
      <c r="R25">
        <f t="shared" si="17"/>
        <v>3.88</v>
      </c>
      <c r="S25">
        <f t="shared" si="18"/>
        <v>196.07</v>
      </c>
      <c r="T25">
        <f t="shared" si="19"/>
        <v>0</v>
      </c>
      <c r="U25">
        <f t="shared" si="20"/>
        <v>4.1345700000000001</v>
      </c>
      <c r="V25">
        <f t="shared" si="21"/>
        <v>4.7190000000000003E-2</v>
      </c>
      <c r="W25">
        <f t="shared" si="22"/>
        <v>0</v>
      </c>
      <c r="X25">
        <f t="shared" si="23"/>
        <v>159.96</v>
      </c>
      <c r="Y25">
        <f t="shared" si="24"/>
        <v>135.97</v>
      </c>
      <c r="AA25">
        <v>39102310</v>
      </c>
      <c r="AB25">
        <f t="shared" si="25"/>
        <v>92.9</v>
      </c>
      <c r="AC25">
        <f>ROUND((ES25),2)</f>
        <v>0</v>
      </c>
      <c r="AD25">
        <f>ROUND((((ET25)-(EU25))+AE25),2)</f>
        <v>4.0599999999999996</v>
      </c>
      <c r="AE25">
        <f>ROUND((EU25),2)</f>
        <v>1.76</v>
      </c>
      <c r="AF25">
        <f>ROUND((EV25),2)</f>
        <v>88.84</v>
      </c>
      <c r="AG25">
        <f t="shared" si="26"/>
        <v>0</v>
      </c>
      <c r="AH25">
        <f>(EW25)</f>
        <v>11.39</v>
      </c>
      <c r="AI25">
        <f>(EX25)</f>
        <v>0.13</v>
      </c>
      <c r="AJ25">
        <f t="shared" si="27"/>
        <v>0</v>
      </c>
      <c r="AK25">
        <v>92.9</v>
      </c>
      <c r="AL25">
        <v>0</v>
      </c>
      <c r="AM25">
        <v>4.0599999999999996</v>
      </c>
      <c r="AN25">
        <v>1.76</v>
      </c>
      <c r="AO25">
        <v>88.84</v>
      </c>
      <c r="AP25">
        <v>0</v>
      </c>
      <c r="AQ25">
        <v>11.39</v>
      </c>
      <c r="AR25">
        <v>0.13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6.08</v>
      </c>
      <c r="BA25">
        <v>6.08</v>
      </c>
      <c r="BB25">
        <v>6.08</v>
      </c>
      <c r="BC25">
        <v>6.08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24</v>
      </c>
      <c r="BM25">
        <v>57001</v>
      </c>
      <c r="BN25">
        <v>0</v>
      </c>
      <c r="BO25" t="s">
        <v>3</v>
      </c>
      <c r="BP25">
        <v>0</v>
      </c>
      <c r="BQ25">
        <v>6</v>
      </c>
      <c r="BR25">
        <v>0</v>
      </c>
      <c r="BS25">
        <v>6.08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28"/>
        <v>205.03</v>
      </c>
      <c r="CQ25">
        <f t="shared" si="29"/>
        <v>0</v>
      </c>
      <c r="CR25">
        <f t="shared" si="30"/>
        <v>24.684799999999999</v>
      </c>
      <c r="CS25">
        <f t="shared" si="31"/>
        <v>10.700800000000001</v>
      </c>
      <c r="CT25">
        <f t="shared" si="32"/>
        <v>540.1472</v>
      </c>
      <c r="CU25">
        <f t="shared" si="33"/>
        <v>0</v>
      </c>
      <c r="CV25">
        <f t="shared" si="34"/>
        <v>11.39</v>
      </c>
      <c r="CW25">
        <f t="shared" si="35"/>
        <v>0.13</v>
      </c>
      <c r="CX25">
        <f t="shared" si="36"/>
        <v>0</v>
      </c>
      <c r="CY25">
        <f t="shared" si="37"/>
        <v>159.96</v>
      </c>
      <c r="CZ25">
        <f t="shared" si="38"/>
        <v>135.96599999999998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23</v>
      </c>
      <c r="DW25" t="s">
        <v>23</v>
      </c>
      <c r="DX25">
        <v>100</v>
      </c>
      <c r="EE25">
        <v>38092894</v>
      </c>
      <c r="EF25">
        <v>6</v>
      </c>
      <c r="EG25" t="s">
        <v>17</v>
      </c>
      <c r="EH25">
        <v>0</v>
      </c>
      <c r="EI25" t="s">
        <v>3</v>
      </c>
      <c r="EJ25">
        <v>1</v>
      </c>
      <c r="EK25">
        <v>57001</v>
      </c>
      <c r="EL25" t="s">
        <v>18</v>
      </c>
      <c r="EM25" t="s">
        <v>19</v>
      </c>
      <c r="EO25" t="s">
        <v>3</v>
      </c>
      <c r="EQ25">
        <v>0</v>
      </c>
      <c r="ER25">
        <v>92.9</v>
      </c>
      <c r="ES25">
        <v>0</v>
      </c>
      <c r="ET25">
        <v>4.0599999999999996</v>
      </c>
      <c r="EU25">
        <v>1.76</v>
      </c>
      <c r="EV25">
        <v>88.84</v>
      </c>
      <c r="EW25">
        <v>11.39</v>
      </c>
      <c r="EX25">
        <v>0.13</v>
      </c>
      <c r="EY25">
        <v>0</v>
      </c>
      <c r="FQ25">
        <v>0</v>
      </c>
      <c r="FR25">
        <f t="shared" si="39"/>
        <v>0</v>
      </c>
      <c r="FS25">
        <v>0</v>
      </c>
      <c r="FX25">
        <v>80</v>
      </c>
      <c r="FY25">
        <v>68</v>
      </c>
      <c r="GA25" t="s">
        <v>3</v>
      </c>
      <c r="GD25">
        <v>0</v>
      </c>
      <c r="GF25">
        <v>334444289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0"/>
        <v>0</v>
      </c>
      <c r="GM25">
        <f t="shared" si="41"/>
        <v>500.96</v>
      </c>
      <c r="GN25">
        <f t="shared" si="42"/>
        <v>500.96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ROW(SmtRes!A11)</f>
        <v>11</v>
      </c>
      <c r="D26">
        <f>ROW(EtalonRes!A13)</f>
        <v>13</v>
      </c>
      <c r="E26" t="s">
        <v>25</v>
      </c>
      <c r="F26" t="s">
        <v>26</v>
      </c>
      <c r="G26" t="s">
        <v>27</v>
      </c>
      <c r="H26" t="s">
        <v>23</v>
      </c>
      <c r="I26">
        <v>0.36299999999999999</v>
      </c>
      <c r="J26">
        <v>0</v>
      </c>
      <c r="O26">
        <f t="shared" si="14"/>
        <v>24617.59</v>
      </c>
      <c r="P26">
        <f t="shared" si="15"/>
        <v>23618.26</v>
      </c>
      <c r="Q26">
        <f t="shared" si="16"/>
        <v>20.64</v>
      </c>
      <c r="R26">
        <f t="shared" si="17"/>
        <v>6.53</v>
      </c>
      <c r="S26">
        <f t="shared" si="18"/>
        <v>978.69</v>
      </c>
      <c r="T26">
        <f t="shared" si="19"/>
        <v>0</v>
      </c>
      <c r="U26">
        <f t="shared" si="20"/>
        <v>18.870409799999997</v>
      </c>
      <c r="V26">
        <f t="shared" si="21"/>
        <v>9.2564999999999995E-2</v>
      </c>
      <c r="W26">
        <f t="shared" si="22"/>
        <v>0</v>
      </c>
      <c r="X26">
        <f t="shared" si="23"/>
        <v>1093.5899999999999</v>
      </c>
      <c r="Y26">
        <f t="shared" si="24"/>
        <v>630.54</v>
      </c>
      <c r="AA26">
        <v>39102310</v>
      </c>
      <c r="AB26">
        <f t="shared" si="25"/>
        <v>11154.12</v>
      </c>
      <c r="AC26">
        <f>ROUND((ES26),2)</f>
        <v>10701.33</v>
      </c>
      <c r="AD26">
        <f>ROUND((((((ET26*1.25)*1.2))-(((EU26*1.25)*1.2)))+AE26),2)</f>
        <v>9.35</v>
      </c>
      <c r="AE26">
        <f>ROUND((((EU26*1.25)*1.2)),2)</f>
        <v>2.96</v>
      </c>
      <c r="AF26">
        <f>ROUND((((EV26*1.15)*1.2)),2)</f>
        <v>443.44</v>
      </c>
      <c r="AG26">
        <f t="shared" si="26"/>
        <v>0</v>
      </c>
      <c r="AH26">
        <f>(((EW26*1.15)*1.2))</f>
        <v>51.984599999999993</v>
      </c>
      <c r="AI26">
        <f>(((EX26*1.25)*1.2))</f>
        <v>0.255</v>
      </c>
      <c r="AJ26">
        <f t="shared" si="27"/>
        <v>0</v>
      </c>
      <c r="AK26">
        <v>11028.89</v>
      </c>
      <c r="AL26">
        <v>10701.33</v>
      </c>
      <c r="AM26">
        <v>6.23</v>
      </c>
      <c r="AN26">
        <v>1.97</v>
      </c>
      <c r="AO26">
        <v>321.33</v>
      </c>
      <c r="AP26">
        <v>0</v>
      </c>
      <c r="AQ26">
        <v>37.67</v>
      </c>
      <c r="AR26">
        <v>0.17</v>
      </c>
      <c r="AS26">
        <v>0</v>
      </c>
      <c r="AT26">
        <v>111</v>
      </c>
      <c r="AU26">
        <v>64</v>
      </c>
      <c r="AV26">
        <v>1</v>
      </c>
      <c r="AW26">
        <v>1</v>
      </c>
      <c r="AZ26">
        <v>6.08</v>
      </c>
      <c r="BA26">
        <v>6.08</v>
      </c>
      <c r="BB26">
        <v>6.08</v>
      </c>
      <c r="BC26">
        <v>6.08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1</v>
      </c>
      <c r="BJ26" t="s">
        <v>28</v>
      </c>
      <c r="BM26">
        <v>11001</v>
      </c>
      <c r="BN26">
        <v>0</v>
      </c>
      <c r="BO26" t="s">
        <v>3</v>
      </c>
      <c r="BP26">
        <v>0</v>
      </c>
      <c r="BQ26">
        <v>2</v>
      </c>
      <c r="BR26">
        <v>0</v>
      </c>
      <c r="BS26">
        <v>6.08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123</v>
      </c>
      <c r="CA26">
        <v>75</v>
      </c>
      <c r="CF26">
        <v>0</v>
      </c>
      <c r="CG26">
        <v>0</v>
      </c>
      <c r="CM26">
        <v>0</v>
      </c>
      <c r="CN26" t="s">
        <v>328</v>
      </c>
      <c r="CO26">
        <v>0</v>
      </c>
      <c r="CP26">
        <f t="shared" si="28"/>
        <v>24617.589999999997</v>
      </c>
      <c r="CQ26">
        <f t="shared" si="29"/>
        <v>65064.0864</v>
      </c>
      <c r="CR26">
        <f t="shared" si="30"/>
        <v>56.847999999999999</v>
      </c>
      <c r="CS26">
        <f t="shared" si="31"/>
        <v>17.9968</v>
      </c>
      <c r="CT26">
        <f t="shared" si="32"/>
        <v>2696.1152000000002</v>
      </c>
      <c r="CU26">
        <f t="shared" si="33"/>
        <v>0</v>
      </c>
      <c r="CV26">
        <f t="shared" si="34"/>
        <v>51.984599999999993</v>
      </c>
      <c r="CW26">
        <f t="shared" si="35"/>
        <v>0.255</v>
      </c>
      <c r="CX26">
        <f t="shared" si="36"/>
        <v>0</v>
      </c>
      <c r="CY26">
        <f t="shared" si="37"/>
        <v>1093.5942</v>
      </c>
      <c r="CZ26">
        <f t="shared" si="38"/>
        <v>630.54079999999999</v>
      </c>
      <c r="DC26" t="s">
        <v>3</v>
      </c>
      <c r="DD26" t="s">
        <v>3</v>
      </c>
      <c r="DE26" t="s">
        <v>29</v>
      </c>
      <c r="DF26" t="s">
        <v>29</v>
      </c>
      <c r="DG26" t="s">
        <v>30</v>
      </c>
      <c r="DH26" t="s">
        <v>3</v>
      </c>
      <c r="DI26" t="s">
        <v>30</v>
      </c>
      <c r="DJ26" t="s">
        <v>29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23</v>
      </c>
      <c r="DW26" t="s">
        <v>23</v>
      </c>
      <c r="DX26">
        <v>100</v>
      </c>
      <c r="EE26">
        <v>38092816</v>
      </c>
      <c r="EF26">
        <v>2</v>
      </c>
      <c r="EG26" t="s">
        <v>31</v>
      </c>
      <c r="EH26">
        <v>0</v>
      </c>
      <c r="EI26" t="s">
        <v>3</v>
      </c>
      <c r="EJ26">
        <v>1</v>
      </c>
      <c r="EK26">
        <v>11001</v>
      </c>
      <c r="EL26" t="s">
        <v>18</v>
      </c>
      <c r="EM26" t="s">
        <v>32</v>
      </c>
      <c r="EO26" t="s">
        <v>33</v>
      </c>
      <c r="EQ26">
        <v>0</v>
      </c>
      <c r="ER26">
        <v>11028.89</v>
      </c>
      <c r="ES26">
        <v>10701.33</v>
      </c>
      <c r="ET26">
        <v>6.23</v>
      </c>
      <c r="EU26">
        <v>1.97</v>
      </c>
      <c r="EV26">
        <v>321.33</v>
      </c>
      <c r="EW26">
        <v>37.67</v>
      </c>
      <c r="EX26">
        <v>0.17</v>
      </c>
      <c r="EY26">
        <v>0</v>
      </c>
      <c r="FQ26">
        <v>0</v>
      </c>
      <c r="FR26">
        <f t="shared" si="39"/>
        <v>0</v>
      </c>
      <c r="FS26">
        <v>0</v>
      </c>
      <c r="FT26" t="s">
        <v>34</v>
      </c>
      <c r="FU26" t="s">
        <v>35</v>
      </c>
      <c r="FX26">
        <v>110.7</v>
      </c>
      <c r="FY26">
        <v>63.75</v>
      </c>
      <c r="GA26" t="s">
        <v>3</v>
      </c>
      <c r="GD26">
        <v>0</v>
      </c>
      <c r="GF26">
        <v>1715562049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0"/>
        <v>0</v>
      </c>
      <c r="GM26">
        <f t="shared" si="41"/>
        <v>26341.72</v>
      </c>
      <c r="GN26">
        <f t="shared" si="42"/>
        <v>26341.72</v>
      </c>
      <c r="GO26">
        <f t="shared" si="43"/>
        <v>0</v>
      </c>
      <c r="GP26">
        <f t="shared" si="44"/>
        <v>0</v>
      </c>
      <c r="GR26">
        <v>0</v>
      </c>
      <c r="GS26">
        <v>3</v>
      </c>
      <c r="GT26">
        <v>0</v>
      </c>
      <c r="GU26" t="s">
        <v>3</v>
      </c>
      <c r="GV26">
        <f t="shared" si="45"/>
        <v>0</v>
      </c>
      <c r="GW26">
        <v>1</v>
      </c>
      <c r="GX26">
        <f t="shared" si="46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ROW(SmtRes!A17)</f>
        <v>17</v>
      </c>
      <c r="D27">
        <f>ROW(EtalonRes!A19)</f>
        <v>19</v>
      </c>
      <c r="E27" t="s">
        <v>36</v>
      </c>
      <c r="F27" t="s">
        <v>37</v>
      </c>
      <c r="G27" t="s">
        <v>38</v>
      </c>
      <c r="H27" t="s">
        <v>23</v>
      </c>
      <c r="I27">
        <v>0.36299999999999999</v>
      </c>
      <c r="J27">
        <v>0</v>
      </c>
      <c r="O27">
        <f t="shared" si="14"/>
        <v>9177.1</v>
      </c>
      <c r="P27">
        <f t="shared" si="15"/>
        <v>9043.35</v>
      </c>
      <c r="Q27">
        <f t="shared" si="16"/>
        <v>8.01</v>
      </c>
      <c r="R27">
        <f t="shared" si="17"/>
        <v>2.3199999999999998</v>
      </c>
      <c r="S27">
        <f t="shared" si="18"/>
        <v>125.74</v>
      </c>
      <c r="T27">
        <f t="shared" si="19"/>
        <v>0</v>
      </c>
      <c r="U27">
        <f t="shared" si="20"/>
        <v>2.4245495999999997</v>
      </c>
      <c r="V27">
        <f t="shared" si="21"/>
        <v>3.2669999999999998E-2</v>
      </c>
      <c r="W27">
        <f t="shared" si="22"/>
        <v>0</v>
      </c>
      <c r="X27">
        <f t="shared" si="23"/>
        <v>142.15</v>
      </c>
      <c r="Y27">
        <f t="shared" si="24"/>
        <v>81.96</v>
      </c>
      <c r="AA27">
        <v>39102310</v>
      </c>
      <c r="AB27">
        <f t="shared" si="25"/>
        <v>4158.1000000000004</v>
      </c>
      <c r="AC27">
        <f>ROUND(((ES27*2)),2)</f>
        <v>4097.5</v>
      </c>
      <c r="AD27">
        <f>ROUND((((((ET27*1.25*2)*1.2))-(((EU27*1.25*2)*1.2)))+AE27),2)</f>
        <v>3.63</v>
      </c>
      <c r="AE27">
        <f>ROUND((((EU27*1.25*2)*1.2)),2)</f>
        <v>1.05</v>
      </c>
      <c r="AF27">
        <f>ROUND((((EV27*1.15*2)*1.2)),2)</f>
        <v>56.97</v>
      </c>
      <c r="AG27">
        <f t="shared" si="26"/>
        <v>0</v>
      </c>
      <c r="AH27">
        <f>(((EW27*1.15*2)*1.2))</f>
        <v>6.6791999999999998</v>
      </c>
      <c r="AI27">
        <f>(((EX27*1.25*2)*1.2))</f>
        <v>0.09</v>
      </c>
      <c r="AJ27">
        <f t="shared" si="27"/>
        <v>0</v>
      </c>
      <c r="AK27">
        <v>2070.6</v>
      </c>
      <c r="AL27">
        <v>2048.75</v>
      </c>
      <c r="AM27">
        <v>1.21</v>
      </c>
      <c r="AN27">
        <v>0.35</v>
      </c>
      <c r="AO27">
        <v>20.64</v>
      </c>
      <c r="AP27">
        <v>0</v>
      </c>
      <c r="AQ27">
        <v>2.42</v>
      </c>
      <c r="AR27">
        <v>0.03</v>
      </c>
      <c r="AS27">
        <v>0</v>
      </c>
      <c r="AT27">
        <v>111</v>
      </c>
      <c r="AU27">
        <v>64</v>
      </c>
      <c r="AV27">
        <v>1</v>
      </c>
      <c r="AW27">
        <v>1</v>
      </c>
      <c r="AZ27">
        <v>6.08</v>
      </c>
      <c r="BA27">
        <v>6.08</v>
      </c>
      <c r="BB27">
        <v>6.08</v>
      </c>
      <c r="BC27">
        <v>6.08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39</v>
      </c>
      <c r="BM27">
        <v>11001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6.08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123</v>
      </c>
      <c r="CA27">
        <v>75</v>
      </c>
      <c r="CF27">
        <v>0</v>
      </c>
      <c r="CG27">
        <v>0</v>
      </c>
      <c r="CM27">
        <v>0</v>
      </c>
      <c r="CN27" t="s">
        <v>329</v>
      </c>
      <c r="CO27">
        <v>0</v>
      </c>
      <c r="CP27">
        <f t="shared" si="28"/>
        <v>9177.1</v>
      </c>
      <c r="CQ27">
        <f t="shared" si="29"/>
        <v>24912.799999999999</v>
      </c>
      <c r="CR27">
        <f t="shared" si="30"/>
        <v>22.070399999999999</v>
      </c>
      <c r="CS27">
        <f t="shared" si="31"/>
        <v>6.3840000000000003</v>
      </c>
      <c r="CT27">
        <f t="shared" si="32"/>
        <v>346.37759999999997</v>
      </c>
      <c r="CU27">
        <f t="shared" si="33"/>
        <v>0</v>
      </c>
      <c r="CV27">
        <f t="shared" si="34"/>
        <v>6.6791999999999998</v>
      </c>
      <c r="CW27">
        <f t="shared" si="35"/>
        <v>0.09</v>
      </c>
      <c r="CX27">
        <f t="shared" si="36"/>
        <v>0</v>
      </c>
      <c r="CY27">
        <f t="shared" si="37"/>
        <v>142.14660000000001</v>
      </c>
      <c r="CZ27">
        <f t="shared" si="38"/>
        <v>81.958399999999997</v>
      </c>
      <c r="DC27" t="s">
        <v>3</v>
      </c>
      <c r="DD27" t="s">
        <v>40</v>
      </c>
      <c r="DE27" t="s">
        <v>41</v>
      </c>
      <c r="DF27" t="s">
        <v>41</v>
      </c>
      <c r="DG27" t="s">
        <v>42</v>
      </c>
      <c r="DH27" t="s">
        <v>3</v>
      </c>
      <c r="DI27" t="s">
        <v>42</v>
      </c>
      <c r="DJ27" t="s">
        <v>41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23</v>
      </c>
      <c r="DW27" t="s">
        <v>23</v>
      </c>
      <c r="DX27">
        <v>100</v>
      </c>
      <c r="EE27">
        <v>38092816</v>
      </c>
      <c r="EF27">
        <v>2</v>
      </c>
      <c r="EG27" t="s">
        <v>31</v>
      </c>
      <c r="EH27">
        <v>0</v>
      </c>
      <c r="EI27" t="s">
        <v>3</v>
      </c>
      <c r="EJ27">
        <v>1</v>
      </c>
      <c r="EK27">
        <v>11001</v>
      </c>
      <c r="EL27" t="s">
        <v>18</v>
      </c>
      <c r="EM27" t="s">
        <v>32</v>
      </c>
      <c r="EO27" t="s">
        <v>43</v>
      </c>
      <c r="EQ27">
        <v>0</v>
      </c>
      <c r="ER27">
        <v>2070.6</v>
      </c>
      <c r="ES27">
        <v>2048.75</v>
      </c>
      <c r="ET27">
        <v>1.21</v>
      </c>
      <c r="EU27">
        <v>0.35</v>
      </c>
      <c r="EV27">
        <v>20.64</v>
      </c>
      <c r="EW27">
        <v>2.42</v>
      </c>
      <c r="EX27">
        <v>0.03</v>
      </c>
      <c r="EY27">
        <v>0</v>
      </c>
      <c r="FQ27">
        <v>0</v>
      </c>
      <c r="FR27">
        <f t="shared" si="39"/>
        <v>0</v>
      </c>
      <c r="FS27">
        <v>0</v>
      </c>
      <c r="FT27" t="s">
        <v>34</v>
      </c>
      <c r="FU27" t="s">
        <v>35</v>
      </c>
      <c r="FX27">
        <v>110.7</v>
      </c>
      <c r="FY27">
        <v>63.75</v>
      </c>
      <c r="GA27" t="s">
        <v>3</v>
      </c>
      <c r="GD27">
        <v>0</v>
      </c>
      <c r="GF27">
        <v>337317905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0"/>
        <v>0</v>
      </c>
      <c r="GM27">
        <f t="shared" si="41"/>
        <v>9401.2099999999991</v>
      </c>
      <c r="GN27">
        <f t="shared" si="42"/>
        <v>9401.2099999999991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ROW(SmtRes!A26)</f>
        <v>26</v>
      </c>
      <c r="D28">
        <f>ROW(EtalonRes!A26)</f>
        <v>26</v>
      </c>
      <c r="E28" t="s">
        <v>44</v>
      </c>
      <c r="F28" t="s">
        <v>45</v>
      </c>
      <c r="G28" t="s">
        <v>46</v>
      </c>
      <c r="H28" t="s">
        <v>23</v>
      </c>
      <c r="I28">
        <v>0.36299999999999999</v>
      </c>
      <c r="J28">
        <v>0</v>
      </c>
      <c r="O28">
        <f t="shared" si="14"/>
        <v>1220.1600000000001</v>
      </c>
      <c r="P28">
        <f t="shared" si="15"/>
        <v>2.0099999999999998</v>
      </c>
      <c r="Q28">
        <f t="shared" si="16"/>
        <v>145.02000000000001</v>
      </c>
      <c r="R28">
        <f t="shared" si="17"/>
        <v>34.869999999999997</v>
      </c>
      <c r="S28">
        <f t="shared" si="18"/>
        <v>1073.1300000000001</v>
      </c>
      <c r="T28">
        <f t="shared" si="19"/>
        <v>0</v>
      </c>
      <c r="U28">
        <f t="shared" si="20"/>
        <v>21.239855999999996</v>
      </c>
      <c r="V28">
        <f t="shared" si="21"/>
        <v>0.46282499999999993</v>
      </c>
      <c r="W28">
        <f t="shared" si="22"/>
        <v>0</v>
      </c>
      <c r="X28">
        <f t="shared" si="23"/>
        <v>1229.8800000000001</v>
      </c>
      <c r="Y28">
        <f t="shared" si="24"/>
        <v>709.12</v>
      </c>
      <c r="AA28">
        <v>39102310</v>
      </c>
      <c r="AB28">
        <f t="shared" si="25"/>
        <v>552.85</v>
      </c>
      <c r="AC28">
        <f t="shared" ref="AC28:AC51" si="47">ROUND((ES28),2)</f>
        <v>0.91</v>
      </c>
      <c r="AD28">
        <f>ROUND((((((ET28*1.25)*1.2))-(((EU28*1.25)*1.2)))+AE28),2)</f>
        <v>65.709999999999994</v>
      </c>
      <c r="AE28">
        <f>ROUND((((EU28*1.25)*1.2)),2)</f>
        <v>15.8</v>
      </c>
      <c r="AF28">
        <f>ROUND((((EV28*1.15)*1.2)),2)</f>
        <v>486.23</v>
      </c>
      <c r="AG28">
        <f t="shared" si="26"/>
        <v>0</v>
      </c>
      <c r="AH28">
        <f>(((EW28*1.15)*1.2))</f>
        <v>58.511999999999993</v>
      </c>
      <c r="AI28">
        <f>(((EX28*1.25)*1.2))</f>
        <v>1.2749999999999999</v>
      </c>
      <c r="AJ28">
        <f t="shared" si="27"/>
        <v>0</v>
      </c>
      <c r="AK28">
        <v>397.05</v>
      </c>
      <c r="AL28">
        <v>0.91</v>
      </c>
      <c r="AM28">
        <v>43.8</v>
      </c>
      <c r="AN28">
        <v>10.53</v>
      </c>
      <c r="AO28">
        <v>352.34</v>
      </c>
      <c r="AP28">
        <v>0</v>
      </c>
      <c r="AQ28">
        <v>42.4</v>
      </c>
      <c r="AR28">
        <v>0.85</v>
      </c>
      <c r="AS28">
        <v>0</v>
      </c>
      <c r="AT28">
        <v>111</v>
      </c>
      <c r="AU28">
        <v>64</v>
      </c>
      <c r="AV28">
        <v>1</v>
      </c>
      <c r="AW28">
        <v>1</v>
      </c>
      <c r="AZ28">
        <v>6.08</v>
      </c>
      <c r="BA28">
        <v>6.08</v>
      </c>
      <c r="BB28">
        <v>6.08</v>
      </c>
      <c r="BC28">
        <v>6.08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47</v>
      </c>
      <c r="BM28">
        <v>11001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6.08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123</v>
      </c>
      <c r="CA28">
        <v>75</v>
      </c>
      <c r="CF28">
        <v>0</v>
      </c>
      <c r="CG28">
        <v>0</v>
      </c>
      <c r="CM28">
        <v>0</v>
      </c>
      <c r="CN28" t="s">
        <v>329</v>
      </c>
      <c r="CO28">
        <v>0</v>
      </c>
      <c r="CP28">
        <f t="shared" si="28"/>
        <v>1220.1600000000001</v>
      </c>
      <c r="CQ28">
        <f t="shared" si="29"/>
        <v>5.5327999999999999</v>
      </c>
      <c r="CR28">
        <f t="shared" si="30"/>
        <v>399.51679999999999</v>
      </c>
      <c r="CS28">
        <f t="shared" si="31"/>
        <v>96.064000000000007</v>
      </c>
      <c r="CT28">
        <f t="shared" si="32"/>
        <v>2956.2784000000001</v>
      </c>
      <c r="CU28">
        <f t="shared" si="33"/>
        <v>0</v>
      </c>
      <c r="CV28">
        <f t="shared" si="34"/>
        <v>58.511999999999993</v>
      </c>
      <c r="CW28">
        <f t="shared" si="35"/>
        <v>1.2749999999999999</v>
      </c>
      <c r="CX28">
        <f t="shared" si="36"/>
        <v>0</v>
      </c>
      <c r="CY28">
        <f t="shared" si="37"/>
        <v>1229.8800000000001</v>
      </c>
      <c r="CZ28">
        <f t="shared" si="38"/>
        <v>709.12</v>
      </c>
      <c r="DC28" t="s">
        <v>3</v>
      </c>
      <c r="DD28" t="s">
        <v>3</v>
      </c>
      <c r="DE28" t="s">
        <v>29</v>
      </c>
      <c r="DF28" t="s">
        <v>29</v>
      </c>
      <c r="DG28" t="s">
        <v>30</v>
      </c>
      <c r="DH28" t="s">
        <v>3</v>
      </c>
      <c r="DI28" t="s">
        <v>30</v>
      </c>
      <c r="DJ28" t="s">
        <v>29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23</v>
      </c>
      <c r="DW28" t="s">
        <v>23</v>
      </c>
      <c r="DX28">
        <v>100</v>
      </c>
      <c r="EE28">
        <v>38092816</v>
      </c>
      <c r="EF28">
        <v>2</v>
      </c>
      <c r="EG28" t="s">
        <v>31</v>
      </c>
      <c r="EH28">
        <v>0</v>
      </c>
      <c r="EI28" t="s">
        <v>3</v>
      </c>
      <c r="EJ28">
        <v>1</v>
      </c>
      <c r="EK28">
        <v>11001</v>
      </c>
      <c r="EL28" t="s">
        <v>18</v>
      </c>
      <c r="EM28" t="s">
        <v>32</v>
      </c>
      <c r="EO28" t="s">
        <v>43</v>
      </c>
      <c r="EQ28">
        <v>0</v>
      </c>
      <c r="ER28">
        <v>397.05</v>
      </c>
      <c r="ES28">
        <v>0.91</v>
      </c>
      <c r="ET28">
        <v>43.8</v>
      </c>
      <c r="EU28">
        <v>10.53</v>
      </c>
      <c r="EV28">
        <v>352.34</v>
      </c>
      <c r="EW28">
        <v>42.4</v>
      </c>
      <c r="EX28">
        <v>0.85</v>
      </c>
      <c r="EY28">
        <v>0</v>
      </c>
      <c r="FQ28">
        <v>0</v>
      </c>
      <c r="FR28">
        <f t="shared" si="39"/>
        <v>0</v>
      </c>
      <c r="FS28">
        <v>0</v>
      </c>
      <c r="FT28" t="s">
        <v>34</v>
      </c>
      <c r="FU28" t="s">
        <v>35</v>
      </c>
      <c r="FX28">
        <v>110.7</v>
      </c>
      <c r="FY28">
        <v>63.75</v>
      </c>
      <c r="GA28" t="s">
        <v>3</v>
      </c>
      <c r="GD28">
        <v>0</v>
      </c>
      <c r="GF28">
        <v>35623097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0"/>
        <v>0</v>
      </c>
      <c r="GM28">
        <f t="shared" si="41"/>
        <v>3159.16</v>
      </c>
      <c r="GN28">
        <f t="shared" si="42"/>
        <v>3159.16</v>
      </c>
      <c r="GO28">
        <f t="shared" si="43"/>
        <v>0</v>
      </c>
      <c r="GP28">
        <f t="shared" si="44"/>
        <v>0</v>
      </c>
      <c r="GR28">
        <v>0</v>
      </c>
      <c r="GS28">
        <v>3</v>
      </c>
      <c r="GT28">
        <v>0</v>
      </c>
      <c r="GU28" t="s">
        <v>3</v>
      </c>
      <c r="GV28">
        <f t="shared" si="45"/>
        <v>0</v>
      </c>
      <c r="GW28">
        <v>1</v>
      </c>
      <c r="GX28">
        <f t="shared" si="46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23</v>
      </c>
      <c r="E29" t="s">
        <v>48</v>
      </c>
      <c r="F29" t="s">
        <v>49</v>
      </c>
      <c r="G29" t="s">
        <v>50</v>
      </c>
      <c r="H29" t="s">
        <v>51</v>
      </c>
      <c r="I29">
        <f>I28*J29</f>
        <v>37.026000000000003</v>
      </c>
      <c r="J29">
        <v>102.00000000000001</v>
      </c>
      <c r="O29">
        <f t="shared" si="14"/>
        <v>39668.06</v>
      </c>
      <c r="P29">
        <f t="shared" si="15"/>
        <v>39668.06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39102310</v>
      </c>
      <c r="AB29">
        <f t="shared" si="25"/>
        <v>176.21</v>
      </c>
      <c r="AC29">
        <f t="shared" si="47"/>
        <v>176.21</v>
      </c>
      <c r="AD29">
        <f>ROUND((((ET29)-(EU29))+AE29),2)</f>
        <v>0</v>
      </c>
      <c r="AE29">
        <f t="shared" ref="AE29:AF32" si="48">ROUND((EU29),2)</f>
        <v>0</v>
      </c>
      <c r="AF29">
        <f t="shared" si="48"/>
        <v>0</v>
      </c>
      <c r="AG29">
        <f t="shared" si="26"/>
        <v>0</v>
      </c>
      <c r="AH29">
        <f t="shared" ref="AH29:AI32" si="49">(EW29)</f>
        <v>0</v>
      </c>
      <c r="AI29">
        <f t="shared" si="49"/>
        <v>0</v>
      </c>
      <c r="AJ29">
        <f t="shared" si="27"/>
        <v>0</v>
      </c>
      <c r="AK29">
        <v>176.21</v>
      </c>
      <c r="AL29">
        <v>176.21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6.08</v>
      </c>
      <c r="BA29">
        <v>1</v>
      </c>
      <c r="BB29">
        <v>1</v>
      </c>
      <c r="BC29">
        <v>6.08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1</v>
      </c>
      <c r="BJ29" t="s">
        <v>52</v>
      </c>
      <c r="BM29">
        <v>11001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8"/>
        <v>39668.06</v>
      </c>
      <c r="CQ29">
        <f t="shared" si="29"/>
        <v>1071.3568</v>
      </c>
      <c r="CR29">
        <f t="shared" si="30"/>
        <v>0</v>
      </c>
      <c r="CS29">
        <f t="shared" si="31"/>
        <v>0</v>
      </c>
      <c r="CT29">
        <f t="shared" si="32"/>
        <v>0</v>
      </c>
      <c r="CU29">
        <f t="shared" si="33"/>
        <v>0</v>
      </c>
      <c r="CV29">
        <f t="shared" si="34"/>
        <v>0</v>
      </c>
      <c r="CW29">
        <f t="shared" si="35"/>
        <v>0</v>
      </c>
      <c r="CX29">
        <f t="shared" si="36"/>
        <v>0</v>
      </c>
      <c r="CY29">
        <f t="shared" si="37"/>
        <v>0</v>
      </c>
      <c r="CZ29">
        <f t="shared" si="38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51</v>
      </c>
      <c r="DW29" t="s">
        <v>51</v>
      </c>
      <c r="DX29">
        <v>1</v>
      </c>
      <c r="EE29">
        <v>38092816</v>
      </c>
      <c r="EF29">
        <v>2</v>
      </c>
      <c r="EG29" t="s">
        <v>31</v>
      </c>
      <c r="EH29">
        <v>0</v>
      </c>
      <c r="EI29" t="s">
        <v>3</v>
      </c>
      <c r="EJ29">
        <v>1</v>
      </c>
      <c r="EK29">
        <v>11001</v>
      </c>
      <c r="EL29" t="s">
        <v>18</v>
      </c>
      <c r="EM29" t="s">
        <v>32</v>
      </c>
      <c r="EO29" t="s">
        <v>3</v>
      </c>
      <c r="EQ29">
        <v>0</v>
      </c>
      <c r="ER29">
        <v>176.21</v>
      </c>
      <c r="ES29">
        <v>176.21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39"/>
        <v>0</v>
      </c>
      <c r="FS29">
        <v>0</v>
      </c>
      <c r="FT29" t="s">
        <v>34</v>
      </c>
      <c r="FU29" t="s">
        <v>35</v>
      </c>
      <c r="FX29">
        <v>110.7</v>
      </c>
      <c r="FY29">
        <v>63.75</v>
      </c>
      <c r="GA29" t="s">
        <v>3</v>
      </c>
      <c r="GD29">
        <v>0</v>
      </c>
      <c r="GF29">
        <v>-1736667289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0"/>
        <v>0</v>
      </c>
      <c r="GM29">
        <f t="shared" si="41"/>
        <v>39668.06</v>
      </c>
      <c r="GN29">
        <f t="shared" si="42"/>
        <v>39668.06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22</v>
      </c>
      <c r="E30" t="s">
        <v>53</v>
      </c>
      <c r="F30" t="s">
        <v>54</v>
      </c>
      <c r="G30" t="s">
        <v>55</v>
      </c>
      <c r="H30" t="s">
        <v>51</v>
      </c>
      <c r="I30">
        <f>I28*J30</f>
        <v>37.026000000000003</v>
      </c>
      <c r="J30">
        <v>102.00000000000001</v>
      </c>
      <c r="O30">
        <f t="shared" si="14"/>
        <v>0</v>
      </c>
      <c r="P30">
        <f t="shared" si="15"/>
        <v>0</v>
      </c>
      <c r="Q30">
        <f t="shared" si="16"/>
        <v>0</v>
      </c>
      <c r="R30">
        <f t="shared" si="17"/>
        <v>0</v>
      </c>
      <c r="S30">
        <f t="shared" si="18"/>
        <v>0</v>
      </c>
      <c r="T30">
        <f t="shared" si="19"/>
        <v>0</v>
      </c>
      <c r="U30">
        <f t="shared" si="20"/>
        <v>0</v>
      </c>
      <c r="V30">
        <f t="shared" si="21"/>
        <v>0</v>
      </c>
      <c r="W30">
        <f t="shared" si="22"/>
        <v>0</v>
      </c>
      <c r="X30">
        <f t="shared" si="23"/>
        <v>0</v>
      </c>
      <c r="Y30">
        <f t="shared" si="24"/>
        <v>0</v>
      </c>
      <c r="AA30">
        <v>39102310</v>
      </c>
      <c r="AB30">
        <f t="shared" si="25"/>
        <v>0</v>
      </c>
      <c r="AC30">
        <f t="shared" si="47"/>
        <v>0</v>
      </c>
      <c r="AD30">
        <f>ROUND((((ET30)-(EU30))+AE30),2)</f>
        <v>0</v>
      </c>
      <c r="AE30">
        <f t="shared" si="48"/>
        <v>0</v>
      </c>
      <c r="AF30">
        <f t="shared" si="48"/>
        <v>0</v>
      </c>
      <c r="AG30">
        <f t="shared" si="26"/>
        <v>0</v>
      </c>
      <c r="AH30">
        <f t="shared" si="49"/>
        <v>0</v>
      </c>
      <c r="AI30">
        <f t="shared" si="49"/>
        <v>0</v>
      </c>
      <c r="AJ30">
        <f t="shared" si="27"/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111</v>
      </c>
      <c r="AU30">
        <v>64</v>
      </c>
      <c r="AV30">
        <v>1</v>
      </c>
      <c r="AW30">
        <v>1</v>
      </c>
      <c r="AZ30">
        <v>6.08</v>
      </c>
      <c r="BA30">
        <v>1</v>
      </c>
      <c r="BB30">
        <v>1</v>
      </c>
      <c r="BC30">
        <v>6.08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1</v>
      </c>
      <c r="BJ30" t="s">
        <v>3</v>
      </c>
      <c r="BM30">
        <v>11001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123</v>
      </c>
      <c r="CA30">
        <v>75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28"/>
        <v>0</v>
      </c>
      <c r="CQ30">
        <f t="shared" si="29"/>
        <v>0</v>
      </c>
      <c r="CR30">
        <f t="shared" si="30"/>
        <v>0</v>
      </c>
      <c r="CS30">
        <f t="shared" si="31"/>
        <v>0</v>
      </c>
      <c r="CT30">
        <f t="shared" si="32"/>
        <v>0</v>
      </c>
      <c r="CU30">
        <f t="shared" si="33"/>
        <v>0</v>
      </c>
      <c r="CV30">
        <f t="shared" si="34"/>
        <v>0</v>
      </c>
      <c r="CW30">
        <f t="shared" si="35"/>
        <v>0</v>
      </c>
      <c r="CX30">
        <f t="shared" si="36"/>
        <v>0</v>
      </c>
      <c r="CY30">
        <f t="shared" si="37"/>
        <v>0</v>
      </c>
      <c r="CZ30">
        <f t="shared" si="38"/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51</v>
      </c>
      <c r="DW30" t="s">
        <v>51</v>
      </c>
      <c r="DX30">
        <v>1</v>
      </c>
      <c r="EE30">
        <v>38092816</v>
      </c>
      <c r="EF30">
        <v>2</v>
      </c>
      <c r="EG30" t="s">
        <v>31</v>
      </c>
      <c r="EH30">
        <v>0</v>
      </c>
      <c r="EI30" t="s">
        <v>3</v>
      </c>
      <c r="EJ30">
        <v>1</v>
      </c>
      <c r="EK30">
        <v>11001</v>
      </c>
      <c r="EL30" t="s">
        <v>18</v>
      </c>
      <c r="EM30" t="s">
        <v>32</v>
      </c>
      <c r="EO30" t="s">
        <v>3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 t="shared" si="39"/>
        <v>0</v>
      </c>
      <c r="FS30">
        <v>0</v>
      </c>
      <c r="FT30" t="s">
        <v>34</v>
      </c>
      <c r="FU30" t="s">
        <v>35</v>
      </c>
      <c r="FX30">
        <v>110.7</v>
      </c>
      <c r="FY30">
        <v>63.75</v>
      </c>
      <c r="GA30" t="s">
        <v>56</v>
      </c>
      <c r="GD30">
        <v>0</v>
      </c>
      <c r="GF30">
        <v>-919469713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0"/>
        <v>0</v>
      </c>
      <c r="GM30">
        <f t="shared" si="41"/>
        <v>0</v>
      </c>
      <c r="GN30">
        <f t="shared" si="42"/>
        <v>0</v>
      </c>
      <c r="GO30">
        <f t="shared" si="43"/>
        <v>0</v>
      </c>
      <c r="GP30">
        <f t="shared" si="44"/>
        <v>0</v>
      </c>
      <c r="GR30">
        <v>0</v>
      </c>
      <c r="GS30">
        <v>4</v>
      </c>
      <c r="GT30">
        <v>0</v>
      </c>
      <c r="GU30" t="s">
        <v>3</v>
      </c>
      <c r="GV30">
        <f t="shared" si="45"/>
        <v>0</v>
      </c>
      <c r="GW30">
        <v>1</v>
      </c>
      <c r="GX30">
        <f t="shared" si="46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25</v>
      </c>
      <c r="E31" t="s">
        <v>57</v>
      </c>
      <c r="F31" t="s">
        <v>58</v>
      </c>
      <c r="G31" t="s">
        <v>59</v>
      </c>
      <c r="H31" t="s">
        <v>60</v>
      </c>
      <c r="I31">
        <f>I28*J31</f>
        <v>1.8149999999999999E-2</v>
      </c>
      <c r="J31">
        <v>0.05</v>
      </c>
      <c r="O31">
        <f t="shared" si="14"/>
        <v>1246.98</v>
      </c>
      <c r="P31">
        <f t="shared" si="15"/>
        <v>1246.98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39102310</v>
      </c>
      <c r="AB31">
        <f t="shared" si="25"/>
        <v>11300</v>
      </c>
      <c r="AC31">
        <f t="shared" si="47"/>
        <v>11300</v>
      </c>
      <c r="AD31">
        <f>ROUND((((ET31)-(EU31))+AE31),2)</f>
        <v>0</v>
      </c>
      <c r="AE31">
        <f t="shared" si="48"/>
        <v>0</v>
      </c>
      <c r="AF31">
        <f t="shared" si="48"/>
        <v>0</v>
      </c>
      <c r="AG31">
        <f t="shared" si="26"/>
        <v>0</v>
      </c>
      <c r="AH31">
        <f t="shared" si="49"/>
        <v>0</v>
      </c>
      <c r="AI31">
        <f t="shared" si="49"/>
        <v>0</v>
      </c>
      <c r="AJ31">
        <f t="shared" si="27"/>
        <v>0</v>
      </c>
      <c r="AK31">
        <v>11300</v>
      </c>
      <c r="AL31">
        <v>11300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6.08</v>
      </c>
      <c r="BA31">
        <v>1</v>
      </c>
      <c r="BB31">
        <v>1</v>
      </c>
      <c r="BC31">
        <v>6.08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61</v>
      </c>
      <c r="BM31">
        <v>11001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28"/>
        <v>1246.98</v>
      </c>
      <c r="CQ31">
        <f t="shared" si="29"/>
        <v>68704</v>
      </c>
      <c r="CR31">
        <f t="shared" si="30"/>
        <v>0</v>
      </c>
      <c r="CS31">
        <f t="shared" si="31"/>
        <v>0</v>
      </c>
      <c r="CT31">
        <f t="shared" si="32"/>
        <v>0</v>
      </c>
      <c r="CU31">
        <f t="shared" si="33"/>
        <v>0</v>
      </c>
      <c r="CV31">
        <f t="shared" si="34"/>
        <v>0</v>
      </c>
      <c r="CW31">
        <f t="shared" si="35"/>
        <v>0</v>
      </c>
      <c r="CX31">
        <f t="shared" si="36"/>
        <v>0</v>
      </c>
      <c r="CY31">
        <f t="shared" si="37"/>
        <v>0</v>
      </c>
      <c r="CZ31">
        <f t="shared" si="38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1009</v>
      </c>
      <c r="DV31" t="s">
        <v>60</v>
      </c>
      <c r="DW31" t="s">
        <v>60</v>
      </c>
      <c r="DX31">
        <v>1000</v>
      </c>
      <c r="EE31">
        <v>38092816</v>
      </c>
      <c r="EF31">
        <v>2</v>
      </c>
      <c r="EG31" t="s">
        <v>31</v>
      </c>
      <c r="EH31">
        <v>0</v>
      </c>
      <c r="EI31" t="s">
        <v>3</v>
      </c>
      <c r="EJ31">
        <v>1</v>
      </c>
      <c r="EK31">
        <v>11001</v>
      </c>
      <c r="EL31" t="s">
        <v>18</v>
      </c>
      <c r="EM31" t="s">
        <v>32</v>
      </c>
      <c r="EO31" t="s">
        <v>3</v>
      </c>
      <c r="EQ31">
        <v>0</v>
      </c>
      <c r="ER31">
        <v>11300</v>
      </c>
      <c r="ES31">
        <v>11300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39"/>
        <v>0</v>
      </c>
      <c r="FS31">
        <v>0</v>
      </c>
      <c r="FT31" t="s">
        <v>34</v>
      </c>
      <c r="FU31" t="s">
        <v>35</v>
      </c>
      <c r="FX31">
        <v>110.7</v>
      </c>
      <c r="FY31">
        <v>63.75</v>
      </c>
      <c r="GA31" t="s">
        <v>3</v>
      </c>
      <c r="GD31">
        <v>0</v>
      </c>
      <c r="GF31">
        <v>486476101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0"/>
        <v>0</v>
      </c>
      <c r="GM31">
        <f t="shared" si="41"/>
        <v>1246.98</v>
      </c>
      <c r="GN31">
        <f t="shared" si="42"/>
        <v>1246.98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26</v>
      </c>
      <c r="E32" t="s">
        <v>62</v>
      </c>
      <c r="F32" t="s">
        <v>63</v>
      </c>
      <c r="G32" t="s">
        <v>64</v>
      </c>
      <c r="H32" t="s">
        <v>65</v>
      </c>
      <c r="I32">
        <f>I28*J32</f>
        <v>18.149999999999999</v>
      </c>
      <c r="J32">
        <v>50</v>
      </c>
      <c r="O32">
        <f t="shared" si="14"/>
        <v>0</v>
      </c>
      <c r="P32">
        <f t="shared" si="15"/>
        <v>0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39102310</v>
      </c>
      <c r="AB32">
        <f t="shared" si="25"/>
        <v>0</v>
      </c>
      <c r="AC32">
        <f t="shared" si="47"/>
        <v>0</v>
      </c>
      <c r="AD32">
        <f>ROUND((((ET32)-(EU32))+AE32),2)</f>
        <v>0</v>
      </c>
      <c r="AE32">
        <f t="shared" si="48"/>
        <v>0</v>
      </c>
      <c r="AF32">
        <f t="shared" si="48"/>
        <v>0</v>
      </c>
      <c r="AG32">
        <f t="shared" si="26"/>
        <v>0</v>
      </c>
      <c r="AH32">
        <f t="shared" si="49"/>
        <v>0</v>
      </c>
      <c r="AI32">
        <f t="shared" si="49"/>
        <v>0</v>
      </c>
      <c r="AJ32">
        <f t="shared" si="27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111</v>
      </c>
      <c r="AU32">
        <v>64</v>
      </c>
      <c r="AV32">
        <v>1</v>
      </c>
      <c r="AW32">
        <v>1</v>
      </c>
      <c r="AZ32">
        <v>6.08</v>
      </c>
      <c r="BA32">
        <v>1</v>
      </c>
      <c r="BB32">
        <v>1</v>
      </c>
      <c r="BC32">
        <v>6.08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3</v>
      </c>
      <c r="BM32">
        <v>11001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123</v>
      </c>
      <c r="CA32">
        <v>75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28"/>
        <v>0</v>
      </c>
      <c r="CQ32">
        <f t="shared" si="29"/>
        <v>0</v>
      </c>
      <c r="CR32">
        <f t="shared" si="30"/>
        <v>0</v>
      </c>
      <c r="CS32">
        <f t="shared" si="31"/>
        <v>0</v>
      </c>
      <c r="CT32">
        <f t="shared" si="32"/>
        <v>0</v>
      </c>
      <c r="CU32">
        <f t="shared" si="33"/>
        <v>0</v>
      </c>
      <c r="CV32">
        <f t="shared" si="34"/>
        <v>0</v>
      </c>
      <c r="CW32">
        <f t="shared" si="35"/>
        <v>0</v>
      </c>
      <c r="CX32">
        <f t="shared" si="36"/>
        <v>0</v>
      </c>
      <c r="CY32">
        <f t="shared" si="37"/>
        <v>0</v>
      </c>
      <c r="CZ32">
        <f t="shared" si="38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1009</v>
      </c>
      <c r="DV32" t="s">
        <v>65</v>
      </c>
      <c r="DW32" t="s">
        <v>65</v>
      </c>
      <c r="DX32">
        <v>1</v>
      </c>
      <c r="EE32">
        <v>38092816</v>
      </c>
      <c r="EF32">
        <v>2</v>
      </c>
      <c r="EG32" t="s">
        <v>31</v>
      </c>
      <c r="EH32">
        <v>0</v>
      </c>
      <c r="EI32" t="s">
        <v>3</v>
      </c>
      <c r="EJ32">
        <v>1</v>
      </c>
      <c r="EK32">
        <v>11001</v>
      </c>
      <c r="EL32" t="s">
        <v>18</v>
      </c>
      <c r="EM32" t="s">
        <v>32</v>
      </c>
      <c r="EO32" t="s">
        <v>3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39"/>
        <v>0</v>
      </c>
      <c r="FS32">
        <v>0</v>
      </c>
      <c r="FT32" t="s">
        <v>34</v>
      </c>
      <c r="FU32" t="s">
        <v>35</v>
      </c>
      <c r="FX32">
        <v>110.7</v>
      </c>
      <c r="FY32">
        <v>63.75</v>
      </c>
      <c r="GA32" t="s">
        <v>56</v>
      </c>
      <c r="GD32">
        <v>0</v>
      </c>
      <c r="GF32">
        <v>290394019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0"/>
        <v>0</v>
      </c>
      <c r="GM32">
        <f t="shared" si="41"/>
        <v>0</v>
      </c>
      <c r="GN32">
        <f t="shared" si="42"/>
        <v>0</v>
      </c>
      <c r="GO32">
        <f t="shared" si="43"/>
        <v>0</v>
      </c>
      <c r="GP32">
        <f t="shared" si="44"/>
        <v>0</v>
      </c>
      <c r="GR32">
        <v>0</v>
      </c>
      <c r="GS32">
        <v>4</v>
      </c>
      <c r="GT32">
        <v>0</v>
      </c>
      <c r="GU32" t="s">
        <v>3</v>
      </c>
      <c r="GV32">
        <f t="shared" si="45"/>
        <v>0</v>
      </c>
      <c r="GW32">
        <v>1</v>
      </c>
      <c r="GX32">
        <f t="shared" si="46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ROW(SmtRes!A33)</f>
        <v>33</v>
      </c>
      <c r="D33">
        <f>ROW(EtalonRes!A32)</f>
        <v>32</v>
      </c>
      <c r="E33" t="s">
        <v>66</v>
      </c>
      <c r="F33" t="s">
        <v>67</v>
      </c>
      <c r="G33" t="s">
        <v>68</v>
      </c>
      <c r="H33" t="s">
        <v>15</v>
      </c>
      <c r="I33">
        <v>0.23</v>
      </c>
      <c r="J33">
        <v>0</v>
      </c>
      <c r="O33">
        <f t="shared" si="14"/>
        <v>234.38</v>
      </c>
      <c r="P33">
        <f t="shared" si="15"/>
        <v>60.2</v>
      </c>
      <c r="Q33">
        <f t="shared" si="16"/>
        <v>4.47</v>
      </c>
      <c r="R33">
        <f t="shared" si="17"/>
        <v>0.88</v>
      </c>
      <c r="S33">
        <f t="shared" si="18"/>
        <v>169.71</v>
      </c>
      <c r="T33">
        <f t="shared" si="19"/>
        <v>0</v>
      </c>
      <c r="U33">
        <f t="shared" si="20"/>
        <v>2.8597740000000003</v>
      </c>
      <c r="V33">
        <f t="shared" si="21"/>
        <v>1.38E-2</v>
      </c>
      <c r="W33">
        <f t="shared" si="22"/>
        <v>0</v>
      </c>
      <c r="X33">
        <f t="shared" si="23"/>
        <v>189.35</v>
      </c>
      <c r="Y33">
        <f t="shared" si="24"/>
        <v>109.18</v>
      </c>
      <c r="AA33">
        <v>39102310</v>
      </c>
      <c r="AB33">
        <f t="shared" si="25"/>
        <v>167.61</v>
      </c>
      <c r="AC33">
        <f t="shared" si="47"/>
        <v>43.05</v>
      </c>
      <c r="AD33">
        <f>ROUND((((((ET33*1.25)*1.2))-(((EU33*1.25)*1.2)))+AE33),2)</f>
        <v>3.2</v>
      </c>
      <c r="AE33">
        <f>ROUND((((EU33*1.25)*1.2)),2)</f>
        <v>0.63</v>
      </c>
      <c r="AF33">
        <f>ROUND((((EV33*1.15)*1.2)),2)</f>
        <v>121.36</v>
      </c>
      <c r="AG33">
        <f t="shared" si="26"/>
        <v>0</v>
      </c>
      <c r="AH33">
        <f>(((EW33*1.15)*1.2))</f>
        <v>12.4338</v>
      </c>
      <c r="AI33">
        <f>(((EX33*1.25)*1.2))</f>
        <v>0.06</v>
      </c>
      <c r="AJ33">
        <f t="shared" si="27"/>
        <v>0</v>
      </c>
      <c r="AK33">
        <v>133.12</v>
      </c>
      <c r="AL33">
        <v>43.05</v>
      </c>
      <c r="AM33">
        <v>2.13</v>
      </c>
      <c r="AN33">
        <v>0.42</v>
      </c>
      <c r="AO33">
        <v>87.94</v>
      </c>
      <c r="AP33">
        <v>0</v>
      </c>
      <c r="AQ33">
        <v>9.01</v>
      </c>
      <c r="AR33">
        <v>0.04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69</v>
      </c>
      <c r="BM33">
        <v>11001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329</v>
      </c>
      <c r="CO33">
        <v>0</v>
      </c>
      <c r="CP33">
        <f t="shared" si="28"/>
        <v>234.38</v>
      </c>
      <c r="CQ33">
        <f t="shared" si="29"/>
        <v>261.74399999999997</v>
      </c>
      <c r="CR33">
        <f t="shared" si="30"/>
        <v>19.456000000000003</v>
      </c>
      <c r="CS33">
        <f t="shared" si="31"/>
        <v>3.8304</v>
      </c>
      <c r="CT33">
        <f t="shared" si="32"/>
        <v>737.86879999999996</v>
      </c>
      <c r="CU33">
        <f t="shared" si="33"/>
        <v>0</v>
      </c>
      <c r="CV33">
        <f t="shared" si="34"/>
        <v>12.4338</v>
      </c>
      <c r="CW33">
        <f t="shared" si="35"/>
        <v>0.06</v>
      </c>
      <c r="CX33">
        <f t="shared" si="36"/>
        <v>0</v>
      </c>
      <c r="CY33">
        <f t="shared" si="37"/>
        <v>189.35490000000001</v>
      </c>
      <c r="CZ33">
        <f t="shared" si="38"/>
        <v>109.1776</v>
      </c>
      <c r="DC33" t="s">
        <v>3</v>
      </c>
      <c r="DD33" t="s">
        <v>3</v>
      </c>
      <c r="DE33" t="s">
        <v>29</v>
      </c>
      <c r="DF33" t="s">
        <v>29</v>
      </c>
      <c r="DG33" t="s">
        <v>30</v>
      </c>
      <c r="DH33" t="s">
        <v>3</v>
      </c>
      <c r="DI33" t="s">
        <v>30</v>
      </c>
      <c r="DJ33" t="s">
        <v>29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15</v>
      </c>
      <c r="DW33" t="s">
        <v>15</v>
      </c>
      <c r="DX33">
        <v>100</v>
      </c>
      <c r="EE33">
        <v>38092816</v>
      </c>
      <c r="EF33">
        <v>2</v>
      </c>
      <c r="EG33" t="s">
        <v>31</v>
      </c>
      <c r="EH33">
        <v>0</v>
      </c>
      <c r="EI33" t="s">
        <v>3</v>
      </c>
      <c r="EJ33">
        <v>1</v>
      </c>
      <c r="EK33">
        <v>11001</v>
      </c>
      <c r="EL33" t="s">
        <v>18</v>
      </c>
      <c r="EM33" t="s">
        <v>32</v>
      </c>
      <c r="EO33" t="s">
        <v>43</v>
      </c>
      <c r="EQ33">
        <v>0</v>
      </c>
      <c r="ER33">
        <v>133.12</v>
      </c>
      <c r="ES33">
        <v>43.05</v>
      </c>
      <c r="ET33">
        <v>2.13</v>
      </c>
      <c r="EU33">
        <v>0.42</v>
      </c>
      <c r="EV33">
        <v>87.94</v>
      </c>
      <c r="EW33">
        <v>9.01</v>
      </c>
      <c r="EX33">
        <v>0.04</v>
      </c>
      <c r="EY33">
        <v>0</v>
      </c>
      <c r="FQ33">
        <v>0</v>
      </c>
      <c r="FR33">
        <f t="shared" si="39"/>
        <v>0</v>
      </c>
      <c r="FS33">
        <v>0</v>
      </c>
      <c r="FT33" t="s">
        <v>34</v>
      </c>
      <c r="FU33" t="s">
        <v>35</v>
      </c>
      <c r="FX33">
        <v>110.7</v>
      </c>
      <c r="FY33">
        <v>63.75</v>
      </c>
      <c r="GA33" t="s">
        <v>3</v>
      </c>
      <c r="GD33">
        <v>0</v>
      </c>
      <c r="GF33">
        <v>1673334608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0"/>
        <v>0</v>
      </c>
      <c r="GM33">
        <f t="shared" si="41"/>
        <v>532.91</v>
      </c>
      <c r="GN33">
        <f t="shared" si="42"/>
        <v>532.91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32</v>
      </c>
      <c r="E34" t="s">
        <v>70</v>
      </c>
      <c r="F34" t="s">
        <v>71</v>
      </c>
      <c r="G34" t="s">
        <v>72</v>
      </c>
      <c r="H34" t="s">
        <v>73</v>
      </c>
      <c r="I34">
        <f>I33*J34</f>
        <v>23.23</v>
      </c>
      <c r="J34">
        <v>101</v>
      </c>
      <c r="O34">
        <f t="shared" si="14"/>
        <v>1737.23</v>
      </c>
      <c r="P34">
        <f t="shared" si="15"/>
        <v>1737.23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39102310</v>
      </c>
      <c r="AB34">
        <f t="shared" si="25"/>
        <v>12.3</v>
      </c>
      <c r="AC34">
        <f t="shared" si="47"/>
        <v>12.3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26"/>
        <v>0</v>
      </c>
      <c r="AH34">
        <f>(EW34)</f>
        <v>0</v>
      </c>
      <c r="AI34">
        <f>(EX34)</f>
        <v>0</v>
      </c>
      <c r="AJ34">
        <f t="shared" si="27"/>
        <v>0</v>
      </c>
      <c r="AK34">
        <v>12.3</v>
      </c>
      <c r="AL34">
        <v>12.3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111</v>
      </c>
      <c r="AU34">
        <v>64</v>
      </c>
      <c r="AV34">
        <v>1</v>
      </c>
      <c r="AW34">
        <v>1</v>
      </c>
      <c r="AZ34">
        <v>6.08</v>
      </c>
      <c r="BA34">
        <v>1</v>
      </c>
      <c r="BB34">
        <v>1</v>
      </c>
      <c r="BC34">
        <v>6.08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74</v>
      </c>
      <c r="BM34">
        <v>11001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123</v>
      </c>
      <c r="CA34">
        <v>75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28"/>
        <v>1737.23</v>
      </c>
      <c r="CQ34">
        <f t="shared" si="29"/>
        <v>74.784000000000006</v>
      </c>
      <c r="CR34">
        <f t="shared" si="30"/>
        <v>0</v>
      </c>
      <c r="CS34">
        <f t="shared" si="31"/>
        <v>0</v>
      </c>
      <c r="CT34">
        <f t="shared" si="32"/>
        <v>0</v>
      </c>
      <c r="CU34">
        <f t="shared" si="33"/>
        <v>0</v>
      </c>
      <c r="CV34">
        <f t="shared" si="34"/>
        <v>0</v>
      </c>
      <c r="CW34">
        <f t="shared" si="35"/>
        <v>0</v>
      </c>
      <c r="CX34">
        <f t="shared" si="36"/>
        <v>0</v>
      </c>
      <c r="CY34">
        <f t="shared" si="37"/>
        <v>0</v>
      </c>
      <c r="CZ34">
        <f t="shared" si="38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73</v>
      </c>
      <c r="DW34" t="s">
        <v>73</v>
      </c>
      <c r="DX34">
        <v>1</v>
      </c>
      <c r="EE34">
        <v>38092816</v>
      </c>
      <c r="EF34">
        <v>2</v>
      </c>
      <c r="EG34" t="s">
        <v>31</v>
      </c>
      <c r="EH34">
        <v>0</v>
      </c>
      <c r="EI34" t="s">
        <v>3</v>
      </c>
      <c r="EJ34">
        <v>1</v>
      </c>
      <c r="EK34">
        <v>11001</v>
      </c>
      <c r="EL34" t="s">
        <v>18</v>
      </c>
      <c r="EM34" t="s">
        <v>32</v>
      </c>
      <c r="EO34" t="s">
        <v>3</v>
      </c>
      <c r="EQ34">
        <v>0</v>
      </c>
      <c r="ER34">
        <v>12.3</v>
      </c>
      <c r="ES34">
        <v>12.3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39"/>
        <v>0</v>
      </c>
      <c r="FS34">
        <v>0</v>
      </c>
      <c r="FT34" t="s">
        <v>34</v>
      </c>
      <c r="FU34" t="s">
        <v>35</v>
      </c>
      <c r="FX34">
        <v>110.7</v>
      </c>
      <c r="FY34">
        <v>63.75</v>
      </c>
      <c r="GA34" t="s">
        <v>3</v>
      </c>
      <c r="GD34">
        <v>0</v>
      </c>
      <c r="GF34">
        <v>26470480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0"/>
        <v>0</v>
      </c>
      <c r="GM34">
        <f t="shared" si="41"/>
        <v>1737.23</v>
      </c>
      <c r="GN34">
        <f t="shared" si="42"/>
        <v>1737.23</v>
      </c>
      <c r="GO34">
        <f t="shared" si="43"/>
        <v>0</v>
      </c>
      <c r="GP34">
        <f t="shared" si="44"/>
        <v>0</v>
      </c>
      <c r="GR34">
        <v>0</v>
      </c>
      <c r="GS34">
        <v>3</v>
      </c>
      <c r="GT34">
        <v>0</v>
      </c>
      <c r="GU34" t="s">
        <v>3</v>
      </c>
      <c r="GV34">
        <f t="shared" si="45"/>
        <v>0</v>
      </c>
      <c r="GW34">
        <v>1</v>
      </c>
      <c r="GX34">
        <f t="shared" si="46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31</v>
      </c>
      <c r="E35" t="s">
        <v>75</v>
      </c>
      <c r="F35" t="s">
        <v>76</v>
      </c>
      <c r="G35" t="s">
        <v>77</v>
      </c>
      <c r="H35" t="s">
        <v>73</v>
      </c>
      <c r="I35">
        <f>I33*J35</f>
        <v>23.23</v>
      </c>
      <c r="J35">
        <v>101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39102310</v>
      </c>
      <c r="AB35">
        <f t="shared" si="25"/>
        <v>0</v>
      </c>
      <c r="AC35">
        <f t="shared" si="47"/>
        <v>0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26"/>
        <v>0</v>
      </c>
      <c r="AH35">
        <f>(EW35)</f>
        <v>0</v>
      </c>
      <c r="AI35">
        <f>(EX35)</f>
        <v>0</v>
      </c>
      <c r="AJ35">
        <f t="shared" si="27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6.08</v>
      </c>
      <c r="BA35">
        <v>1</v>
      </c>
      <c r="BB35">
        <v>1</v>
      </c>
      <c r="BC35">
        <v>6.08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11001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28"/>
        <v>0</v>
      </c>
      <c r="CQ35">
        <f t="shared" si="29"/>
        <v>0</v>
      </c>
      <c r="CR35">
        <f t="shared" si="30"/>
        <v>0</v>
      </c>
      <c r="CS35">
        <f t="shared" si="31"/>
        <v>0</v>
      </c>
      <c r="CT35">
        <f t="shared" si="32"/>
        <v>0</v>
      </c>
      <c r="CU35">
        <f t="shared" si="33"/>
        <v>0</v>
      </c>
      <c r="CV35">
        <f t="shared" si="34"/>
        <v>0</v>
      </c>
      <c r="CW35">
        <f t="shared" si="35"/>
        <v>0</v>
      </c>
      <c r="CX35">
        <f t="shared" si="36"/>
        <v>0</v>
      </c>
      <c r="CY35">
        <f t="shared" si="37"/>
        <v>0</v>
      </c>
      <c r="CZ35">
        <f t="shared" si="38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73</v>
      </c>
      <c r="DW35" t="s">
        <v>73</v>
      </c>
      <c r="DX35">
        <v>1</v>
      </c>
      <c r="EE35">
        <v>38092816</v>
      </c>
      <c r="EF35">
        <v>2</v>
      </c>
      <c r="EG35" t="s">
        <v>31</v>
      </c>
      <c r="EH35">
        <v>0</v>
      </c>
      <c r="EI35" t="s">
        <v>3</v>
      </c>
      <c r="EJ35">
        <v>1</v>
      </c>
      <c r="EK35">
        <v>11001</v>
      </c>
      <c r="EL35" t="s">
        <v>18</v>
      </c>
      <c r="EM35" t="s">
        <v>32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39"/>
        <v>0</v>
      </c>
      <c r="FS35">
        <v>0</v>
      </c>
      <c r="FT35" t="s">
        <v>34</v>
      </c>
      <c r="FU35" t="s">
        <v>35</v>
      </c>
      <c r="FX35">
        <v>110.7</v>
      </c>
      <c r="FY35">
        <v>63.75</v>
      </c>
      <c r="GA35" t="s">
        <v>56</v>
      </c>
      <c r="GD35">
        <v>0</v>
      </c>
      <c r="GF35">
        <v>-2049262376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0"/>
        <v>0</v>
      </c>
      <c r="GM35">
        <f t="shared" si="41"/>
        <v>0</v>
      </c>
      <c r="GN35">
        <f t="shared" si="42"/>
        <v>0</v>
      </c>
      <c r="GO35">
        <f t="shared" si="43"/>
        <v>0</v>
      </c>
      <c r="GP35">
        <f t="shared" si="44"/>
        <v>0</v>
      </c>
      <c r="GR35">
        <v>0</v>
      </c>
      <c r="GS35">
        <v>4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ROW(SmtRes!A34)</f>
        <v>34</v>
      </c>
      <c r="D36">
        <f>ROW(EtalonRes!A33)</f>
        <v>33</v>
      </c>
      <c r="E36" t="s">
        <v>78</v>
      </c>
      <c r="F36" t="s">
        <v>79</v>
      </c>
      <c r="G36" t="s">
        <v>80</v>
      </c>
      <c r="H36" t="s">
        <v>51</v>
      </c>
      <c r="I36">
        <v>76.900000000000006</v>
      </c>
      <c r="J36">
        <v>0</v>
      </c>
      <c r="O36">
        <f t="shared" si="14"/>
        <v>4956.05</v>
      </c>
      <c r="P36">
        <f t="shared" si="15"/>
        <v>0</v>
      </c>
      <c r="Q36">
        <f t="shared" si="16"/>
        <v>0</v>
      </c>
      <c r="R36">
        <f t="shared" si="17"/>
        <v>0</v>
      </c>
      <c r="S36">
        <f t="shared" si="18"/>
        <v>4956.05</v>
      </c>
      <c r="T36">
        <f t="shared" si="19"/>
        <v>0</v>
      </c>
      <c r="U36">
        <f t="shared" si="20"/>
        <v>95.509799999999984</v>
      </c>
      <c r="V36">
        <f t="shared" si="21"/>
        <v>0</v>
      </c>
      <c r="W36">
        <f t="shared" si="22"/>
        <v>0</v>
      </c>
      <c r="X36">
        <f t="shared" si="23"/>
        <v>4014.4</v>
      </c>
      <c r="Y36">
        <f t="shared" si="24"/>
        <v>2973.63</v>
      </c>
      <c r="AA36">
        <v>39102310</v>
      </c>
      <c r="AB36">
        <f t="shared" si="25"/>
        <v>10.6</v>
      </c>
      <c r="AC36">
        <f t="shared" si="47"/>
        <v>0</v>
      </c>
      <c r="AD36">
        <f>ROUND((((((ET36*1.25)*1.2))-(((EU36*1.25)*1.2)))+AE36),2)</f>
        <v>0</v>
      </c>
      <c r="AE36">
        <f>ROUND((((EU36*1.25)*1.2)),2)</f>
        <v>0</v>
      </c>
      <c r="AF36">
        <f>ROUND((((EV36*1.15)*1.2)),2)</f>
        <v>10.6</v>
      </c>
      <c r="AG36">
        <f t="shared" si="26"/>
        <v>0</v>
      </c>
      <c r="AH36">
        <f>(((EW36*1.15)*1.2))</f>
        <v>1.2419999999999998</v>
      </c>
      <c r="AI36">
        <f>(((EX36*1.25)*1.2))</f>
        <v>0</v>
      </c>
      <c r="AJ36">
        <f t="shared" si="27"/>
        <v>0</v>
      </c>
      <c r="AK36">
        <v>7.68</v>
      </c>
      <c r="AL36">
        <v>0</v>
      </c>
      <c r="AM36">
        <v>0</v>
      </c>
      <c r="AN36">
        <v>0</v>
      </c>
      <c r="AO36">
        <v>7.68</v>
      </c>
      <c r="AP36">
        <v>0</v>
      </c>
      <c r="AQ36">
        <v>0.9</v>
      </c>
      <c r="AR36">
        <v>0</v>
      </c>
      <c r="AS36">
        <v>0</v>
      </c>
      <c r="AT36">
        <v>81</v>
      </c>
      <c r="AU36">
        <v>60</v>
      </c>
      <c r="AV36">
        <v>1</v>
      </c>
      <c r="AW36">
        <v>1</v>
      </c>
      <c r="AZ36">
        <v>6.08</v>
      </c>
      <c r="BA36">
        <v>6.08</v>
      </c>
      <c r="BB36">
        <v>6.08</v>
      </c>
      <c r="BC36">
        <v>6.08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81</v>
      </c>
      <c r="BM36">
        <v>13001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6.08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90</v>
      </c>
      <c r="CA36">
        <v>70</v>
      </c>
      <c r="CF36">
        <v>0</v>
      </c>
      <c r="CG36">
        <v>0</v>
      </c>
      <c r="CM36">
        <v>0</v>
      </c>
      <c r="CN36" t="s">
        <v>329</v>
      </c>
      <c r="CO36">
        <v>0</v>
      </c>
      <c r="CP36">
        <f t="shared" si="28"/>
        <v>4956.05</v>
      </c>
      <c r="CQ36">
        <f t="shared" si="29"/>
        <v>0</v>
      </c>
      <c r="CR36">
        <f t="shared" si="30"/>
        <v>0</v>
      </c>
      <c r="CS36">
        <f t="shared" si="31"/>
        <v>0</v>
      </c>
      <c r="CT36">
        <f t="shared" si="32"/>
        <v>64.447999999999993</v>
      </c>
      <c r="CU36">
        <f t="shared" si="33"/>
        <v>0</v>
      </c>
      <c r="CV36">
        <f t="shared" si="34"/>
        <v>1.2419999999999998</v>
      </c>
      <c r="CW36">
        <f t="shared" si="35"/>
        <v>0</v>
      </c>
      <c r="CX36">
        <f t="shared" si="36"/>
        <v>0</v>
      </c>
      <c r="CY36">
        <f t="shared" si="37"/>
        <v>4014.4004999999997</v>
      </c>
      <c r="CZ36">
        <f t="shared" si="38"/>
        <v>2973.63</v>
      </c>
      <c r="DC36" t="s">
        <v>3</v>
      </c>
      <c r="DD36" t="s">
        <v>3</v>
      </c>
      <c r="DE36" t="s">
        <v>29</v>
      </c>
      <c r="DF36" t="s">
        <v>29</v>
      </c>
      <c r="DG36" t="s">
        <v>30</v>
      </c>
      <c r="DH36" t="s">
        <v>3</v>
      </c>
      <c r="DI36" t="s">
        <v>30</v>
      </c>
      <c r="DJ36" t="s">
        <v>29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51</v>
      </c>
      <c r="DW36" t="s">
        <v>51</v>
      </c>
      <c r="DX36">
        <v>1</v>
      </c>
      <c r="EE36">
        <v>38092818</v>
      </c>
      <c r="EF36">
        <v>2</v>
      </c>
      <c r="EG36" t="s">
        <v>31</v>
      </c>
      <c r="EH36">
        <v>0</v>
      </c>
      <c r="EI36" t="s">
        <v>3</v>
      </c>
      <c r="EJ36">
        <v>1</v>
      </c>
      <c r="EK36">
        <v>13001</v>
      </c>
      <c r="EL36" t="s">
        <v>82</v>
      </c>
      <c r="EM36" t="s">
        <v>83</v>
      </c>
      <c r="EO36" t="s">
        <v>43</v>
      </c>
      <c r="EQ36">
        <v>0</v>
      </c>
      <c r="ER36">
        <v>7.68</v>
      </c>
      <c r="ES36">
        <v>0</v>
      </c>
      <c r="ET36">
        <v>0</v>
      </c>
      <c r="EU36">
        <v>0</v>
      </c>
      <c r="EV36">
        <v>7.68</v>
      </c>
      <c r="EW36">
        <v>0.9</v>
      </c>
      <c r="EX36">
        <v>0</v>
      </c>
      <c r="EY36">
        <v>0</v>
      </c>
      <c r="FQ36">
        <v>0</v>
      </c>
      <c r="FR36">
        <f t="shared" si="39"/>
        <v>0</v>
      </c>
      <c r="FS36">
        <v>0</v>
      </c>
      <c r="FT36" t="s">
        <v>34</v>
      </c>
      <c r="FU36" t="s">
        <v>35</v>
      </c>
      <c r="FX36">
        <v>81</v>
      </c>
      <c r="FY36">
        <v>59.5</v>
      </c>
      <c r="GA36" t="s">
        <v>3</v>
      </c>
      <c r="GD36">
        <v>0</v>
      </c>
      <c r="GF36">
        <v>1256725681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0"/>
        <v>0</v>
      </c>
      <c r="GM36">
        <f t="shared" si="41"/>
        <v>11944.08</v>
      </c>
      <c r="GN36">
        <f t="shared" si="42"/>
        <v>11944.08</v>
      </c>
      <c r="GO36">
        <f t="shared" si="43"/>
        <v>0</v>
      </c>
      <c r="GP36">
        <f t="shared" si="44"/>
        <v>0</v>
      </c>
      <c r="GR36">
        <v>0</v>
      </c>
      <c r="GS36">
        <v>3</v>
      </c>
      <c r="GT36">
        <v>0</v>
      </c>
      <c r="GU36" t="s">
        <v>3</v>
      </c>
      <c r="GV36">
        <f t="shared" si="45"/>
        <v>0</v>
      </c>
      <c r="GW36">
        <v>1</v>
      </c>
      <c r="GX36">
        <f t="shared" si="46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ROW(SmtRes!A42)</f>
        <v>42</v>
      </c>
      <c r="D37">
        <f>ROW(EtalonRes!A41)</f>
        <v>41</v>
      </c>
      <c r="E37" t="s">
        <v>84</v>
      </c>
      <c r="F37" t="s">
        <v>85</v>
      </c>
      <c r="G37" t="s">
        <v>86</v>
      </c>
      <c r="H37" t="s">
        <v>23</v>
      </c>
      <c r="I37">
        <v>0.76900000000000002</v>
      </c>
      <c r="J37">
        <v>0</v>
      </c>
      <c r="O37">
        <f t="shared" si="14"/>
        <v>1503.31</v>
      </c>
      <c r="P37">
        <f t="shared" si="15"/>
        <v>5.84</v>
      </c>
      <c r="Q37">
        <f t="shared" si="16"/>
        <v>80.23</v>
      </c>
      <c r="R37">
        <f t="shared" si="17"/>
        <v>47.6</v>
      </c>
      <c r="S37">
        <f t="shared" si="18"/>
        <v>1417.24</v>
      </c>
      <c r="T37">
        <f t="shared" si="19"/>
        <v>0</v>
      </c>
      <c r="U37">
        <f t="shared" si="20"/>
        <v>27.553269999999998</v>
      </c>
      <c r="V37">
        <f t="shared" si="21"/>
        <v>0.72285999999999995</v>
      </c>
      <c r="W37">
        <f t="shared" si="22"/>
        <v>0</v>
      </c>
      <c r="X37">
        <f t="shared" si="23"/>
        <v>1157.22</v>
      </c>
      <c r="Y37">
        <f t="shared" si="24"/>
        <v>732.42</v>
      </c>
      <c r="AA37">
        <v>39102310</v>
      </c>
      <c r="AB37">
        <f t="shared" si="25"/>
        <v>321.52999999999997</v>
      </c>
      <c r="AC37">
        <f t="shared" si="47"/>
        <v>1.25</v>
      </c>
      <c r="AD37">
        <f>ROUND((((ET37)-(EU37))+AE37),2)</f>
        <v>17.16</v>
      </c>
      <c r="AE37">
        <f t="shared" ref="AE37:AF39" si="50">ROUND((EU37),2)</f>
        <v>10.18</v>
      </c>
      <c r="AF37">
        <f t="shared" si="50"/>
        <v>303.12</v>
      </c>
      <c r="AG37">
        <f t="shared" si="26"/>
        <v>0</v>
      </c>
      <c r="AH37">
        <f t="shared" ref="AH37:AI39" si="51">(EW37)</f>
        <v>35.83</v>
      </c>
      <c r="AI37">
        <f t="shared" si="51"/>
        <v>0.94</v>
      </c>
      <c r="AJ37">
        <f t="shared" si="27"/>
        <v>0</v>
      </c>
      <c r="AK37">
        <v>321.52999999999997</v>
      </c>
      <c r="AL37">
        <v>1.25</v>
      </c>
      <c r="AM37">
        <v>17.16</v>
      </c>
      <c r="AN37">
        <v>10.18</v>
      </c>
      <c r="AO37">
        <v>303.12</v>
      </c>
      <c r="AP37">
        <v>0</v>
      </c>
      <c r="AQ37">
        <v>35.83</v>
      </c>
      <c r="AR37">
        <v>0.94</v>
      </c>
      <c r="AS37">
        <v>0</v>
      </c>
      <c r="AT37">
        <v>79</v>
      </c>
      <c r="AU37">
        <v>50</v>
      </c>
      <c r="AV37">
        <v>1</v>
      </c>
      <c r="AW37">
        <v>1</v>
      </c>
      <c r="AZ37">
        <v>6.08</v>
      </c>
      <c r="BA37">
        <v>6.08</v>
      </c>
      <c r="BB37">
        <v>6.08</v>
      </c>
      <c r="BC37">
        <v>6.08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87</v>
      </c>
      <c r="BM37">
        <v>61001</v>
      </c>
      <c r="BN37">
        <v>0</v>
      </c>
      <c r="BO37" t="s">
        <v>3</v>
      </c>
      <c r="BP37">
        <v>0</v>
      </c>
      <c r="BQ37">
        <v>6</v>
      </c>
      <c r="BR37">
        <v>0</v>
      </c>
      <c r="BS37">
        <v>6.08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79</v>
      </c>
      <c r="CA37">
        <v>50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8"/>
        <v>1503.31</v>
      </c>
      <c r="CQ37">
        <f t="shared" si="29"/>
        <v>7.6</v>
      </c>
      <c r="CR37">
        <f t="shared" si="30"/>
        <v>104.33280000000001</v>
      </c>
      <c r="CS37">
        <f t="shared" si="31"/>
        <v>61.894399999999997</v>
      </c>
      <c r="CT37">
        <f t="shared" si="32"/>
        <v>1842.9696000000001</v>
      </c>
      <c r="CU37">
        <f t="shared" si="33"/>
        <v>0</v>
      </c>
      <c r="CV37">
        <f t="shared" si="34"/>
        <v>35.83</v>
      </c>
      <c r="CW37">
        <f t="shared" si="35"/>
        <v>0.94</v>
      </c>
      <c r="CX37">
        <f t="shared" si="36"/>
        <v>0</v>
      </c>
      <c r="CY37">
        <f t="shared" si="37"/>
        <v>1157.2236</v>
      </c>
      <c r="CZ37">
        <f t="shared" si="38"/>
        <v>732.42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23</v>
      </c>
      <c r="DW37" t="s">
        <v>23</v>
      </c>
      <c r="DX37">
        <v>100</v>
      </c>
      <c r="EE37">
        <v>38092898</v>
      </c>
      <c r="EF37">
        <v>6</v>
      </c>
      <c r="EG37" t="s">
        <v>17</v>
      </c>
      <c r="EH37">
        <v>0</v>
      </c>
      <c r="EI37" t="s">
        <v>3</v>
      </c>
      <c r="EJ37">
        <v>1</v>
      </c>
      <c r="EK37">
        <v>61001</v>
      </c>
      <c r="EL37" t="s">
        <v>88</v>
      </c>
      <c r="EM37" t="s">
        <v>89</v>
      </c>
      <c r="EO37" t="s">
        <v>3</v>
      </c>
      <c r="EQ37">
        <v>0</v>
      </c>
      <c r="ER37">
        <v>321.52999999999997</v>
      </c>
      <c r="ES37">
        <v>1.25</v>
      </c>
      <c r="ET37">
        <v>17.16</v>
      </c>
      <c r="EU37">
        <v>10.18</v>
      </c>
      <c r="EV37">
        <v>303.12</v>
      </c>
      <c r="EW37">
        <v>35.83</v>
      </c>
      <c r="EX37">
        <v>0.94</v>
      </c>
      <c r="EY37">
        <v>0</v>
      </c>
      <c r="FQ37">
        <v>0</v>
      </c>
      <c r="FR37">
        <f t="shared" si="39"/>
        <v>0</v>
      </c>
      <c r="FS37">
        <v>0</v>
      </c>
      <c r="FX37">
        <v>79</v>
      </c>
      <c r="FY37">
        <v>50</v>
      </c>
      <c r="GA37" t="s">
        <v>3</v>
      </c>
      <c r="GD37">
        <v>0</v>
      </c>
      <c r="GF37">
        <v>23825336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0"/>
        <v>0</v>
      </c>
      <c r="GM37">
        <f t="shared" si="41"/>
        <v>3392.95</v>
      </c>
      <c r="GN37">
        <f t="shared" si="42"/>
        <v>3392.95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42</v>
      </c>
      <c r="E38" t="s">
        <v>90</v>
      </c>
      <c r="F38" t="s">
        <v>91</v>
      </c>
      <c r="G38" t="s">
        <v>92</v>
      </c>
      <c r="H38" t="s">
        <v>60</v>
      </c>
      <c r="I38">
        <f>I37*J38</f>
        <v>0.65749500000000005</v>
      </c>
      <c r="J38">
        <v>0.85500000000000009</v>
      </c>
      <c r="O38">
        <f t="shared" si="14"/>
        <v>3723.22</v>
      </c>
      <c r="P38">
        <f t="shared" si="15"/>
        <v>3723.22</v>
      </c>
      <c r="Q38">
        <f t="shared" si="16"/>
        <v>0</v>
      </c>
      <c r="R38">
        <f t="shared" si="17"/>
        <v>0</v>
      </c>
      <c r="S38">
        <f t="shared" si="18"/>
        <v>0</v>
      </c>
      <c r="T38">
        <f t="shared" si="19"/>
        <v>0</v>
      </c>
      <c r="U38">
        <f t="shared" si="20"/>
        <v>0</v>
      </c>
      <c r="V38">
        <f t="shared" si="21"/>
        <v>0</v>
      </c>
      <c r="W38">
        <f t="shared" si="22"/>
        <v>0</v>
      </c>
      <c r="X38">
        <f t="shared" si="23"/>
        <v>0</v>
      </c>
      <c r="Y38">
        <f t="shared" si="24"/>
        <v>0</v>
      </c>
      <c r="AA38">
        <v>39102310</v>
      </c>
      <c r="AB38">
        <f t="shared" si="25"/>
        <v>931.37</v>
      </c>
      <c r="AC38">
        <f t="shared" si="47"/>
        <v>931.37</v>
      </c>
      <c r="AD38">
        <f>ROUND((((ET38)-(EU38))+AE38),2)</f>
        <v>0</v>
      </c>
      <c r="AE38">
        <f t="shared" si="50"/>
        <v>0</v>
      </c>
      <c r="AF38">
        <f t="shared" si="50"/>
        <v>0</v>
      </c>
      <c r="AG38">
        <f t="shared" si="26"/>
        <v>0</v>
      </c>
      <c r="AH38">
        <f t="shared" si="51"/>
        <v>0</v>
      </c>
      <c r="AI38">
        <f t="shared" si="51"/>
        <v>0</v>
      </c>
      <c r="AJ38">
        <f t="shared" si="27"/>
        <v>0</v>
      </c>
      <c r="AK38">
        <v>931.37</v>
      </c>
      <c r="AL38">
        <v>931.37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79</v>
      </c>
      <c r="AU38">
        <v>50</v>
      </c>
      <c r="AV38">
        <v>1</v>
      </c>
      <c r="AW38">
        <v>1</v>
      </c>
      <c r="AZ38">
        <v>6.08</v>
      </c>
      <c r="BA38">
        <v>1</v>
      </c>
      <c r="BB38">
        <v>1</v>
      </c>
      <c r="BC38">
        <v>6.08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93</v>
      </c>
      <c r="BM38">
        <v>61001</v>
      </c>
      <c r="BN38">
        <v>0</v>
      </c>
      <c r="BO38" t="s">
        <v>3</v>
      </c>
      <c r="BP38">
        <v>0</v>
      </c>
      <c r="BQ38">
        <v>6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79</v>
      </c>
      <c r="CA38">
        <v>50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28"/>
        <v>3723.22</v>
      </c>
      <c r="CQ38">
        <f t="shared" si="29"/>
        <v>5662.7295999999997</v>
      </c>
      <c r="CR38">
        <f t="shared" si="30"/>
        <v>0</v>
      </c>
      <c r="CS38">
        <f t="shared" si="31"/>
        <v>0</v>
      </c>
      <c r="CT38">
        <f t="shared" si="32"/>
        <v>0</v>
      </c>
      <c r="CU38">
        <f t="shared" si="33"/>
        <v>0</v>
      </c>
      <c r="CV38">
        <f t="shared" si="34"/>
        <v>0</v>
      </c>
      <c r="CW38">
        <f t="shared" si="35"/>
        <v>0</v>
      </c>
      <c r="CX38">
        <f t="shared" si="36"/>
        <v>0</v>
      </c>
      <c r="CY38">
        <f t="shared" si="37"/>
        <v>0</v>
      </c>
      <c r="CZ38">
        <f t="shared" si="38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1009</v>
      </c>
      <c r="DV38" t="s">
        <v>60</v>
      </c>
      <c r="DW38" t="s">
        <v>60</v>
      </c>
      <c r="DX38">
        <v>1000</v>
      </c>
      <c r="EE38">
        <v>38092898</v>
      </c>
      <c r="EF38">
        <v>6</v>
      </c>
      <c r="EG38" t="s">
        <v>17</v>
      </c>
      <c r="EH38">
        <v>0</v>
      </c>
      <c r="EI38" t="s">
        <v>3</v>
      </c>
      <c r="EJ38">
        <v>1</v>
      </c>
      <c r="EK38">
        <v>61001</v>
      </c>
      <c r="EL38" t="s">
        <v>88</v>
      </c>
      <c r="EM38" t="s">
        <v>89</v>
      </c>
      <c r="EO38" t="s">
        <v>3</v>
      </c>
      <c r="EQ38">
        <v>0</v>
      </c>
      <c r="ER38">
        <v>931.37</v>
      </c>
      <c r="ES38">
        <v>931.37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39"/>
        <v>0</v>
      </c>
      <c r="FS38">
        <v>0</v>
      </c>
      <c r="FX38">
        <v>79</v>
      </c>
      <c r="FY38">
        <v>50</v>
      </c>
      <c r="GA38" t="s">
        <v>3</v>
      </c>
      <c r="GD38">
        <v>0</v>
      </c>
      <c r="GF38">
        <v>-791558573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0"/>
        <v>0</v>
      </c>
      <c r="GM38">
        <f t="shared" si="41"/>
        <v>3723.22</v>
      </c>
      <c r="GN38">
        <f t="shared" si="42"/>
        <v>3723.22</v>
      </c>
      <c r="GO38">
        <f t="shared" si="43"/>
        <v>0</v>
      </c>
      <c r="GP38">
        <f t="shared" si="44"/>
        <v>0</v>
      </c>
      <c r="GR38">
        <v>0</v>
      </c>
      <c r="GS38">
        <v>3</v>
      </c>
      <c r="GT38">
        <v>0</v>
      </c>
      <c r="GU38" t="s">
        <v>3</v>
      </c>
      <c r="GV38">
        <f t="shared" si="45"/>
        <v>0</v>
      </c>
      <c r="GW38">
        <v>1</v>
      </c>
      <c r="GX38">
        <f t="shared" si="46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41</v>
      </c>
      <c r="E39" t="s">
        <v>94</v>
      </c>
      <c r="F39" t="s">
        <v>95</v>
      </c>
      <c r="G39" t="s">
        <v>96</v>
      </c>
      <c r="H39" t="s">
        <v>60</v>
      </c>
      <c r="I39">
        <f>I37*J39</f>
        <v>0.65749500000000005</v>
      </c>
      <c r="J39">
        <v>0.85500000000000009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39102310</v>
      </c>
      <c r="AB39">
        <f t="shared" si="25"/>
        <v>0</v>
      </c>
      <c r="AC39">
        <f t="shared" si="47"/>
        <v>0</v>
      </c>
      <c r="AD39">
        <f>ROUND((((ET39)-(EU39))+AE39),2)</f>
        <v>0</v>
      </c>
      <c r="AE39">
        <f t="shared" si="50"/>
        <v>0</v>
      </c>
      <c r="AF39">
        <f t="shared" si="50"/>
        <v>0</v>
      </c>
      <c r="AG39">
        <f t="shared" si="26"/>
        <v>0</v>
      </c>
      <c r="AH39">
        <f t="shared" si="51"/>
        <v>0</v>
      </c>
      <c r="AI39">
        <f t="shared" si="51"/>
        <v>0</v>
      </c>
      <c r="AJ39">
        <f t="shared" si="27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79</v>
      </c>
      <c r="AU39">
        <v>50</v>
      </c>
      <c r="AV39">
        <v>1</v>
      </c>
      <c r="AW39">
        <v>1</v>
      </c>
      <c r="AZ39">
        <v>6.08</v>
      </c>
      <c r="BA39">
        <v>1</v>
      </c>
      <c r="BB39">
        <v>1</v>
      </c>
      <c r="BC39">
        <v>6.08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61001</v>
      </c>
      <c r="BN39">
        <v>0</v>
      </c>
      <c r="BO39" t="s">
        <v>3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79</v>
      </c>
      <c r="CA39">
        <v>50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28"/>
        <v>0</v>
      </c>
      <c r="CQ39">
        <f t="shared" si="29"/>
        <v>0</v>
      </c>
      <c r="CR39">
        <f t="shared" si="30"/>
        <v>0</v>
      </c>
      <c r="CS39">
        <f t="shared" si="31"/>
        <v>0</v>
      </c>
      <c r="CT39">
        <f t="shared" si="32"/>
        <v>0</v>
      </c>
      <c r="CU39">
        <f t="shared" si="33"/>
        <v>0</v>
      </c>
      <c r="CV39">
        <f t="shared" si="34"/>
        <v>0</v>
      </c>
      <c r="CW39">
        <f t="shared" si="35"/>
        <v>0</v>
      </c>
      <c r="CX39">
        <f t="shared" si="36"/>
        <v>0</v>
      </c>
      <c r="CY39">
        <f t="shared" si="37"/>
        <v>0</v>
      </c>
      <c r="CZ39">
        <f t="shared" si="38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60</v>
      </c>
      <c r="DW39" t="s">
        <v>60</v>
      </c>
      <c r="DX39">
        <v>1000</v>
      </c>
      <c r="EE39">
        <v>38092898</v>
      </c>
      <c r="EF39">
        <v>6</v>
      </c>
      <c r="EG39" t="s">
        <v>17</v>
      </c>
      <c r="EH39">
        <v>0</v>
      </c>
      <c r="EI39" t="s">
        <v>3</v>
      </c>
      <c r="EJ39">
        <v>1</v>
      </c>
      <c r="EK39">
        <v>61001</v>
      </c>
      <c r="EL39" t="s">
        <v>88</v>
      </c>
      <c r="EM39" t="s">
        <v>89</v>
      </c>
      <c r="EO39" t="s">
        <v>3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39"/>
        <v>0</v>
      </c>
      <c r="FS39">
        <v>0</v>
      </c>
      <c r="FX39">
        <v>79</v>
      </c>
      <c r="FY39">
        <v>50</v>
      </c>
      <c r="GA39" t="s">
        <v>56</v>
      </c>
      <c r="GD39">
        <v>0</v>
      </c>
      <c r="GF39">
        <v>1880203204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0"/>
        <v>0</v>
      </c>
      <c r="GM39">
        <f t="shared" si="41"/>
        <v>0</v>
      </c>
      <c r="GN39">
        <f t="shared" si="42"/>
        <v>0</v>
      </c>
      <c r="GO39">
        <f t="shared" si="43"/>
        <v>0</v>
      </c>
      <c r="GP39">
        <f t="shared" si="44"/>
        <v>0</v>
      </c>
      <c r="GR39">
        <v>0</v>
      </c>
      <c r="GS39">
        <v>4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ROW(SmtRes!A49)</f>
        <v>49</v>
      </c>
      <c r="D40">
        <f>ROW(EtalonRes!A47)</f>
        <v>47</v>
      </c>
      <c r="E40" t="s">
        <v>97</v>
      </c>
      <c r="F40" t="s">
        <v>98</v>
      </c>
      <c r="G40" t="s">
        <v>99</v>
      </c>
      <c r="H40" t="s">
        <v>23</v>
      </c>
      <c r="I40">
        <v>0.76900000000000002</v>
      </c>
      <c r="J40">
        <v>0</v>
      </c>
      <c r="O40">
        <f t="shared" si="14"/>
        <v>414.21</v>
      </c>
      <c r="P40">
        <f t="shared" si="15"/>
        <v>0.84</v>
      </c>
      <c r="Q40">
        <f t="shared" si="16"/>
        <v>6.83</v>
      </c>
      <c r="R40">
        <f t="shared" si="17"/>
        <v>1.82</v>
      </c>
      <c r="S40">
        <f t="shared" si="18"/>
        <v>406.54</v>
      </c>
      <c r="T40">
        <f t="shared" si="19"/>
        <v>0</v>
      </c>
      <c r="U40">
        <f t="shared" si="20"/>
        <v>6.9509909999999984</v>
      </c>
      <c r="V40">
        <f t="shared" si="21"/>
        <v>2.307E-2</v>
      </c>
      <c r="W40">
        <f t="shared" si="22"/>
        <v>0</v>
      </c>
      <c r="X40">
        <f t="shared" si="23"/>
        <v>387.94</v>
      </c>
      <c r="Y40">
        <f t="shared" si="24"/>
        <v>191.93</v>
      </c>
      <c r="AA40">
        <v>39102310</v>
      </c>
      <c r="AB40">
        <f t="shared" si="25"/>
        <v>88.59</v>
      </c>
      <c r="AC40">
        <f t="shared" si="47"/>
        <v>0.18</v>
      </c>
      <c r="AD40">
        <f>ROUND((((((ET40*1.25)*1.2))-(((EU40*1.25)*1.2)))+AE40),2)</f>
        <v>1.46</v>
      </c>
      <c r="AE40">
        <f>ROUND((((EU40*1.25)*1.2)),2)</f>
        <v>0.39</v>
      </c>
      <c r="AF40">
        <f>ROUND((((EV40*1.15)*1.2)),2)</f>
        <v>86.95</v>
      </c>
      <c r="AG40">
        <f t="shared" si="26"/>
        <v>0</v>
      </c>
      <c r="AH40">
        <f>(((EW40*1.15)*1.2))</f>
        <v>9.0389999999999979</v>
      </c>
      <c r="AI40">
        <f>(((EX40*1.25)*1.2))</f>
        <v>0.03</v>
      </c>
      <c r="AJ40">
        <f t="shared" si="27"/>
        <v>0</v>
      </c>
      <c r="AK40">
        <v>64.16</v>
      </c>
      <c r="AL40">
        <v>0.18</v>
      </c>
      <c r="AM40">
        <v>0.97</v>
      </c>
      <c r="AN40">
        <v>0.26</v>
      </c>
      <c r="AO40">
        <v>63.01</v>
      </c>
      <c r="AP40">
        <v>0</v>
      </c>
      <c r="AQ40">
        <v>6.55</v>
      </c>
      <c r="AR40">
        <v>0.02</v>
      </c>
      <c r="AS40">
        <v>0</v>
      </c>
      <c r="AT40">
        <v>95</v>
      </c>
      <c r="AU40">
        <v>47</v>
      </c>
      <c r="AV40">
        <v>1</v>
      </c>
      <c r="AW40">
        <v>1</v>
      </c>
      <c r="AZ40">
        <v>6.08</v>
      </c>
      <c r="BA40">
        <v>6.08</v>
      </c>
      <c r="BB40">
        <v>6.08</v>
      </c>
      <c r="BC40">
        <v>6.08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100</v>
      </c>
      <c r="BM40">
        <v>15001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6.08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105</v>
      </c>
      <c r="CA40">
        <v>55</v>
      </c>
      <c r="CF40">
        <v>0</v>
      </c>
      <c r="CG40">
        <v>0</v>
      </c>
      <c r="CM40">
        <v>0</v>
      </c>
      <c r="CN40" t="s">
        <v>329</v>
      </c>
      <c r="CO40">
        <v>0</v>
      </c>
      <c r="CP40">
        <f t="shared" si="28"/>
        <v>414.21000000000004</v>
      </c>
      <c r="CQ40">
        <f t="shared" si="29"/>
        <v>1.0944</v>
      </c>
      <c r="CR40">
        <f t="shared" si="30"/>
        <v>8.8767999999999994</v>
      </c>
      <c r="CS40">
        <f t="shared" si="31"/>
        <v>2.3712</v>
      </c>
      <c r="CT40">
        <f t="shared" si="32"/>
        <v>528.65600000000006</v>
      </c>
      <c r="CU40">
        <f t="shared" si="33"/>
        <v>0</v>
      </c>
      <c r="CV40">
        <f t="shared" si="34"/>
        <v>9.0389999999999979</v>
      </c>
      <c r="CW40">
        <f t="shared" si="35"/>
        <v>0.03</v>
      </c>
      <c r="CX40">
        <f t="shared" si="36"/>
        <v>0</v>
      </c>
      <c r="CY40">
        <f t="shared" si="37"/>
        <v>387.94200000000006</v>
      </c>
      <c r="CZ40">
        <f t="shared" si="38"/>
        <v>191.92920000000001</v>
      </c>
      <c r="DC40" t="s">
        <v>3</v>
      </c>
      <c r="DD40" t="s">
        <v>3</v>
      </c>
      <c r="DE40" t="s">
        <v>29</v>
      </c>
      <c r="DF40" t="s">
        <v>29</v>
      </c>
      <c r="DG40" t="s">
        <v>30</v>
      </c>
      <c r="DH40" t="s">
        <v>3</v>
      </c>
      <c r="DI40" t="s">
        <v>30</v>
      </c>
      <c r="DJ40" t="s">
        <v>29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23</v>
      </c>
      <c r="DW40" t="s">
        <v>23</v>
      </c>
      <c r="DX40">
        <v>100</v>
      </c>
      <c r="EE40">
        <v>38092841</v>
      </c>
      <c r="EF40">
        <v>2</v>
      </c>
      <c r="EG40" t="s">
        <v>31</v>
      </c>
      <c r="EH40">
        <v>0</v>
      </c>
      <c r="EI40" t="s">
        <v>3</v>
      </c>
      <c r="EJ40">
        <v>1</v>
      </c>
      <c r="EK40">
        <v>15001</v>
      </c>
      <c r="EL40" t="s">
        <v>101</v>
      </c>
      <c r="EM40" t="s">
        <v>102</v>
      </c>
      <c r="EO40" t="s">
        <v>43</v>
      </c>
      <c r="EQ40">
        <v>0</v>
      </c>
      <c r="ER40">
        <v>64.16</v>
      </c>
      <c r="ES40">
        <v>0.18</v>
      </c>
      <c r="ET40">
        <v>0.97</v>
      </c>
      <c r="EU40">
        <v>0.26</v>
      </c>
      <c r="EV40">
        <v>63.01</v>
      </c>
      <c r="EW40">
        <v>6.55</v>
      </c>
      <c r="EX40">
        <v>0.02</v>
      </c>
      <c r="EY40">
        <v>0</v>
      </c>
      <c r="FQ40">
        <v>0</v>
      </c>
      <c r="FR40">
        <f t="shared" si="39"/>
        <v>0</v>
      </c>
      <c r="FS40">
        <v>0</v>
      </c>
      <c r="FT40" t="s">
        <v>34</v>
      </c>
      <c r="FU40" t="s">
        <v>35</v>
      </c>
      <c r="FX40">
        <v>94.5</v>
      </c>
      <c r="FY40">
        <v>46.75</v>
      </c>
      <c r="GA40" t="s">
        <v>3</v>
      </c>
      <c r="GD40">
        <v>0</v>
      </c>
      <c r="GF40">
        <v>-2014629731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0"/>
        <v>0</v>
      </c>
      <c r="GM40">
        <f t="shared" si="41"/>
        <v>994.08</v>
      </c>
      <c r="GN40">
        <f t="shared" si="42"/>
        <v>994.08</v>
      </c>
      <c r="GO40">
        <f t="shared" si="43"/>
        <v>0</v>
      </c>
      <c r="GP40">
        <f t="shared" si="44"/>
        <v>0</v>
      </c>
      <c r="GR40">
        <v>0</v>
      </c>
      <c r="GS40">
        <v>3</v>
      </c>
      <c r="GT40">
        <v>0</v>
      </c>
      <c r="GU40" t="s">
        <v>3</v>
      </c>
      <c r="GV40">
        <f t="shared" si="45"/>
        <v>0</v>
      </c>
      <c r="GW40">
        <v>1</v>
      </c>
      <c r="GX40">
        <f t="shared" si="46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48</v>
      </c>
      <c r="E41" t="s">
        <v>103</v>
      </c>
      <c r="F41" t="s">
        <v>104</v>
      </c>
      <c r="G41" t="s">
        <v>105</v>
      </c>
      <c r="H41" t="s">
        <v>60</v>
      </c>
      <c r="I41">
        <f>I40*J41</f>
        <v>9.9970000000000007E-3</v>
      </c>
      <c r="J41">
        <v>1.3000000000000001E-2</v>
      </c>
      <c r="O41">
        <f t="shared" si="14"/>
        <v>1117.79</v>
      </c>
      <c r="P41">
        <f t="shared" si="15"/>
        <v>1117.79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39102310</v>
      </c>
      <c r="AB41">
        <f t="shared" si="25"/>
        <v>18390.16</v>
      </c>
      <c r="AC41">
        <f t="shared" si="47"/>
        <v>18390.16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26"/>
        <v>0</v>
      </c>
      <c r="AH41">
        <f>(EW41)</f>
        <v>0</v>
      </c>
      <c r="AI41">
        <f>(EX41)</f>
        <v>0</v>
      </c>
      <c r="AJ41">
        <f t="shared" si="27"/>
        <v>0</v>
      </c>
      <c r="AK41">
        <v>18390.16</v>
      </c>
      <c r="AL41">
        <v>18390.16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6.08</v>
      </c>
      <c r="BA41">
        <v>1</v>
      </c>
      <c r="BB41">
        <v>1</v>
      </c>
      <c r="BC41">
        <v>6.08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106</v>
      </c>
      <c r="BM41">
        <v>15001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28"/>
        <v>1117.79</v>
      </c>
      <c r="CQ41">
        <f t="shared" si="29"/>
        <v>111812.1728</v>
      </c>
      <c r="CR41">
        <f t="shared" si="30"/>
        <v>0</v>
      </c>
      <c r="CS41">
        <f t="shared" si="31"/>
        <v>0</v>
      </c>
      <c r="CT41">
        <f t="shared" si="32"/>
        <v>0</v>
      </c>
      <c r="CU41">
        <f t="shared" si="33"/>
        <v>0</v>
      </c>
      <c r="CV41">
        <f t="shared" si="34"/>
        <v>0</v>
      </c>
      <c r="CW41">
        <f t="shared" si="35"/>
        <v>0</v>
      </c>
      <c r="CX41">
        <f t="shared" si="36"/>
        <v>0</v>
      </c>
      <c r="CY41">
        <f t="shared" si="37"/>
        <v>0</v>
      </c>
      <c r="CZ41">
        <f t="shared" si="38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60</v>
      </c>
      <c r="DW41" t="s">
        <v>60</v>
      </c>
      <c r="DX41">
        <v>1000</v>
      </c>
      <c r="EE41">
        <v>38092841</v>
      </c>
      <c r="EF41">
        <v>2</v>
      </c>
      <c r="EG41" t="s">
        <v>31</v>
      </c>
      <c r="EH41">
        <v>0</v>
      </c>
      <c r="EI41" t="s">
        <v>3</v>
      </c>
      <c r="EJ41">
        <v>1</v>
      </c>
      <c r="EK41">
        <v>15001</v>
      </c>
      <c r="EL41" t="s">
        <v>101</v>
      </c>
      <c r="EM41" t="s">
        <v>102</v>
      </c>
      <c r="EO41" t="s">
        <v>3</v>
      </c>
      <c r="EQ41">
        <v>0</v>
      </c>
      <c r="ER41">
        <v>18390.16</v>
      </c>
      <c r="ES41">
        <v>18390.16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39"/>
        <v>0</v>
      </c>
      <c r="FS41">
        <v>0</v>
      </c>
      <c r="FT41" t="s">
        <v>34</v>
      </c>
      <c r="FU41" t="s">
        <v>35</v>
      </c>
      <c r="FX41">
        <v>94.5</v>
      </c>
      <c r="FY41">
        <v>46.75</v>
      </c>
      <c r="GA41" t="s">
        <v>3</v>
      </c>
      <c r="GD41">
        <v>0</v>
      </c>
      <c r="GF41">
        <v>-1919714308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0"/>
        <v>0</v>
      </c>
      <c r="GM41">
        <f t="shared" si="41"/>
        <v>1117.79</v>
      </c>
      <c r="GN41">
        <f t="shared" si="42"/>
        <v>1117.79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49</v>
      </c>
      <c r="E42" t="s">
        <v>107</v>
      </c>
      <c r="F42" t="s">
        <v>108</v>
      </c>
      <c r="G42" t="s">
        <v>109</v>
      </c>
      <c r="H42" t="s">
        <v>60</v>
      </c>
      <c r="I42">
        <f>I40*J42</f>
        <v>9.9970000000000007E-3</v>
      </c>
      <c r="J42">
        <v>1.3000000000000001E-2</v>
      </c>
      <c r="O42">
        <f t="shared" si="14"/>
        <v>0</v>
      </c>
      <c r="P42">
        <f t="shared" si="15"/>
        <v>0</v>
      </c>
      <c r="Q42">
        <f t="shared" si="16"/>
        <v>0</v>
      </c>
      <c r="R42">
        <f t="shared" si="17"/>
        <v>0</v>
      </c>
      <c r="S42">
        <f t="shared" si="18"/>
        <v>0</v>
      </c>
      <c r="T42">
        <f t="shared" si="19"/>
        <v>0</v>
      </c>
      <c r="U42">
        <f t="shared" si="20"/>
        <v>0</v>
      </c>
      <c r="V42">
        <f t="shared" si="21"/>
        <v>0</v>
      </c>
      <c r="W42">
        <f t="shared" si="22"/>
        <v>0</v>
      </c>
      <c r="X42">
        <f t="shared" si="23"/>
        <v>0</v>
      </c>
      <c r="Y42">
        <f t="shared" si="24"/>
        <v>0</v>
      </c>
      <c r="AA42">
        <v>39102310</v>
      </c>
      <c r="AB42">
        <f t="shared" si="25"/>
        <v>0</v>
      </c>
      <c r="AC42">
        <f t="shared" si="47"/>
        <v>0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 t="shared" si="26"/>
        <v>0</v>
      </c>
      <c r="AH42">
        <f>(EW42)</f>
        <v>0</v>
      </c>
      <c r="AI42">
        <f>(EX42)</f>
        <v>0</v>
      </c>
      <c r="AJ42">
        <f t="shared" si="27"/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95</v>
      </c>
      <c r="AU42">
        <v>47</v>
      </c>
      <c r="AV42">
        <v>1</v>
      </c>
      <c r="AW42">
        <v>1</v>
      </c>
      <c r="AZ42">
        <v>6.08</v>
      </c>
      <c r="BA42">
        <v>1</v>
      </c>
      <c r="BB42">
        <v>1</v>
      </c>
      <c r="BC42">
        <v>6.08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3</v>
      </c>
      <c r="BM42">
        <v>15001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105</v>
      </c>
      <c r="CA42">
        <v>55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28"/>
        <v>0</v>
      </c>
      <c r="CQ42">
        <f t="shared" si="29"/>
        <v>0</v>
      </c>
      <c r="CR42">
        <f t="shared" si="30"/>
        <v>0</v>
      </c>
      <c r="CS42">
        <f t="shared" si="31"/>
        <v>0</v>
      </c>
      <c r="CT42">
        <f t="shared" si="32"/>
        <v>0</v>
      </c>
      <c r="CU42">
        <f t="shared" si="33"/>
        <v>0</v>
      </c>
      <c r="CV42">
        <f t="shared" si="34"/>
        <v>0</v>
      </c>
      <c r="CW42">
        <f t="shared" si="35"/>
        <v>0</v>
      </c>
      <c r="CX42">
        <f t="shared" si="36"/>
        <v>0</v>
      </c>
      <c r="CY42">
        <f t="shared" si="37"/>
        <v>0</v>
      </c>
      <c r="CZ42">
        <f t="shared" si="38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1009</v>
      </c>
      <c r="DV42" t="s">
        <v>60</v>
      </c>
      <c r="DW42" t="s">
        <v>60</v>
      </c>
      <c r="DX42">
        <v>1000</v>
      </c>
      <c r="EE42">
        <v>38092841</v>
      </c>
      <c r="EF42">
        <v>2</v>
      </c>
      <c r="EG42" t="s">
        <v>31</v>
      </c>
      <c r="EH42">
        <v>0</v>
      </c>
      <c r="EI42" t="s">
        <v>3</v>
      </c>
      <c r="EJ42">
        <v>1</v>
      </c>
      <c r="EK42">
        <v>15001</v>
      </c>
      <c r="EL42" t="s">
        <v>101</v>
      </c>
      <c r="EM42" t="s">
        <v>102</v>
      </c>
      <c r="EO42" t="s">
        <v>3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39"/>
        <v>0</v>
      </c>
      <c r="FS42">
        <v>0</v>
      </c>
      <c r="FT42" t="s">
        <v>34</v>
      </c>
      <c r="FU42" t="s">
        <v>35</v>
      </c>
      <c r="FX42">
        <v>94.5</v>
      </c>
      <c r="FY42">
        <v>46.75</v>
      </c>
      <c r="GA42" t="s">
        <v>56</v>
      </c>
      <c r="GD42">
        <v>0</v>
      </c>
      <c r="GF42">
        <v>-1212923053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0"/>
        <v>0</v>
      </c>
      <c r="GM42">
        <f t="shared" si="41"/>
        <v>0</v>
      </c>
      <c r="GN42">
        <f t="shared" si="42"/>
        <v>0</v>
      </c>
      <c r="GO42">
        <f t="shared" si="43"/>
        <v>0</v>
      </c>
      <c r="GP42">
        <f t="shared" si="44"/>
        <v>0</v>
      </c>
      <c r="GR42">
        <v>0</v>
      </c>
      <c r="GS42">
        <v>4</v>
      </c>
      <c r="GT42">
        <v>0</v>
      </c>
      <c r="GU42" t="s">
        <v>3</v>
      </c>
      <c r="GV42">
        <f t="shared" si="45"/>
        <v>0</v>
      </c>
      <c r="GW42">
        <v>1</v>
      </c>
      <c r="GX42">
        <f t="shared" si="46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ROW(SmtRes!A56)</f>
        <v>56</v>
      </c>
      <c r="D43">
        <f>ROW(EtalonRes!A53)</f>
        <v>53</v>
      </c>
      <c r="E43" t="s">
        <v>110</v>
      </c>
      <c r="F43" t="s">
        <v>111</v>
      </c>
      <c r="G43" t="s">
        <v>112</v>
      </c>
      <c r="H43" t="s">
        <v>23</v>
      </c>
      <c r="I43">
        <v>0.36299999999999999</v>
      </c>
      <c r="J43">
        <v>0</v>
      </c>
      <c r="O43">
        <f t="shared" si="14"/>
        <v>240.94</v>
      </c>
      <c r="P43">
        <f t="shared" si="15"/>
        <v>0.4</v>
      </c>
      <c r="Q43">
        <f t="shared" si="16"/>
        <v>3.22</v>
      </c>
      <c r="R43">
        <f t="shared" si="17"/>
        <v>0.86</v>
      </c>
      <c r="S43">
        <f t="shared" si="18"/>
        <v>237.32</v>
      </c>
      <c r="T43">
        <f t="shared" si="19"/>
        <v>0</v>
      </c>
      <c r="U43">
        <f t="shared" si="20"/>
        <v>4.0576139999999992</v>
      </c>
      <c r="V43">
        <f t="shared" si="21"/>
        <v>1.0889999999999999E-2</v>
      </c>
      <c r="W43">
        <f t="shared" si="22"/>
        <v>0</v>
      </c>
      <c r="X43">
        <f t="shared" si="23"/>
        <v>226.27</v>
      </c>
      <c r="Y43">
        <f t="shared" si="24"/>
        <v>111.94</v>
      </c>
      <c r="AA43">
        <v>39102310</v>
      </c>
      <c r="AB43">
        <f t="shared" si="25"/>
        <v>109.17</v>
      </c>
      <c r="AC43">
        <f t="shared" si="47"/>
        <v>0.18</v>
      </c>
      <c r="AD43">
        <f>ROUND((((((ET43*1.25)*1.2))-(((EU43*1.25)*1.2)))+AE43),2)</f>
        <v>1.46</v>
      </c>
      <c r="AE43">
        <f>ROUND((((EU43*1.25)*1.2)),2)</f>
        <v>0.39</v>
      </c>
      <c r="AF43">
        <f>ROUND((((EV43*1.15)*1.2)),2)</f>
        <v>107.53</v>
      </c>
      <c r="AG43">
        <f t="shared" si="26"/>
        <v>0</v>
      </c>
      <c r="AH43">
        <f>(((EW43*1.15)*1.2))</f>
        <v>11.177999999999999</v>
      </c>
      <c r="AI43">
        <f>(((EX43*1.25)*1.2))</f>
        <v>0.03</v>
      </c>
      <c r="AJ43">
        <f t="shared" si="27"/>
        <v>0</v>
      </c>
      <c r="AK43">
        <v>79.069999999999993</v>
      </c>
      <c r="AL43">
        <v>0.18</v>
      </c>
      <c r="AM43">
        <v>0.97</v>
      </c>
      <c r="AN43">
        <v>0.26</v>
      </c>
      <c r="AO43">
        <v>77.92</v>
      </c>
      <c r="AP43">
        <v>0</v>
      </c>
      <c r="AQ43">
        <v>8.1</v>
      </c>
      <c r="AR43">
        <v>0.02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6.08</v>
      </c>
      <c r="BA43">
        <v>6.08</v>
      </c>
      <c r="BB43">
        <v>6.08</v>
      </c>
      <c r="BC43">
        <v>6.08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113</v>
      </c>
      <c r="BM43">
        <v>15001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6.08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105</v>
      </c>
      <c r="CA43">
        <v>55</v>
      </c>
      <c r="CF43">
        <v>0</v>
      </c>
      <c r="CG43">
        <v>0</v>
      </c>
      <c r="CM43">
        <v>0</v>
      </c>
      <c r="CN43" t="s">
        <v>329</v>
      </c>
      <c r="CO43">
        <v>0</v>
      </c>
      <c r="CP43">
        <f t="shared" si="28"/>
        <v>240.94</v>
      </c>
      <c r="CQ43">
        <f t="shared" si="29"/>
        <v>1.0944</v>
      </c>
      <c r="CR43">
        <f t="shared" si="30"/>
        <v>8.8767999999999994</v>
      </c>
      <c r="CS43">
        <f t="shared" si="31"/>
        <v>2.3712</v>
      </c>
      <c r="CT43">
        <f t="shared" si="32"/>
        <v>653.78240000000005</v>
      </c>
      <c r="CU43">
        <f t="shared" si="33"/>
        <v>0</v>
      </c>
      <c r="CV43">
        <f t="shared" si="34"/>
        <v>11.177999999999999</v>
      </c>
      <c r="CW43">
        <f t="shared" si="35"/>
        <v>0.03</v>
      </c>
      <c r="CX43">
        <f t="shared" si="36"/>
        <v>0</v>
      </c>
      <c r="CY43">
        <f t="shared" si="37"/>
        <v>226.27100000000002</v>
      </c>
      <c r="CZ43">
        <f t="shared" si="38"/>
        <v>111.94460000000001</v>
      </c>
      <c r="DC43" t="s">
        <v>3</v>
      </c>
      <c r="DD43" t="s">
        <v>3</v>
      </c>
      <c r="DE43" t="s">
        <v>29</v>
      </c>
      <c r="DF43" t="s">
        <v>29</v>
      </c>
      <c r="DG43" t="s">
        <v>30</v>
      </c>
      <c r="DH43" t="s">
        <v>3</v>
      </c>
      <c r="DI43" t="s">
        <v>30</v>
      </c>
      <c r="DJ43" t="s">
        <v>29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23</v>
      </c>
      <c r="DW43" t="s">
        <v>23</v>
      </c>
      <c r="DX43">
        <v>100</v>
      </c>
      <c r="EE43">
        <v>38092841</v>
      </c>
      <c r="EF43">
        <v>2</v>
      </c>
      <c r="EG43" t="s">
        <v>31</v>
      </c>
      <c r="EH43">
        <v>0</v>
      </c>
      <c r="EI43" t="s">
        <v>3</v>
      </c>
      <c r="EJ43">
        <v>1</v>
      </c>
      <c r="EK43">
        <v>15001</v>
      </c>
      <c r="EL43" t="s">
        <v>101</v>
      </c>
      <c r="EM43" t="s">
        <v>102</v>
      </c>
      <c r="EO43" t="s">
        <v>43</v>
      </c>
      <c r="EQ43">
        <v>0</v>
      </c>
      <c r="ER43">
        <v>79.069999999999993</v>
      </c>
      <c r="ES43">
        <v>0.18</v>
      </c>
      <c r="ET43">
        <v>0.97</v>
      </c>
      <c r="EU43">
        <v>0.26</v>
      </c>
      <c r="EV43">
        <v>77.92</v>
      </c>
      <c r="EW43">
        <v>8.1</v>
      </c>
      <c r="EX43">
        <v>0.02</v>
      </c>
      <c r="EY43">
        <v>0</v>
      </c>
      <c r="FQ43">
        <v>0</v>
      </c>
      <c r="FR43">
        <f t="shared" si="39"/>
        <v>0</v>
      </c>
      <c r="FS43">
        <v>0</v>
      </c>
      <c r="FT43" t="s">
        <v>34</v>
      </c>
      <c r="FU43" t="s">
        <v>35</v>
      </c>
      <c r="FX43">
        <v>94.5</v>
      </c>
      <c r="FY43">
        <v>46.75</v>
      </c>
      <c r="GA43" t="s">
        <v>3</v>
      </c>
      <c r="GD43">
        <v>0</v>
      </c>
      <c r="GF43">
        <v>1138646690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0"/>
        <v>0</v>
      </c>
      <c r="GM43">
        <f t="shared" si="41"/>
        <v>579.15</v>
      </c>
      <c r="GN43">
        <f t="shared" si="42"/>
        <v>579.15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55</v>
      </c>
      <c r="E44" t="s">
        <v>114</v>
      </c>
      <c r="F44" t="s">
        <v>104</v>
      </c>
      <c r="G44" t="s">
        <v>105</v>
      </c>
      <c r="H44" t="s">
        <v>60</v>
      </c>
      <c r="I44">
        <f>I43*J44</f>
        <v>4.7190000000000001E-3</v>
      </c>
      <c r="J44">
        <v>1.3000000000000001E-2</v>
      </c>
      <c r="O44">
        <f t="shared" si="14"/>
        <v>527.64</v>
      </c>
      <c r="P44">
        <f t="shared" si="15"/>
        <v>527.64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39102310</v>
      </c>
      <c r="AB44">
        <f t="shared" si="25"/>
        <v>18390.16</v>
      </c>
      <c r="AC44">
        <f t="shared" si="47"/>
        <v>18390.16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 t="shared" si="26"/>
        <v>0</v>
      </c>
      <c r="AH44">
        <f>(EW44)</f>
        <v>0</v>
      </c>
      <c r="AI44">
        <f>(EX44)</f>
        <v>0</v>
      </c>
      <c r="AJ44">
        <f t="shared" si="27"/>
        <v>0</v>
      </c>
      <c r="AK44">
        <v>18390.16</v>
      </c>
      <c r="AL44">
        <v>18390.16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95</v>
      </c>
      <c r="AU44">
        <v>47</v>
      </c>
      <c r="AV44">
        <v>1</v>
      </c>
      <c r="AW44">
        <v>1</v>
      </c>
      <c r="AZ44">
        <v>6.08</v>
      </c>
      <c r="BA44">
        <v>1</v>
      </c>
      <c r="BB44">
        <v>1</v>
      </c>
      <c r="BC44">
        <v>6.08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106</v>
      </c>
      <c r="BM44">
        <v>15001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105</v>
      </c>
      <c r="CA44">
        <v>55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28"/>
        <v>527.64</v>
      </c>
      <c r="CQ44">
        <f t="shared" si="29"/>
        <v>111812.1728</v>
      </c>
      <c r="CR44">
        <f t="shared" si="30"/>
        <v>0</v>
      </c>
      <c r="CS44">
        <f t="shared" si="31"/>
        <v>0</v>
      </c>
      <c r="CT44">
        <f t="shared" si="32"/>
        <v>0</v>
      </c>
      <c r="CU44">
        <f t="shared" si="33"/>
        <v>0</v>
      </c>
      <c r="CV44">
        <f t="shared" si="34"/>
        <v>0</v>
      </c>
      <c r="CW44">
        <f t="shared" si="35"/>
        <v>0</v>
      </c>
      <c r="CX44">
        <f t="shared" si="36"/>
        <v>0</v>
      </c>
      <c r="CY44">
        <f t="shared" si="37"/>
        <v>0</v>
      </c>
      <c r="CZ44">
        <f t="shared" si="38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60</v>
      </c>
      <c r="DW44" t="s">
        <v>60</v>
      </c>
      <c r="DX44">
        <v>1000</v>
      </c>
      <c r="EE44">
        <v>38092841</v>
      </c>
      <c r="EF44">
        <v>2</v>
      </c>
      <c r="EG44" t="s">
        <v>31</v>
      </c>
      <c r="EH44">
        <v>0</v>
      </c>
      <c r="EI44" t="s">
        <v>3</v>
      </c>
      <c r="EJ44">
        <v>1</v>
      </c>
      <c r="EK44">
        <v>15001</v>
      </c>
      <c r="EL44" t="s">
        <v>101</v>
      </c>
      <c r="EM44" t="s">
        <v>102</v>
      </c>
      <c r="EO44" t="s">
        <v>3</v>
      </c>
      <c r="EQ44">
        <v>0</v>
      </c>
      <c r="ER44">
        <v>18390.16</v>
      </c>
      <c r="ES44">
        <v>18390.16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39"/>
        <v>0</v>
      </c>
      <c r="FS44">
        <v>0</v>
      </c>
      <c r="FT44" t="s">
        <v>34</v>
      </c>
      <c r="FU44" t="s">
        <v>35</v>
      </c>
      <c r="FX44">
        <v>94.5</v>
      </c>
      <c r="FY44">
        <v>46.75</v>
      </c>
      <c r="GA44" t="s">
        <v>3</v>
      </c>
      <c r="GD44">
        <v>0</v>
      </c>
      <c r="GF44">
        <v>-1919714308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0"/>
        <v>0</v>
      </c>
      <c r="GM44">
        <f t="shared" si="41"/>
        <v>527.64</v>
      </c>
      <c r="GN44">
        <f t="shared" si="42"/>
        <v>527.64</v>
      </c>
      <c r="GO44">
        <f t="shared" si="43"/>
        <v>0</v>
      </c>
      <c r="GP44">
        <f t="shared" si="44"/>
        <v>0</v>
      </c>
      <c r="GR44">
        <v>0</v>
      </c>
      <c r="GS44">
        <v>3</v>
      </c>
      <c r="GT44">
        <v>0</v>
      </c>
      <c r="GU44" t="s">
        <v>3</v>
      </c>
      <c r="GV44">
        <f t="shared" si="45"/>
        <v>0</v>
      </c>
      <c r="GW44">
        <v>1</v>
      </c>
      <c r="GX44">
        <f t="shared" si="46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56</v>
      </c>
      <c r="E45" t="s">
        <v>115</v>
      </c>
      <c r="F45" t="s">
        <v>108</v>
      </c>
      <c r="G45" t="s">
        <v>109</v>
      </c>
      <c r="H45" t="s">
        <v>60</v>
      </c>
      <c r="I45">
        <f>I43*J45</f>
        <v>4.7190000000000001E-3</v>
      </c>
      <c r="J45">
        <v>1.3000000000000001E-2</v>
      </c>
      <c r="O45">
        <f t="shared" si="14"/>
        <v>0</v>
      </c>
      <c r="P45">
        <f t="shared" si="15"/>
        <v>0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39102310</v>
      </c>
      <c r="AB45">
        <f t="shared" si="25"/>
        <v>0</v>
      </c>
      <c r="AC45">
        <f t="shared" si="47"/>
        <v>0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26"/>
        <v>0</v>
      </c>
      <c r="AH45">
        <f>(EW45)</f>
        <v>0</v>
      </c>
      <c r="AI45">
        <f>(EX45)</f>
        <v>0</v>
      </c>
      <c r="AJ45">
        <f t="shared" si="27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6.08</v>
      </c>
      <c r="BA45">
        <v>1</v>
      </c>
      <c r="BB45">
        <v>1</v>
      </c>
      <c r="BC45">
        <v>6.08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3</v>
      </c>
      <c r="BM45">
        <v>15001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8"/>
        <v>0</v>
      </c>
      <c r="CQ45">
        <f t="shared" si="29"/>
        <v>0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60</v>
      </c>
      <c r="DW45" t="s">
        <v>60</v>
      </c>
      <c r="DX45">
        <v>1000</v>
      </c>
      <c r="EE45">
        <v>38092841</v>
      </c>
      <c r="EF45">
        <v>2</v>
      </c>
      <c r="EG45" t="s">
        <v>31</v>
      </c>
      <c r="EH45">
        <v>0</v>
      </c>
      <c r="EI45" t="s">
        <v>3</v>
      </c>
      <c r="EJ45">
        <v>1</v>
      </c>
      <c r="EK45">
        <v>15001</v>
      </c>
      <c r="EL45" t="s">
        <v>101</v>
      </c>
      <c r="EM45" t="s">
        <v>102</v>
      </c>
      <c r="EO45" t="s">
        <v>3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34</v>
      </c>
      <c r="FU45" t="s">
        <v>35</v>
      </c>
      <c r="FX45">
        <v>94.5</v>
      </c>
      <c r="FY45">
        <v>46.75</v>
      </c>
      <c r="GA45" t="s">
        <v>56</v>
      </c>
      <c r="GD45">
        <v>0</v>
      </c>
      <c r="GF45">
        <v>-1212923053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0"/>
        <v>0</v>
      </c>
      <c r="GM45">
        <f t="shared" si="41"/>
        <v>0</v>
      </c>
      <c r="GN45">
        <f t="shared" si="42"/>
        <v>0</v>
      </c>
      <c r="GO45">
        <f t="shared" si="43"/>
        <v>0</v>
      </c>
      <c r="GP45">
        <f t="shared" si="44"/>
        <v>0</v>
      </c>
      <c r="GR45">
        <v>0</v>
      </c>
      <c r="GS45">
        <v>4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ROW(SmtRes!A65)</f>
        <v>65</v>
      </c>
      <c r="D46">
        <f>ROW(EtalonRes!A61)</f>
        <v>61</v>
      </c>
      <c r="E46" t="s">
        <v>116</v>
      </c>
      <c r="F46" t="s">
        <v>117</v>
      </c>
      <c r="G46" t="s">
        <v>118</v>
      </c>
      <c r="H46" t="s">
        <v>23</v>
      </c>
      <c r="I46">
        <v>0.76900000000000002</v>
      </c>
      <c r="J46">
        <v>0</v>
      </c>
      <c r="O46">
        <f t="shared" si="14"/>
        <v>3867.03</v>
      </c>
      <c r="P46">
        <f t="shared" si="15"/>
        <v>1310.55</v>
      </c>
      <c r="Q46">
        <f t="shared" si="16"/>
        <v>73.59</v>
      </c>
      <c r="R46">
        <f t="shared" si="17"/>
        <v>14.12</v>
      </c>
      <c r="S46">
        <f t="shared" si="18"/>
        <v>2482.89</v>
      </c>
      <c r="T46">
        <f t="shared" si="19"/>
        <v>0</v>
      </c>
      <c r="U46">
        <f t="shared" si="20"/>
        <v>45.526337999999996</v>
      </c>
      <c r="V46">
        <f t="shared" si="21"/>
        <v>0.19609500000000002</v>
      </c>
      <c r="W46">
        <f t="shared" si="22"/>
        <v>0</v>
      </c>
      <c r="X46">
        <f t="shared" si="23"/>
        <v>2372.16</v>
      </c>
      <c r="Y46">
        <f t="shared" si="24"/>
        <v>1173.5899999999999</v>
      </c>
      <c r="AA46">
        <v>39102310</v>
      </c>
      <c r="AB46">
        <f t="shared" si="25"/>
        <v>827.08</v>
      </c>
      <c r="AC46">
        <f t="shared" si="47"/>
        <v>280.3</v>
      </c>
      <c r="AD46">
        <f>ROUND((((((ET46*1.25)*1.2))-(((EU46*1.25)*1.2)))+AE46),2)</f>
        <v>15.74</v>
      </c>
      <c r="AE46">
        <f>ROUND((((EU46*1.25)*1.2)),2)</f>
        <v>3.02</v>
      </c>
      <c r="AF46">
        <f>ROUND((((EV46*1.15)*1.2)),2)</f>
        <v>531.04</v>
      </c>
      <c r="AG46">
        <f t="shared" si="26"/>
        <v>0</v>
      </c>
      <c r="AH46">
        <f>(((EW46*1.15)*1.2))</f>
        <v>59.201999999999991</v>
      </c>
      <c r="AI46">
        <f>(((EX46*1.25)*1.2))</f>
        <v>0.255</v>
      </c>
      <c r="AJ46">
        <f t="shared" si="27"/>
        <v>0</v>
      </c>
      <c r="AK46">
        <v>675.6</v>
      </c>
      <c r="AL46">
        <v>280.3</v>
      </c>
      <c r="AM46">
        <v>10.49</v>
      </c>
      <c r="AN46">
        <v>2.0099999999999998</v>
      </c>
      <c r="AO46">
        <v>384.81</v>
      </c>
      <c r="AP46">
        <v>0</v>
      </c>
      <c r="AQ46">
        <v>42.9</v>
      </c>
      <c r="AR46">
        <v>0.17</v>
      </c>
      <c r="AS46">
        <v>0</v>
      </c>
      <c r="AT46">
        <v>95</v>
      </c>
      <c r="AU46">
        <v>47</v>
      </c>
      <c r="AV46">
        <v>1</v>
      </c>
      <c r="AW46">
        <v>1</v>
      </c>
      <c r="AZ46">
        <v>6.08</v>
      </c>
      <c r="BA46">
        <v>6.08</v>
      </c>
      <c r="BB46">
        <v>6.08</v>
      </c>
      <c r="BC46">
        <v>6.08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119</v>
      </c>
      <c r="BM46">
        <v>15001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6.08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105</v>
      </c>
      <c r="CA46">
        <v>55</v>
      </c>
      <c r="CF46">
        <v>0</v>
      </c>
      <c r="CG46">
        <v>0</v>
      </c>
      <c r="CM46">
        <v>0</v>
      </c>
      <c r="CN46" t="s">
        <v>329</v>
      </c>
      <c r="CO46">
        <v>0</v>
      </c>
      <c r="CP46">
        <f t="shared" si="28"/>
        <v>3867.0299999999997</v>
      </c>
      <c r="CQ46">
        <f t="shared" si="29"/>
        <v>1704.2240000000002</v>
      </c>
      <c r="CR46">
        <f t="shared" si="30"/>
        <v>95.699200000000005</v>
      </c>
      <c r="CS46">
        <f t="shared" si="31"/>
        <v>18.361599999999999</v>
      </c>
      <c r="CT46">
        <f t="shared" si="32"/>
        <v>3228.7231999999999</v>
      </c>
      <c r="CU46">
        <f t="shared" si="33"/>
        <v>0</v>
      </c>
      <c r="CV46">
        <f t="shared" si="34"/>
        <v>59.201999999999991</v>
      </c>
      <c r="CW46">
        <f t="shared" si="35"/>
        <v>0.255</v>
      </c>
      <c r="CX46">
        <f t="shared" si="36"/>
        <v>0</v>
      </c>
      <c r="CY46">
        <f t="shared" si="37"/>
        <v>2372.1594999999998</v>
      </c>
      <c r="CZ46">
        <f t="shared" si="38"/>
        <v>1173.5946999999999</v>
      </c>
      <c r="DC46" t="s">
        <v>3</v>
      </c>
      <c r="DD46" t="s">
        <v>3</v>
      </c>
      <c r="DE46" t="s">
        <v>29</v>
      </c>
      <c r="DF46" t="s">
        <v>29</v>
      </c>
      <c r="DG46" t="s">
        <v>30</v>
      </c>
      <c r="DH46" t="s">
        <v>3</v>
      </c>
      <c r="DI46" t="s">
        <v>30</v>
      </c>
      <c r="DJ46" t="s">
        <v>29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23</v>
      </c>
      <c r="DW46" t="s">
        <v>23</v>
      </c>
      <c r="DX46">
        <v>100</v>
      </c>
      <c r="EE46">
        <v>38092841</v>
      </c>
      <c r="EF46">
        <v>2</v>
      </c>
      <c r="EG46" t="s">
        <v>31</v>
      </c>
      <c r="EH46">
        <v>0</v>
      </c>
      <c r="EI46" t="s">
        <v>3</v>
      </c>
      <c r="EJ46">
        <v>1</v>
      </c>
      <c r="EK46">
        <v>15001</v>
      </c>
      <c r="EL46" t="s">
        <v>101</v>
      </c>
      <c r="EM46" t="s">
        <v>102</v>
      </c>
      <c r="EO46" t="s">
        <v>43</v>
      </c>
      <c r="EQ46">
        <v>0</v>
      </c>
      <c r="ER46">
        <v>675.6</v>
      </c>
      <c r="ES46">
        <v>280.3</v>
      </c>
      <c r="ET46">
        <v>10.49</v>
      </c>
      <c r="EU46">
        <v>2.0099999999999998</v>
      </c>
      <c r="EV46">
        <v>384.81</v>
      </c>
      <c r="EW46">
        <v>42.9</v>
      </c>
      <c r="EX46">
        <v>0.17</v>
      </c>
      <c r="EY46">
        <v>0</v>
      </c>
      <c r="FQ46">
        <v>0</v>
      </c>
      <c r="FR46">
        <f t="shared" si="39"/>
        <v>0</v>
      </c>
      <c r="FS46">
        <v>0</v>
      </c>
      <c r="FT46" t="s">
        <v>34</v>
      </c>
      <c r="FU46" t="s">
        <v>35</v>
      </c>
      <c r="FX46">
        <v>94.5</v>
      </c>
      <c r="FY46">
        <v>46.75</v>
      </c>
      <c r="GA46" t="s">
        <v>3</v>
      </c>
      <c r="GD46">
        <v>0</v>
      </c>
      <c r="GF46">
        <v>1360681551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0"/>
        <v>0</v>
      </c>
      <c r="GM46">
        <f t="shared" si="41"/>
        <v>7412.78</v>
      </c>
      <c r="GN46">
        <f t="shared" si="42"/>
        <v>7412.78</v>
      </c>
      <c r="GO46">
        <f t="shared" si="43"/>
        <v>0</v>
      </c>
      <c r="GP46">
        <f t="shared" si="44"/>
        <v>0</v>
      </c>
      <c r="GR46">
        <v>0</v>
      </c>
      <c r="GS46">
        <v>3</v>
      </c>
      <c r="GT46">
        <v>0</v>
      </c>
      <c r="GU46" t="s">
        <v>3</v>
      </c>
      <c r="GV46">
        <f t="shared" si="45"/>
        <v>0</v>
      </c>
      <c r="GW46">
        <v>1</v>
      </c>
      <c r="GX46">
        <f t="shared" si="46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64</v>
      </c>
      <c r="E47" t="s">
        <v>120</v>
      </c>
      <c r="F47" t="s">
        <v>121</v>
      </c>
      <c r="G47" t="s">
        <v>122</v>
      </c>
      <c r="H47" t="s">
        <v>60</v>
      </c>
      <c r="I47">
        <f>I46*J47</f>
        <v>4.8447000000000004E-2</v>
      </c>
      <c r="J47">
        <v>6.3E-2</v>
      </c>
      <c r="O47">
        <f t="shared" si="14"/>
        <v>3913.99</v>
      </c>
      <c r="P47">
        <f t="shared" si="15"/>
        <v>3913.99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39102310</v>
      </c>
      <c r="AB47">
        <f t="shared" si="25"/>
        <v>13287.69</v>
      </c>
      <c r="AC47">
        <f t="shared" si="47"/>
        <v>13287.69</v>
      </c>
      <c r="AD47">
        <f>ROUND((((ET47)-(EU47))+AE47),2)</f>
        <v>0</v>
      </c>
      <c r="AE47">
        <f t="shared" ref="AE47:AF51" si="52">ROUND((EU47),2)</f>
        <v>0</v>
      </c>
      <c r="AF47">
        <f t="shared" si="52"/>
        <v>0</v>
      </c>
      <c r="AG47">
        <f t="shared" si="26"/>
        <v>0</v>
      </c>
      <c r="AH47">
        <f t="shared" ref="AH47:AI51" si="53">(EW47)</f>
        <v>0</v>
      </c>
      <c r="AI47">
        <f t="shared" si="53"/>
        <v>0</v>
      </c>
      <c r="AJ47">
        <f t="shared" si="27"/>
        <v>0</v>
      </c>
      <c r="AK47">
        <v>13287.69</v>
      </c>
      <c r="AL47">
        <v>13287.69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123</v>
      </c>
      <c r="BM47">
        <v>15001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28"/>
        <v>3913.99</v>
      </c>
      <c r="CQ47">
        <f t="shared" si="29"/>
        <v>80789.155200000008</v>
      </c>
      <c r="CR47">
        <f t="shared" si="30"/>
        <v>0</v>
      </c>
      <c r="CS47">
        <f t="shared" si="31"/>
        <v>0</v>
      </c>
      <c r="CT47">
        <f t="shared" si="32"/>
        <v>0</v>
      </c>
      <c r="CU47">
        <f t="shared" si="33"/>
        <v>0</v>
      </c>
      <c r="CV47">
        <f t="shared" si="34"/>
        <v>0</v>
      </c>
      <c r="CW47">
        <f t="shared" si="35"/>
        <v>0</v>
      </c>
      <c r="CX47">
        <f t="shared" si="36"/>
        <v>0</v>
      </c>
      <c r="CY47">
        <f t="shared" si="37"/>
        <v>0</v>
      </c>
      <c r="CZ47">
        <f t="shared" si="38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60</v>
      </c>
      <c r="DW47" t="s">
        <v>60</v>
      </c>
      <c r="DX47">
        <v>1000</v>
      </c>
      <c r="EE47">
        <v>38092841</v>
      </c>
      <c r="EF47">
        <v>2</v>
      </c>
      <c r="EG47" t="s">
        <v>31</v>
      </c>
      <c r="EH47">
        <v>0</v>
      </c>
      <c r="EI47" t="s">
        <v>3</v>
      </c>
      <c r="EJ47">
        <v>1</v>
      </c>
      <c r="EK47">
        <v>15001</v>
      </c>
      <c r="EL47" t="s">
        <v>101</v>
      </c>
      <c r="EM47" t="s">
        <v>102</v>
      </c>
      <c r="EO47" t="s">
        <v>3</v>
      </c>
      <c r="EQ47">
        <v>0</v>
      </c>
      <c r="ER47">
        <v>13287.69</v>
      </c>
      <c r="ES47">
        <v>13287.69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34</v>
      </c>
      <c r="FU47" t="s">
        <v>35</v>
      </c>
      <c r="FX47">
        <v>94.5</v>
      </c>
      <c r="FY47">
        <v>46.75</v>
      </c>
      <c r="GA47" t="s">
        <v>3</v>
      </c>
      <c r="GD47">
        <v>0</v>
      </c>
      <c r="GF47">
        <v>-1849320982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0"/>
        <v>0</v>
      </c>
      <c r="GM47">
        <f t="shared" si="41"/>
        <v>3913.99</v>
      </c>
      <c r="GN47">
        <f t="shared" si="42"/>
        <v>3913.99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63</v>
      </c>
      <c r="E48" t="s">
        <v>124</v>
      </c>
      <c r="F48" t="s">
        <v>125</v>
      </c>
      <c r="G48" t="s">
        <v>126</v>
      </c>
      <c r="H48" t="s">
        <v>60</v>
      </c>
      <c r="I48">
        <f>I46*J48</f>
        <v>4.8447000000000004E-2</v>
      </c>
      <c r="J48">
        <v>6.3E-2</v>
      </c>
      <c r="O48">
        <f t="shared" si="14"/>
        <v>0</v>
      </c>
      <c r="P48">
        <f t="shared" si="15"/>
        <v>0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39102310</v>
      </c>
      <c r="AB48">
        <f t="shared" si="25"/>
        <v>0</v>
      </c>
      <c r="AC48">
        <f t="shared" si="47"/>
        <v>0</v>
      </c>
      <c r="AD48">
        <f>ROUND((((ET48)-(EU48))+AE48),2)</f>
        <v>0</v>
      </c>
      <c r="AE48">
        <f t="shared" si="52"/>
        <v>0</v>
      </c>
      <c r="AF48">
        <f t="shared" si="52"/>
        <v>0</v>
      </c>
      <c r="AG48">
        <f t="shared" si="26"/>
        <v>0</v>
      </c>
      <c r="AH48">
        <f t="shared" si="53"/>
        <v>0</v>
      </c>
      <c r="AI48">
        <f t="shared" si="53"/>
        <v>0</v>
      </c>
      <c r="AJ48">
        <f t="shared" si="27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47</v>
      </c>
      <c r="AV48">
        <v>1</v>
      </c>
      <c r="AW48">
        <v>1</v>
      </c>
      <c r="AZ48">
        <v>6.08</v>
      </c>
      <c r="BA48">
        <v>1</v>
      </c>
      <c r="BB48">
        <v>1</v>
      </c>
      <c r="BC48">
        <v>6.08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15001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105</v>
      </c>
      <c r="CA48">
        <v>55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28"/>
        <v>0</v>
      </c>
      <c r="CQ48">
        <f t="shared" si="29"/>
        <v>0</v>
      </c>
      <c r="CR48">
        <f t="shared" si="30"/>
        <v>0</v>
      </c>
      <c r="CS48">
        <f t="shared" si="31"/>
        <v>0</v>
      </c>
      <c r="CT48">
        <f t="shared" si="32"/>
        <v>0</v>
      </c>
      <c r="CU48">
        <f t="shared" si="33"/>
        <v>0</v>
      </c>
      <c r="CV48">
        <f t="shared" si="34"/>
        <v>0</v>
      </c>
      <c r="CW48">
        <f t="shared" si="35"/>
        <v>0</v>
      </c>
      <c r="CX48">
        <f t="shared" si="36"/>
        <v>0</v>
      </c>
      <c r="CY48">
        <f t="shared" si="37"/>
        <v>0</v>
      </c>
      <c r="CZ48">
        <f t="shared" si="38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1009</v>
      </c>
      <c r="DV48" t="s">
        <v>60</v>
      </c>
      <c r="DW48" t="s">
        <v>60</v>
      </c>
      <c r="DX48">
        <v>1000</v>
      </c>
      <c r="EE48">
        <v>38092841</v>
      </c>
      <c r="EF48">
        <v>2</v>
      </c>
      <c r="EG48" t="s">
        <v>31</v>
      </c>
      <c r="EH48">
        <v>0</v>
      </c>
      <c r="EI48" t="s">
        <v>3</v>
      </c>
      <c r="EJ48">
        <v>1</v>
      </c>
      <c r="EK48">
        <v>15001</v>
      </c>
      <c r="EL48" t="s">
        <v>101</v>
      </c>
      <c r="EM48" t="s">
        <v>102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39"/>
        <v>0</v>
      </c>
      <c r="FS48">
        <v>0</v>
      </c>
      <c r="FT48" t="s">
        <v>34</v>
      </c>
      <c r="FU48" t="s">
        <v>35</v>
      </c>
      <c r="FX48">
        <v>94.5</v>
      </c>
      <c r="FY48">
        <v>46.75</v>
      </c>
      <c r="GA48" t="s">
        <v>56</v>
      </c>
      <c r="GD48">
        <v>0</v>
      </c>
      <c r="GF48">
        <v>1891904026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0"/>
        <v>0</v>
      </c>
      <c r="GM48">
        <f t="shared" si="41"/>
        <v>0</v>
      </c>
      <c r="GN48">
        <f t="shared" si="42"/>
        <v>0</v>
      </c>
      <c r="GO48">
        <f t="shared" si="43"/>
        <v>0</v>
      </c>
      <c r="GP48">
        <f t="shared" si="44"/>
        <v>0</v>
      </c>
      <c r="GR48">
        <v>0</v>
      </c>
      <c r="GS48">
        <v>4</v>
      </c>
      <c r="GT48">
        <v>0</v>
      </c>
      <c r="GU48" t="s">
        <v>3</v>
      </c>
      <c r="GV48">
        <f t="shared" si="45"/>
        <v>0</v>
      </c>
      <c r="GW48">
        <v>1</v>
      </c>
      <c r="GX48">
        <f t="shared" si="46"/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ROW(SmtRes!A78)</f>
        <v>78</v>
      </c>
      <c r="D49">
        <f>ROW(EtalonRes!A73)</f>
        <v>73</v>
      </c>
      <c r="E49" t="s">
        <v>127</v>
      </c>
      <c r="F49" t="s">
        <v>128</v>
      </c>
      <c r="G49" t="s">
        <v>129</v>
      </c>
      <c r="H49" t="s">
        <v>23</v>
      </c>
      <c r="I49">
        <v>0.36299999999999999</v>
      </c>
      <c r="J49">
        <v>0</v>
      </c>
      <c r="O49">
        <f t="shared" si="14"/>
        <v>1792.82</v>
      </c>
      <c r="P49">
        <f t="shared" si="15"/>
        <v>1133.07</v>
      </c>
      <c r="Q49">
        <f t="shared" si="16"/>
        <v>15.6</v>
      </c>
      <c r="R49">
        <f t="shared" si="17"/>
        <v>4.5199999999999996</v>
      </c>
      <c r="S49">
        <f t="shared" si="18"/>
        <v>644.15</v>
      </c>
      <c r="T49">
        <f t="shared" si="19"/>
        <v>0</v>
      </c>
      <c r="U49">
        <f t="shared" si="20"/>
        <v>12.26214</v>
      </c>
      <c r="V49">
        <f t="shared" si="21"/>
        <v>5.808E-2</v>
      </c>
      <c r="W49">
        <f t="shared" si="22"/>
        <v>0</v>
      </c>
      <c r="X49">
        <f t="shared" si="23"/>
        <v>518.94000000000005</v>
      </c>
      <c r="Y49">
        <f t="shared" si="24"/>
        <v>324.33999999999997</v>
      </c>
      <c r="AA49">
        <v>39102310</v>
      </c>
      <c r="AB49">
        <f t="shared" si="25"/>
        <v>812.32</v>
      </c>
      <c r="AC49">
        <f t="shared" si="47"/>
        <v>513.39</v>
      </c>
      <c r="AD49">
        <f>ROUND((((ET49)-(EU49))+AE49),2)</f>
        <v>7.07</v>
      </c>
      <c r="AE49">
        <f t="shared" si="52"/>
        <v>2.0499999999999998</v>
      </c>
      <c r="AF49">
        <f t="shared" si="52"/>
        <v>291.86</v>
      </c>
      <c r="AG49">
        <f t="shared" si="26"/>
        <v>0</v>
      </c>
      <c r="AH49">
        <f t="shared" si="53"/>
        <v>33.78</v>
      </c>
      <c r="AI49">
        <f t="shared" si="53"/>
        <v>0.16</v>
      </c>
      <c r="AJ49">
        <f t="shared" si="27"/>
        <v>0</v>
      </c>
      <c r="AK49">
        <v>812.32</v>
      </c>
      <c r="AL49">
        <v>513.39</v>
      </c>
      <c r="AM49">
        <v>7.07</v>
      </c>
      <c r="AN49">
        <v>2.0499999999999998</v>
      </c>
      <c r="AO49">
        <v>291.86</v>
      </c>
      <c r="AP49">
        <v>0</v>
      </c>
      <c r="AQ49">
        <v>33.78</v>
      </c>
      <c r="AR49">
        <v>0.16</v>
      </c>
      <c r="AS49">
        <v>0</v>
      </c>
      <c r="AT49">
        <v>80</v>
      </c>
      <c r="AU49">
        <v>50</v>
      </c>
      <c r="AV49">
        <v>1</v>
      </c>
      <c r="AW49">
        <v>1</v>
      </c>
      <c r="AZ49">
        <v>6.08</v>
      </c>
      <c r="BA49">
        <v>6.08</v>
      </c>
      <c r="BB49">
        <v>6.08</v>
      </c>
      <c r="BC49">
        <v>6.08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130</v>
      </c>
      <c r="BM49">
        <v>62001</v>
      </c>
      <c r="BN49">
        <v>0</v>
      </c>
      <c r="BO49" t="s">
        <v>3</v>
      </c>
      <c r="BP49">
        <v>0</v>
      </c>
      <c r="BQ49">
        <v>6</v>
      </c>
      <c r="BR49">
        <v>0</v>
      </c>
      <c r="BS49">
        <v>6.08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50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28"/>
        <v>1792.8199999999997</v>
      </c>
      <c r="CQ49">
        <f t="shared" si="29"/>
        <v>3121.4112</v>
      </c>
      <c r="CR49">
        <f t="shared" si="30"/>
        <v>42.985600000000005</v>
      </c>
      <c r="CS49">
        <f t="shared" si="31"/>
        <v>12.463999999999999</v>
      </c>
      <c r="CT49">
        <f t="shared" si="32"/>
        <v>1774.5088000000001</v>
      </c>
      <c r="CU49">
        <f t="shared" si="33"/>
        <v>0</v>
      </c>
      <c r="CV49">
        <f t="shared" si="34"/>
        <v>33.78</v>
      </c>
      <c r="CW49">
        <f t="shared" si="35"/>
        <v>0.16</v>
      </c>
      <c r="CX49">
        <f t="shared" si="36"/>
        <v>0</v>
      </c>
      <c r="CY49">
        <f t="shared" si="37"/>
        <v>518.93600000000004</v>
      </c>
      <c r="CZ49">
        <f t="shared" si="38"/>
        <v>324.33499999999998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23</v>
      </c>
      <c r="DW49" t="s">
        <v>23</v>
      </c>
      <c r="DX49">
        <v>100</v>
      </c>
      <c r="EE49">
        <v>38092899</v>
      </c>
      <c r="EF49">
        <v>6</v>
      </c>
      <c r="EG49" t="s">
        <v>17</v>
      </c>
      <c r="EH49">
        <v>0</v>
      </c>
      <c r="EI49" t="s">
        <v>3</v>
      </c>
      <c r="EJ49">
        <v>1</v>
      </c>
      <c r="EK49">
        <v>62001</v>
      </c>
      <c r="EL49" t="s">
        <v>131</v>
      </c>
      <c r="EM49" t="s">
        <v>132</v>
      </c>
      <c r="EO49" t="s">
        <v>3</v>
      </c>
      <c r="EQ49">
        <v>0</v>
      </c>
      <c r="ER49">
        <v>812.32</v>
      </c>
      <c r="ES49">
        <v>513.39</v>
      </c>
      <c r="ET49">
        <v>7.07</v>
      </c>
      <c r="EU49">
        <v>2.0499999999999998</v>
      </c>
      <c r="EV49">
        <v>291.86</v>
      </c>
      <c r="EW49">
        <v>33.78</v>
      </c>
      <c r="EX49">
        <v>0.16</v>
      </c>
      <c r="EY49">
        <v>0</v>
      </c>
      <c r="FQ49">
        <v>0</v>
      </c>
      <c r="FR49">
        <f t="shared" si="39"/>
        <v>0</v>
      </c>
      <c r="FS49">
        <v>0</v>
      </c>
      <c r="FX49">
        <v>80</v>
      </c>
      <c r="FY49">
        <v>50</v>
      </c>
      <c r="GA49" t="s">
        <v>3</v>
      </c>
      <c r="GD49">
        <v>0</v>
      </c>
      <c r="GF49">
        <v>-261797148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0"/>
        <v>0</v>
      </c>
      <c r="GM49">
        <f t="shared" si="41"/>
        <v>2636.1</v>
      </c>
      <c r="GN49">
        <f t="shared" si="42"/>
        <v>2636.1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77</v>
      </c>
      <c r="E50" t="s">
        <v>133</v>
      </c>
      <c r="F50" t="s">
        <v>121</v>
      </c>
      <c r="G50" t="s">
        <v>122</v>
      </c>
      <c r="H50" t="s">
        <v>60</v>
      </c>
      <c r="I50">
        <f>I49*J50</f>
        <v>2.5773000000000001E-2</v>
      </c>
      <c r="J50">
        <v>7.1000000000000008E-2</v>
      </c>
      <c r="O50">
        <f t="shared" si="14"/>
        <v>2082.1799999999998</v>
      </c>
      <c r="P50">
        <f t="shared" si="15"/>
        <v>2082.1799999999998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39102310</v>
      </c>
      <c r="AB50">
        <f t="shared" si="25"/>
        <v>13287.69</v>
      </c>
      <c r="AC50">
        <f t="shared" si="47"/>
        <v>13287.69</v>
      </c>
      <c r="AD50">
        <f>ROUND((((ET50)-(EU50))+AE50),2)</f>
        <v>0</v>
      </c>
      <c r="AE50">
        <f t="shared" si="52"/>
        <v>0</v>
      </c>
      <c r="AF50">
        <f t="shared" si="52"/>
        <v>0</v>
      </c>
      <c r="AG50">
        <f t="shared" si="26"/>
        <v>0</v>
      </c>
      <c r="AH50">
        <f t="shared" si="53"/>
        <v>0</v>
      </c>
      <c r="AI50">
        <f t="shared" si="53"/>
        <v>0</v>
      </c>
      <c r="AJ50">
        <f t="shared" si="27"/>
        <v>0</v>
      </c>
      <c r="AK50">
        <v>13287.69</v>
      </c>
      <c r="AL50">
        <v>13287.69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95</v>
      </c>
      <c r="AU50">
        <v>47</v>
      </c>
      <c r="AV50">
        <v>1</v>
      </c>
      <c r="AW50">
        <v>1</v>
      </c>
      <c r="AZ50">
        <v>6.08</v>
      </c>
      <c r="BA50">
        <v>1</v>
      </c>
      <c r="BB50">
        <v>1</v>
      </c>
      <c r="BC50">
        <v>6.08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123</v>
      </c>
      <c r="BM50">
        <v>15001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105</v>
      </c>
      <c r="CA50">
        <v>55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28"/>
        <v>2082.1799999999998</v>
      </c>
      <c r="CQ50">
        <f t="shared" si="29"/>
        <v>80789.155200000008</v>
      </c>
      <c r="CR50">
        <f t="shared" si="30"/>
        <v>0</v>
      </c>
      <c r="CS50">
        <f t="shared" si="31"/>
        <v>0</v>
      </c>
      <c r="CT50">
        <f t="shared" si="32"/>
        <v>0</v>
      </c>
      <c r="CU50">
        <f t="shared" si="33"/>
        <v>0</v>
      </c>
      <c r="CV50">
        <f t="shared" si="34"/>
        <v>0</v>
      </c>
      <c r="CW50">
        <f t="shared" si="35"/>
        <v>0</v>
      </c>
      <c r="CX50">
        <f t="shared" si="36"/>
        <v>0</v>
      </c>
      <c r="CY50">
        <f t="shared" si="37"/>
        <v>0</v>
      </c>
      <c r="CZ50">
        <f t="shared" si="38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60</v>
      </c>
      <c r="DW50" t="s">
        <v>60</v>
      </c>
      <c r="DX50">
        <v>1000</v>
      </c>
      <c r="EE50">
        <v>38092841</v>
      </c>
      <c r="EF50">
        <v>2</v>
      </c>
      <c r="EG50" t="s">
        <v>31</v>
      </c>
      <c r="EH50">
        <v>0</v>
      </c>
      <c r="EI50" t="s">
        <v>3</v>
      </c>
      <c r="EJ50">
        <v>1</v>
      </c>
      <c r="EK50">
        <v>15001</v>
      </c>
      <c r="EL50" t="s">
        <v>101</v>
      </c>
      <c r="EM50" t="s">
        <v>102</v>
      </c>
      <c r="EO50" t="s">
        <v>3</v>
      </c>
      <c r="EQ50">
        <v>0</v>
      </c>
      <c r="ER50">
        <v>13287.69</v>
      </c>
      <c r="ES50">
        <v>13287.69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39"/>
        <v>0</v>
      </c>
      <c r="FS50">
        <v>0</v>
      </c>
      <c r="FT50" t="s">
        <v>34</v>
      </c>
      <c r="FU50" t="s">
        <v>35</v>
      </c>
      <c r="FX50">
        <v>94.5</v>
      </c>
      <c r="FY50">
        <v>46.75</v>
      </c>
      <c r="GA50" t="s">
        <v>3</v>
      </c>
      <c r="GD50">
        <v>0</v>
      </c>
      <c r="GF50">
        <v>-1849320982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0"/>
        <v>0</v>
      </c>
      <c r="GM50">
        <f t="shared" si="41"/>
        <v>2082.1799999999998</v>
      </c>
      <c r="GN50">
        <f t="shared" si="42"/>
        <v>2082.1799999999998</v>
      </c>
      <c r="GO50">
        <f t="shared" si="43"/>
        <v>0</v>
      </c>
      <c r="GP50">
        <f t="shared" si="44"/>
        <v>0</v>
      </c>
      <c r="GR50">
        <v>0</v>
      </c>
      <c r="GS50">
        <v>3</v>
      </c>
      <c r="GT50">
        <v>0</v>
      </c>
      <c r="GU50" t="s">
        <v>3</v>
      </c>
      <c r="GV50">
        <f t="shared" si="45"/>
        <v>0</v>
      </c>
      <c r="GW50">
        <v>1</v>
      </c>
      <c r="GX50">
        <f t="shared" si="46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76</v>
      </c>
      <c r="E51" t="s">
        <v>134</v>
      </c>
      <c r="F51" t="s">
        <v>125</v>
      </c>
      <c r="G51" t="s">
        <v>126</v>
      </c>
      <c r="H51" t="s">
        <v>60</v>
      </c>
      <c r="I51">
        <f>I49*J51</f>
        <v>2.5773000000000001E-2</v>
      </c>
      <c r="J51">
        <v>7.1000000000000008E-2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39102310</v>
      </c>
      <c r="AB51">
        <f t="shared" si="25"/>
        <v>0</v>
      </c>
      <c r="AC51">
        <f t="shared" si="47"/>
        <v>0</v>
      </c>
      <c r="AD51">
        <f>ROUND((((ET51)-(EU51))+AE51),2)</f>
        <v>0</v>
      </c>
      <c r="AE51">
        <f t="shared" si="52"/>
        <v>0</v>
      </c>
      <c r="AF51">
        <f t="shared" si="52"/>
        <v>0</v>
      </c>
      <c r="AG51">
        <f t="shared" si="26"/>
        <v>0</v>
      </c>
      <c r="AH51">
        <f t="shared" si="53"/>
        <v>0</v>
      </c>
      <c r="AI51">
        <f t="shared" si="53"/>
        <v>0</v>
      </c>
      <c r="AJ51">
        <f t="shared" si="27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80</v>
      </c>
      <c r="AU51">
        <v>50</v>
      </c>
      <c r="AV51">
        <v>1</v>
      </c>
      <c r="AW51">
        <v>1</v>
      </c>
      <c r="AZ51">
        <v>6.08</v>
      </c>
      <c r="BA51">
        <v>1</v>
      </c>
      <c r="BB51">
        <v>1</v>
      </c>
      <c r="BC51">
        <v>6.08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62001</v>
      </c>
      <c r="BN51">
        <v>0</v>
      </c>
      <c r="BO51" t="s">
        <v>3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80</v>
      </c>
      <c r="CA51">
        <v>50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28"/>
        <v>0</v>
      </c>
      <c r="CQ51">
        <f t="shared" si="29"/>
        <v>0</v>
      </c>
      <c r="CR51">
        <f t="shared" si="30"/>
        <v>0</v>
      </c>
      <c r="CS51">
        <f t="shared" si="31"/>
        <v>0</v>
      </c>
      <c r="CT51">
        <f t="shared" si="32"/>
        <v>0</v>
      </c>
      <c r="CU51">
        <f t="shared" si="33"/>
        <v>0</v>
      </c>
      <c r="CV51">
        <f t="shared" si="34"/>
        <v>0</v>
      </c>
      <c r="CW51">
        <f t="shared" si="35"/>
        <v>0</v>
      </c>
      <c r="CX51">
        <f t="shared" si="36"/>
        <v>0</v>
      </c>
      <c r="CY51">
        <f t="shared" si="37"/>
        <v>0</v>
      </c>
      <c r="CZ51">
        <f t="shared" si="3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60</v>
      </c>
      <c r="DW51" t="s">
        <v>60</v>
      </c>
      <c r="DX51">
        <v>1000</v>
      </c>
      <c r="EE51">
        <v>38092899</v>
      </c>
      <c r="EF51">
        <v>6</v>
      </c>
      <c r="EG51" t="s">
        <v>17</v>
      </c>
      <c r="EH51">
        <v>0</v>
      </c>
      <c r="EI51" t="s">
        <v>3</v>
      </c>
      <c r="EJ51">
        <v>1</v>
      </c>
      <c r="EK51">
        <v>62001</v>
      </c>
      <c r="EL51" t="s">
        <v>131</v>
      </c>
      <c r="EM51" t="s">
        <v>132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39"/>
        <v>0</v>
      </c>
      <c r="FS51">
        <v>0</v>
      </c>
      <c r="FX51">
        <v>80</v>
      </c>
      <c r="FY51">
        <v>50</v>
      </c>
      <c r="GA51" t="s">
        <v>56</v>
      </c>
      <c r="GD51">
        <v>0</v>
      </c>
      <c r="GF51">
        <v>1891904026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0"/>
        <v>0</v>
      </c>
      <c r="GM51">
        <f t="shared" si="41"/>
        <v>0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0</v>
      </c>
      <c r="GS51">
        <v>4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3" spans="1:245" x14ac:dyDescent="0.2">
      <c r="A53" s="2">
        <v>51</v>
      </c>
      <c r="B53" s="2">
        <f>B20</f>
        <v>1</v>
      </c>
      <c r="C53" s="2">
        <f>A20</f>
        <v>3</v>
      </c>
      <c r="D53" s="2">
        <f>ROW(A20)</f>
        <v>20</v>
      </c>
      <c r="E53" s="2"/>
      <c r="F53" s="2" t="str">
        <f>IF(F20&lt;&gt;"",F20,"")</f>
        <v>Новая локальная смета</v>
      </c>
      <c r="G53" s="2" t="str">
        <f>IF(G20&lt;&gt;"",G20,"")</f>
        <v>Новая локальная смета</v>
      </c>
      <c r="H53" s="2">
        <v>0</v>
      </c>
      <c r="I53" s="2"/>
      <c r="J53" s="2"/>
      <c r="K53" s="2"/>
      <c r="L53" s="2"/>
      <c r="M53" s="2"/>
      <c r="N53" s="2"/>
      <c r="O53" s="2">
        <f t="shared" ref="O53:T53" si="54">ROUND(AB53,2)</f>
        <v>102286.84</v>
      </c>
      <c r="P53" s="2">
        <f t="shared" si="54"/>
        <v>89191.61</v>
      </c>
      <c r="Q53" s="2">
        <f t="shared" si="54"/>
        <v>366.57</v>
      </c>
      <c r="R53" s="2">
        <f t="shared" si="54"/>
        <v>117.4</v>
      </c>
      <c r="S53" s="2">
        <f t="shared" si="54"/>
        <v>12728.66</v>
      </c>
      <c r="T53" s="2">
        <f t="shared" si="54"/>
        <v>0</v>
      </c>
      <c r="U53" s="2">
        <f>AH53</f>
        <v>242.25641239999993</v>
      </c>
      <c r="V53" s="2">
        <f>AI53</f>
        <v>1.6600449999999998</v>
      </c>
      <c r="W53" s="2">
        <f>ROUND(AJ53,2)</f>
        <v>0</v>
      </c>
      <c r="X53" s="2">
        <f>ROUND(AK53,2)</f>
        <v>11524.76</v>
      </c>
      <c r="Y53" s="2">
        <f>ROUND(AL53,2)</f>
        <v>7202.59</v>
      </c>
      <c r="Z53" s="2"/>
      <c r="AA53" s="2"/>
      <c r="AB53" s="2">
        <f>ROUND(SUMIF(AA24:AA51,"=39102310",O24:O51),2)</f>
        <v>102286.84</v>
      </c>
      <c r="AC53" s="2">
        <f>ROUND(SUMIF(AA24:AA51,"=39102310",P24:P51),2)</f>
        <v>89191.61</v>
      </c>
      <c r="AD53" s="2">
        <f>ROUND(SUMIF(AA24:AA51,"=39102310",Q24:Q51),2)</f>
        <v>366.57</v>
      </c>
      <c r="AE53" s="2">
        <f>ROUND(SUMIF(AA24:AA51,"=39102310",R24:R51),2)</f>
        <v>117.4</v>
      </c>
      <c r="AF53" s="2">
        <f>ROUND(SUMIF(AA24:AA51,"=39102310",S24:S51),2)</f>
        <v>12728.66</v>
      </c>
      <c r="AG53" s="2">
        <f>ROUND(SUMIF(AA24:AA51,"=39102310",T24:T51),2)</f>
        <v>0</v>
      </c>
      <c r="AH53" s="2">
        <f>SUMIF(AA24:AA51,"=39102310",U24:U51)</f>
        <v>242.25641239999993</v>
      </c>
      <c r="AI53" s="2">
        <f>SUMIF(AA24:AA51,"=39102310",V24:V51)</f>
        <v>1.6600449999999998</v>
      </c>
      <c r="AJ53" s="2">
        <f>ROUND(SUMIF(AA24:AA51,"=39102310",W24:W51),2)</f>
        <v>0</v>
      </c>
      <c r="AK53" s="2">
        <f>ROUND(SUMIF(AA24:AA51,"=39102310",X24:X51),2)</f>
        <v>11524.76</v>
      </c>
      <c r="AL53" s="2">
        <f>ROUND(SUMIF(AA24:AA51,"=39102310",Y24:Y51),2)</f>
        <v>7202.59</v>
      </c>
      <c r="AM53" s="2"/>
      <c r="AN53" s="2"/>
      <c r="AO53" s="2">
        <f t="shared" ref="AO53:BC53" si="55">ROUND(BX53,2)</f>
        <v>0</v>
      </c>
      <c r="AP53" s="2">
        <f t="shared" si="55"/>
        <v>0</v>
      </c>
      <c r="AQ53" s="2">
        <f t="shared" si="55"/>
        <v>0</v>
      </c>
      <c r="AR53" s="2">
        <f t="shared" si="55"/>
        <v>121014.19</v>
      </c>
      <c r="AS53" s="2">
        <f t="shared" si="55"/>
        <v>121014.19</v>
      </c>
      <c r="AT53" s="2">
        <f t="shared" si="55"/>
        <v>0</v>
      </c>
      <c r="AU53" s="2">
        <f t="shared" si="55"/>
        <v>0</v>
      </c>
      <c r="AV53" s="2">
        <f t="shared" si="55"/>
        <v>89191.61</v>
      </c>
      <c r="AW53" s="2">
        <f t="shared" si="55"/>
        <v>89191.61</v>
      </c>
      <c r="AX53" s="2">
        <f t="shared" si="55"/>
        <v>0</v>
      </c>
      <c r="AY53" s="2">
        <f t="shared" si="55"/>
        <v>89191.61</v>
      </c>
      <c r="AZ53" s="2">
        <f t="shared" si="55"/>
        <v>0</v>
      </c>
      <c r="BA53" s="2">
        <f t="shared" si="55"/>
        <v>0</v>
      </c>
      <c r="BB53" s="2">
        <f t="shared" si="55"/>
        <v>0</v>
      </c>
      <c r="BC53" s="2">
        <f t="shared" si="55"/>
        <v>0</v>
      </c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>
        <f>ROUND(SUMIF(AA24:AA51,"=39102310",FQ24:FQ51),2)</f>
        <v>0</v>
      </c>
      <c r="BY53" s="2">
        <f>ROUND(SUMIF(AA24:AA51,"=39102310",FR24:FR51),2)</f>
        <v>0</v>
      </c>
      <c r="BZ53" s="2">
        <f>ROUND(SUMIF(AA24:AA51,"=39102310",GL24:GL51),2)</f>
        <v>0</v>
      </c>
      <c r="CA53" s="2">
        <f>ROUND(SUMIF(AA24:AA51,"=39102310",GM24:GM51),2)</f>
        <v>121014.19</v>
      </c>
      <c r="CB53" s="2">
        <f>ROUND(SUMIF(AA24:AA51,"=39102310",GN24:GN51),2)</f>
        <v>121014.19</v>
      </c>
      <c r="CC53" s="2">
        <f>ROUND(SUMIF(AA24:AA51,"=39102310",GO24:GO51),2)</f>
        <v>0</v>
      </c>
      <c r="CD53" s="2">
        <f>ROUND(SUMIF(AA24:AA51,"=39102310",GP24:GP51),2)</f>
        <v>0</v>
      </c>
      <c r="CE53" s="2">
        <f>AC53-BX53</f>
        <v>89191.61</v>
      </c>
      <c r="CF53" s="2">
        <f>AC53-BY53</f>
        <v>89191.61</v>
      </c>
      <c r="CG53" s="2">
        <f>BX53-BZ53</f>
        <v>0</v>
      </c>
      <c r="CH53" s="2">
        <f>AC53-BX53-BY53+BZ53</f>
        <v>89191.61</v>
      </c>
      <c r="CI53" s="2">
        <f>BY53-BZ53</f>
        <v>0</v>
      </c>
      <c r="CJ53" s="2">
        <f>ROUND(SUMIF(AA24:AA51,"=39102310",GX24:GX51),2)</f>
        <v>0</v>
      </c>
      <c r="CK53" s="2">
        <f>ROUND(SUMIF(AA24:AA51,"=39102310",GY24:GY51),2)</f>
        <v>0</v>
      </c>
      <c r="CL53" s="2">
        <f>ROUND(SUMIF(AA24:AA51,"=39102310",GZ24:GZ51),2)</f>
        <v>0</v>
      </c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>
        <v>0</v>
      </c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201</v>
      </c>
      <c r="F55" s="4">
        <f>ROUND(Source!O53,O55)</f>
        <v>102286.84</v>
      </c>
      <c r="G55" s="4" t="s">
        <v>135</v>
      </c>
      <c r="H55" s="4" t="s">
        <v>136</v>
      </c>
      <c r="I55" s="4"/>
      <c r="J55" s="4"/>
      <c r="K55" s="4">
        <v>201</v>
      </c>
      <c r="L55" s="4">
        <v>1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202</v>
      </c>
      <c r="F56" s="4">
        <f>ROUND(Source!P53,O56)</f>
        <v>89191.61</v>
      </c>
      <c r="G56" s="4" t="s">
        <v>137</v>
      </c>
      <c r="H56" s="4" t="s">
        <v>138</v>
      </c>
      <c r="I56" s="4"/>
      <c r="J56" s="4"/>
      <c r="K56" s="4">
        <v>202</v>
      </c>
      <c r="L56" s="4">
        <v>2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222</v>
      </c>
      <c r="F57" s="4">
        <f>ROUND(Source!AO53,O57)</f>
        <v>0</v>
      </c>
      <c r="G57" s="4" t="s">
        <v>139</v>
      </c>
      <c r="H57" s="4" t="s">
        <v>140</v>
      </c>
      <c r="I57" s="4"/>
      <c r="J57" s="4"/>
      <c r="K57" s="4">
        <v>222</v>
      </c>
      <c r="L57" s="4">
        <v>3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225</v>
      </c>
      <c r="F58" s="4">
        <f>ROUND(Source!AV53,O58)</f>
        <v>89191.61</v>
      </c>
      <c r="G58" s="4" t="s">
        <v>141</v>
      </c>
      <c r="H58" s="4" t="s">
        <v>142</v>
      </c>
      <c r="I58" s="4"/>
      <c r="J58" s="4"/>
      <c r="K58" s="4">
        <v>225</v>
      </c>
      <c r="L58" s="4">
        <v>4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226</v>
      </c>
      <c r="F59" s="4">
        <f>ROUND(Source!AW53,O59)</f>
        <v>89191.61</v>
      </c>
      <c r="G59" s="4" t="s">
        <v>143</v>
      </c>
      <c r="H59" s="4" t="s">
        <v>144</v>
      </c>
      <c r="I59" s="4"/>
      <c r="J59" s="4"/>
      <c r="K59" s="4">
        <v>226</v>
      </c>
      <c r="L59" s="4">
        <v>5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227</v>
      </c>
      <c r="F60" s="4">
        <f>ROUND(Source!AX53,O60)</f>
        <v>0</v>
      </c>
      <c r="G60" s="4" t="s">
        <v>145</v>
      </c>
      <c r="H60" s="4" t="s">
        <v>146</v>
      </c>
      <c r="I60" s="4"/>
      <c r="J60" s="4"/>
      <c r="K60" s="4">
        <v>227</v>
      </c>
      <c r="L60" s="4">
        <v>6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228</v>
      </c>
      <c r="F61" s="4">
        <f>ROUND(Source!AY53,O61)</f>
        <v>89191.61</v>
      </c>
      <c r="G61" s="4" t="s">
        <v>147</v>
      </c>
      <c r="H61" s="4" t="s">
        <v>148</v>
      </c>
      <c r="I61" s="4"/>
      <c r="J61" s="4"/>
      <c r="K61" s="4">
        <v>228</v>
      </c>
      <c r="L61" s="4">
        <v>7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216</v>
      </c>
      <c r="F62" s="4">
        <f>ROUND(Source!AP53,O62)</f>
        <v>0</v>
      </c>
      <c r="G62" s="4" t="s">
        <v>149</v>
      </c>
      <c r="H62" s="4" t="s">
        <v>150</v>
      </c>
      <c r="I62" s="4"/>
      <c r="J62" s="4"/>
      <c r="K62" s="4">
        <v>216</v>
      </c>
      <c r="L62" s="4">
        <v>8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223</v>
      </c>
      <c r="F63" s="4">
        <f>ROUND(Source!AQ53,O63)</f>
        <v>0</v>
      </c>
      <c r="G63" s="4" t="s">
        <v>151</v>
      </c>
      <c r="H63" s="4" t="s">
        <v>152</v>
      </c>
      <c r="I63" s="4"/>
      <c r="J63" s="4"/>
      <c r="K63" s="4">
        <v>223</v>
      </c>
      <c r="L63" s="4">
        <v>9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229</v>
      </c>
      <c r="F64" s="4">
        <f>ROUND(Source!AZ53,O64)</f>
        <v>0</v>
      </c>
      <c r="G64" s="4" t="s">
        <v>153</v>
      </c>
      <c r="H64" s="4" t="s">
        <v>154</v>
      </c>
      <c r="I64" s="4"/>
      <c r="J64" s="4"/>
      <c r="K64" s="4">
        <v>229</v>
      </c>
      <c r="L64" s="4">
        <v>10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203</v>
      </c>
      <c r="F65" s="4">
        <f>ROUND(Source!Q53,O65)</f>
        <v>366.57</v>
      </c>
      <c r="G65" s="4" t="s">
        <v>155</v>
      </c>
      <c r="H65" s="4" t="s">
        <v>156</v>
      </c>
      <c r="I65" s="4"/>
      <c r="J65" s="4"/>
      <c r="K65" s="4">
        <v>203</v>
      </c>
      <c r="L65" s="4">
        <v>11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231</v>
      </c>
      <c r="F66" s="4">
        <f>ROUND(Source!BB53,O66)</f>
        <v>0</v>
      </c>
      <c r="G66" s="4" t="s">
        <v>157</v>
      </c>
      <c r="H66" s="4" t="s">
        <v>158</v>
      </c>
      <c r="I66" s="4"/>
      <c r="J66" s="4"/>
      <c r="K66" s="4">
        <v>231</v>
      </c>
      <c r="L66" s="4">
        <v>12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204</v>
      </c>
      <c r="F67" s="4">
        <f>ROUND(Source!R53,O67)</f>
        <v>117.4</v>
      </c>
      <c r="G67" s="4" t="s">
        <v>159</v>
      </c>
      <c r="H67" s="4" t="s">
        <v>160</v>
      </c>
      <c r="I67" s="4"/>
      <c r="J67" s="4"/>
      <c r="K67" s="4">
        <v>204</v>
      </c>
      <c r="L67" s="4">
        <v>13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205</v>
      </c>
      <c r="F68" s="4">
        <f>ROUND(Source!S53,O68)</f>
        <v>12728.66</v>
      </c>
      <c r="G68" s="4" t="s">
        <v>161</v>
      </c>
      <c r="H68" s="4" t="s">
        <v>162</v>
      </c>
      <c r="I68" s="4"/>
      <c r="J68" s="4"/>
      <c r="K68" s="4">
        <v>205</v>
      </c>
      <c r="L68" s="4">
        <v>14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232</v>
      </c>
      <c r="F69" s="4">
        <f>ROUND(Source!BC53,O69)</f>
        <v>0</v>
      </c>
      <c r="G69" s="4" t="s">
        <v>163</v>
      </c>
      <c r="H69" s="4" t="s">
        <v>164</v>
      </c>
      <c r="I69" s="4"/>
      <c r="J69" s="4"/>
      <c r="K69" s="4">
        <v>232</v>
      </c>
      <c r="L69" s="4">
        <v>15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214</v>
      </c>
      <c r="F70" s="4">
        <f>ROUND(Source!AS53,O70)</f>
        <v>121014.19</v>
      </c>
      <c r="G70" s="4" t="s">
        <v>165</v>
      </c>
      <c r="H70" s="4" t="s">
        <v>166</v>
      </c>
      <c r="I70" s="4"/>
      <c r="J70" s="4"/>
      <c r="K70" s="4">
        <v>214</v>
      </c>
      <c r="L70" s="4">
        <v>16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215</v>
      </c>
      <c r="F71" s="4">
        <f>ROUND(Source!AT53,O71)</f>
        <v>0</v>
      </c>
      <c r="G71" s="4" t="s">
        <v>167</v>
      </c>
      <c r="H71" s="4" t="s">
        <v>168</v>
      </c>
      <c r="I71" s="4"/>
      <c r="J71" s="4"/>
      <c r="K71" s="4">
        <v>215</v>
      </c>
      <c r="L71" s="4">
        <v>17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217</v>
      </c>
      <c r="F72" s="4">
        <f>ROUND(Source!AU53,O72)</f>
        <v>0</v>
      </c>
      <c r="G72" s="4" t="s">
        <v>169</v>
      </c>
      <c r="H72" s="4" t="s">
        <v>170</v>
      </c>
      <c r="I72" s="4"/>
      <c r="J72" s="4"/>
      <c r="K72" s="4">
        <v>217</v>
      </c>
      <c r="L72" s="4">
        <v>18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230</v>
      </c>
      <c r="F73" s="4">
        <f>ROUND(Source!BA53,O73)</f>
        <v>0</v>
      </c>
      <c r="G73" s="4" t="s">
        <v>171</v>
      </c>
      <c r="H73" s="4" t="s">
        <v>172</v>
      </c>
      <c r="I73" s="4"/>
      <c r="J73" s="4"/>
      <c r="K73" s="4">
        <v>230</v>
      </c>
      <c r="L73" s="4">
        <v>19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206</v>
      </c>
      <c r="F74" s="4">
        <f>ROUND(Source!T53,O74)</f>
        <v>0</v>
      </c>
      <c r="G74" s="4" t="s">
        <v>173</v>
      </c>
      <c r="H74" s="4" t="s">
        <v>174</v>
      </c>
      <c r="I74" s="4"/>
      <c r="J74" s="4"/>
      <c r="K74" s="4">
        <v>206</v>
      </c>
      <c r="L74" s="4">
        <v>20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207</v>
      </c>
      <c r="F75" s="4">
        <f>Source!U53</f>
        <v>242.25641239999993</v>
      </c>
      <c r="G75" s="4" t="s">
        <v>175</v>
      </c>
      <c r="H75" s="4" t="s">
        <v>176</v>
      </c>
      <c r="I75" s="4"/>
      <c r="J75" s="4"/>
      <c r="K75" s="4">
        <v>207</v>
      </c>
      <c r="L75" s="4">
        <v>21</v>
      </c>
      <c r="M75" s="4">
        <v>3</v>
      </c>
      <c r="N75" s="4" t="s">
        <v>3</v>
      </c>
      <c r="O75" s="4">
        <v>-1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208</v>
      </c>
      <c r="F76" s="4">
        <f>Source!V53</f>
        <v>1.6600449999999998</v>
      </c>
      <c r="G76" s="4" t="s">
        <v>177</v>
      </c>
      <c r="H76" s="4" t="s">
        <v>178</v>
      </c>
      <c r="I76" s="4"/>
      <c r="J76" s="4"/>
      <c r="K76" s="4">
        <v>208</v>
      </c>
      <c r="L76" s="4">
        <v>22</v>
      </c>
      <c r="M76" s="4">
        <v>3</v>
      </c>
      <c r="N76" s="4" t="s">
        <v>3</v>
      </c>
      <c r="O76" s="4">
        <v>-1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209</v>
      </c>
      <c r="F77" s="4">
        <f>ROUND(Source!W53,O77)</f>
        <v>0</v>
      </c>
      <c r="G77" s="4" t="s">
        <v>179</v>
      </c>
      <c r="H77" s="4" t="s">
        <v>180</v>
      </c>
      <c r="I77" s="4"/>
      <c r="J77" s="4"/>
      <c r="K77" s="4">
        <v>209</v>
      </c>
      <c r="L77" s="4">
        <v>23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210</v>
      </c>
      <c r="F78" s="4">
        <f>ROUND(Source!X53,O78)</f>
        <v>11524.76</v>
      </c>
      <c r="G78" s="4" t="s">
        <v>181</v>
      </c>
      <c r="H78" s="4" t="s">
        <v>182</v>
      </c>
      <c r="I78" s="4"/>
      <c r="J78" s="4"/>
      <c r="K78" s="4">
        <v>210</v>
      </c>
      <c r="L78" s="4">
        <v>24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211</v>
      </c>
      <c r="F79" s="4">
        <f>ROUND(Source!Y53,O79)</f>
        <v>7202.59</v>
      </c>
      <c r="G79" s="4" t="s">
        <v>183</v>
      </c>
      <c r="H79" s="4" t="s">
        <v>184</v>
      </c>
      <c r="I79" s="4"/>
      <c r="J79" s="4"/>
      <c r="K79" s="4">
        <v>211</v>
      </c>
      <c r="L79" s="4">
        <v>25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224</v>
      </c>
      <c r="F80" s="4">
        <f>ROUND(Source!AR53,O80)</f>
        <v>121014.19</v>
      </c>
      <c r="G80" s="4" t="s">
        <v>185</v>
      </c>
      <c r="H80" s="4" t="s">
        <v>186</v>
      </c>
      <c r="I80" s="4"/>
      <c r="J80" s="4"/>
      <c r="K80" s="4">
        <v>224</v>
      </c>
      <c r="L80" s="4">
        <v>26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1</v>
      </c>
      <c r="C81" s="4">
        <v>0</v>
      </c>
      <c r="D81" s="4">
        <v>2</v>
      </c>
      <c r="E81" s="4">
        <v>0</v>
      </c>
      <c r="F81" s="4">
        <f>ROUND(F80,O81)</f>
        <v>121014.19</v>
      </c>
      <c r="G81" s="4" t="s">
        <v>187</v>
      </c>
      <c r="H81" s="4" t="s">
        <v>188</v>
      </c>
      <c r="I81" s="4"/>
      <c r="J81" s="4"/>
      <c r="K81" s="4">
        <v>212</v>
      </c>
      <c r="L81" s="4">
        <v>27</v>
      </c>
      <c r="M81" s="4">
        <v>0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1</v>
      </c>
      <c r="C82" s="4">
        <v>0</v>
      </c>
      <c r="D82" s="4">
        <v>2</v>
      </c>
      <c r="E82" s="4">
        <v>0</v>
      </c>
      <c r="F82" s="4">
        <f>ROUND(F81*0.18,O82)</f>
        <v>21782.55</v>
      </c>
      <c r="G82" s="4" t="s">
        <v>189</v>
      </c>
      <c r="H82" s="4" t="s">
        <v>190</v>
      </c>
      <c r="I82" s="4"/>
      <c r="J82" s="4"/>
      <c r="K82" s="4">
        <v>212</v>
      </c>
      <c r="L82" s="4">
        <v>28</v>
      </c>
      <c r="M82" s="4">
        <v>0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1</v>
      </c>
      <c r="C83" s="4">
        <v>0</v>
      </c>
      <c r="D83" s="4">
        <v>2</v>
      </c>
      <c r="E83" s="4">
        <v>213</v>
      </c>
      <c r="F83" s="4">
        <f>ROUND(F81+F82,O83)</f>
        <v>142796.74</v>
      </c>
      <c r="G83" s="4" t="s">
        <v>191</v>
      </c>
      <c r="H83" s="4" t="s">
        <v>185</v>
      </c>
      <c r="I83" s="4"/>
      <c r="J83" s="4"/>
      <c r="K83" s="4">
        <v>212</v>
      </c>
      <c r="L83" s="4">
        <v>29</v>
      </c>
      <c r="M83" s="4">
        <v>0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5" spans="1:206" x14ac:dyDescent="0.2">
      <c r="A85" s="2">
        <v>51</v>
      </c>
      <c r="B85" s="2">
        <f>B12</f>
        <v>143</v>
      </c>
      <c r="C85" s="2">
        <f>A12</f>
        <v>1</v>
      </c>
      <c r="D85" s="2">
        <f>ROW(A12)</f>
        <v>12</v>
      </c>
      <c r="E85" s="2"/>
      <c r="F85" s="2" t="str">
        <f>IF(F12&lt;&gt;"",F12,"")</f>
        <v>Новый объект_(Копия)</v>
      </c>
      <c r="G85" s="2" t="str">
        <f>IF(G12&lt;&gt;"",G12,"")</f>
        <v>на капитальный ремонт помещения  №37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85" s="2">
        <v>0</v>
      </c>
      <c r="I85" s="2"/>
      <c r="J85" s="2"/>
      <c r="K85" s="2"/>
      <c r="L85" s="2"/>
      <c r="M85" s="2"/>
      <c r="N85" s="2"/>
      <c r="O85" s="2">
        <f t="shared" ref="O85:T85" si="56">ROUND(O53,2)</f>
        <v>102286.84</v>
      </c>
      <c r="P85" s="2">
        <f t="shared" si="56"/>
        <v>89191.61</v>
      </c>
      <c r="Q85" s="2">
        <f t="shared" si="56"/>
        <v>366.57</v>
      </c>
      <c r="R85" s="2">
        <f t="shared" si="56"/>
        <v>117.4</v>
      </c>
      <c r="S85" s="2">
        <f t="shared" si="56"/>
        <v>12728.66</v>
      </c>
      <c r="T85" s="2">
        <f t="shared" si="56"/>
        <v>0</v>
      </c>
      <c r="U85" s="2">
        <f>U53</f>
        <v>242.25641239999993</v>
      </c>
      <c r="V85" s="2">
        <f>V53</f>
        <v>1.6600449999999998</v>
      </c>
      <c r="W85" s="2">
        <f>ROUND(W53,2)</f>
        <v>0</v>
      </c>
      <c r="X85" s="2">
        <f>ROUND(X53,2)</f>
        <v>11524.76</v>
      </c>
      <c r="Y85" s="2">
        <f>ROUND(Y53,2)</f>
        <v>7202.59</v>
      </c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>
        <f t="shared" ref="AO85:BC85" si="57">ROUND(AO53,2)</f>
        <v>0</v>
      </c>
      <c r="AP85" s="2">
        <f t="shared" si="57"/>
        <v>0</v>
      </c>
      <c r="AQ85" s="2">
        <f t="shared" si="57"/>
        <v>0</v>
      </c>
      <c r="AR85" s="2">
        <f t="shared" si="57"/>
        <v>121014.19</v>
      </c>
      <c r="AS85" s="2">
        <f t="shared" si="57"/>
        <v>121014.19</v>
      </c>
      <c r="AT85" s="2">
        <f t="shared" si="57"/>
        <v>0</v>
      </c>
      <c r="AU85" s="2">
        <f t="shared" si="57"/>
        <v>0</v>
      </c>
      <c r="AV85" s="2">
        <f t="shared" si="57"/>
        <v>89191.61</v>
      </c>
      <c r="AW85" s="2">
        <f t="shared" si="57"/>
        <v>89191.61</v>
      </c>
      <c r="AX85" s="2">
        <f t="shared" si="57"/>
        <v>0</v>
      </c>
      <c r="AY85" s="2">
        <f t="shared" si="57"/>
        <v>89191.61</v>
      </c>
      <c r="AZ85" s="2">
        <f t="shared" si="57"/>
        <v>0</v>
      </c>
      <c r="BA85" s="2">
        <f t="shared" si="57"/>
        <v>0</v>
      </c>
      <c r="BB85" s="2">
        <f t="shared" si="57"/>
        <v>0</v>
      </c>
      <c r="BC85" s="2">
        <f t="shared" si="57"/>
        <v>0</v>
      </c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>
        <v>0</v>
      </c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201</v>
      </c>
      <c r="F87" s="4">
        <f>ROUND(Source!O85,O87)</f>
        <v>102286.84</v>
      </c>
      <c r="G87" s="4" t="s">
        <v>135</v>
      </c>
      <c r="H87" s="4" t="s">
        <v>136</v>
      </c>
      <c r="I87" s="4"/>
      <c r="J87" s="4"/>
      <c r="K87" s="4">
        <v>201</v>
      </c>
      <c r="L87" s="4">
        <v>1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202</v>
      </c>
      <c r="F88" s="4">
        <f>ROUND(Source!P85,O88)</f>
        <v>89191.61</v>
      </c>
      <c r="G88" s="4" t="s">
        <v>137</v>
      </c>
      <c r="H88" s="4" t="s">
        <v>138</v>
      </c>
      <c r="I88" s="4"/>
      <c r="J88" s="4"/>
      <c r="K88" s="4">
        <v>202</v>
      </c>
      <c r="L88" s="4">
        <v>2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222</v>
      </c>
      <c r="F89" s="4">
        <f>ROUND(Source!AO85,O89)</f>
        <v>0</v>
      </c>
      <c r="G89" s="4" t="s">
        <v>139</v>
      </c>
      <c r="H89" s="4" t="s">
        <v>140</v>
      </c>
      <c r="I89" s="4"/>
      <c r="J89" s="4"/>
      <c r="K89" s="4">
        <v>222</v>
      </c>
      <c r="L89" s="4">
        <v>3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225</v>
      </c>
      <c r="F90" s="4">
        <f>ROUND(Source!AV85,O90)</f>
        <v>89191.61</v>
      </c>
      <c r="G90" s="4" t="s">
        <v>141</v>
      </c>
      <c r="H90" s="4" t="s">
        <v>142</v>
      </c>
      <c r="I90" s="4"/>
      <c r="J90" s="4"/>
      <c r="K90" s="4">
        <v>225</v>
      </c>
      <c r="L90" s="4">
        <v>4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226</v>
      </c>
      <c r="F91" s="4">
        <f>ROUND(Source!AW85,O91)</f>
        <v>89191.61</v>
      </c>
      <c r="G91" s="4" t="s">
        <v>143</v>
      </c>
      <c r="H91" s="4" t="s">
        <v>144</v>
      </c>
      <c r="I91" s="4"/>
      <c r="J91" s="4"/>
      <c r="K91" s="4">
        <v>226</v>
      </c>
      <c r="L91" s="4">
        <v>5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227</v>
      </c>
      <c r="F92" s="4">
        <f>ROUND(Source!AX85,O92)</f>
        <v>0</v>
      </c>
      <c r="G92" s="4" t="s">
        <v>145</v>
      </c>
      <c r="H92" s="4" t="s">
        <v>146</v>
      </c>
      <c r="I92" s="4"/>
      <c r="J92" s="4"/>
      <c r="K92" s="4">
        <v>227</v>
      </c>
      <c r="L92" s="4">
        <v>6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228</v>
      </c>
      <c r="F93" s="4">
        <f>ROUND(Source!AY85,O93)</f>
        <v>89191.61</v>
      </c>
      <c r="G93" s="4" t="s">
        <v>147</v>
      </c>
      <c r="H93" s="4" t="s">
        <v>148</v>
      </c>
      <c r="I93" s="4"/>
      <c r="J93" s="4"/>
      <c r="K93" s="4">
        <v>228</v>
      </c>
      <c r="L93" s="4">
        <v>7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216</v>
      </c>
      <c r="F94" s="4">
        <f>ROUND(Source!AP85,O94)</f>
        <v>0</v>
      </c>
      <c r="G94" s="4" t="s">
        <v>149</v>
      </c>
      <c r="H94" s="4" t="s">
        <v>150</v>
      </c>
      <c r="I94" s="4"/>
      <c r="J94" s="4"/>
      <c r="K94" s="4">
        <v>216</v>
      </c>
      <c r="L94" s="4">
        <v>8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223</v>
      </c>
      <c r="F95" s="4">
        <f>ROUND(Source!AQ85,O95)</f>
        <v>0</v>
      </c>
      <c r="G95" s="4" t="s">
        <v>151</v>
      </c>
      <c r="H95" s="4" t="s">
        <v>152</v>
      </c>
      <c r="I95" s="4"/>
      <c r="J95" s="4"/>
      <c r="K95" s="4">
        <v>223</v>
      </c>
      <c r="L95" s="4">
        <v>9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229</v>
      </c>
      <c r="F96" s="4">
        <f>ROUND(Source!AZ85,O96)</f>
        <v>0</v>
      </c>
      <c r="G96" s="4" t="s">
        <v>153</v>
      </c>
      <c r="H96" s="4" t="s">
        <v>154</v>
      </c>
      <c r="I96" s="4"/>
      <c r="J96" s="4"/>
      <c r="K96" s="4">
        <v>229</v>
      </c>
      <c r="L96" s="4">
        <v>10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203</v>
      </c>
      <c r="F97" s="4">
        <f>ROUND(Source!Q85,O97)</f>
        <v>366.57</v>
      </c>
      <c r="G97" s="4" t="s">
        <v>155</v>
      </c>
      <c r="H97" s="4" t="s">
        <v>156</v>
      </c>
      <c r="I97" s="4"/>
      <c r="J97" s="4"/>
      <c r="K97" s="4">
        <v>203</v>
      </c>
      <c r="L97" s="4">
        <v>11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231</v>
      </c>
      <c r="F98" s="4">
        <f>ROUND(Source!BB85,O98)</f>
        <v>0</v>
      </c>
      <c r="G98" s="4" t="s">
        <v>157</v>
      </c>
      <c r="H98" s="4" t="s">
        <v>158</v>
      </c>
      <c r="I98" s="4"/>
      <c r="J98" s="4"/>
      <c r="K98" s="4">
        <v>231</v>
      </c>
      <c r="L98" s="4">
        <v>12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204</v>
      </c>
      <c r="F99" s="4">
        <f>ROUND(Source!R85,O99)</f>
        <v>117.4</v>
      </c>
      <c r="G99" s="4" t="s">
        <v>159</v>
      </c>
      <c r="H99" s="4" t="s">
        <v>160</v>
      </c>
      <c r="I99" s="4"/>
      <c r="J99" s="4"/>
      <c r="K99" s="4">
        <v>204</v>
      </c>
      <c r="L99" s="4">
        <v>13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205</v>
      </c>
      <c r="F100" s="4">
        <f>ROUND(Source!S85,O100)</f>
        <v>12728.66</v>
      </c>
      <c r="G100" s="4" t="s">
        <v>161</v>
      </c>
      <c r="H100" s="4" t="s">
        <v>162</v>
      </c>
      <c r="I100" s="4"/>
      <c r="J100" s="4"/>
      <c r="K100" s="4">
        <v>205</v>
      </c>
      <c r="L100" s="4">
        <v>14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232</v>
      </c>
      <c r="F101" s="4">
        <f>ROUND(Source!BC85,O101)</f>
        <v>0</v>
      </c>
      <c r="G101" s="4" t="s">
        <v>163</v>
      </c>
      <c r="H101" s="4" t="s">
        <v>164</v>
      </c>
      <c r="I101" s="4"/>
      <c r="J101" s="4"/>
      <c r="K101" s="4">
        <v>232</v>
      </c>
      <c r="L101" s="4">
        <v>15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214</v>
      </c>
      <c r="F102" s="4">
        <f>ROUND(Source!AS85,O102)</f>
        <v>121014.19</v>
      </c>
      <c r="G102" s="4" t="s">
        <v>165</v>
      </c>
      <c r="H102" s="4" t="s">
        <v>166</v>
      </c>
      <c r="I102" s="4"/>
      <c r="J102" s="4"/>
      <c r="K102" s="4">
        <v>214</v>
      </c>
      <c r="L102" s="4">
        <v>16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215</v>
      </c>
      <c r="F103" s="4">
        <f>ROUND(Source!AT85,O103)</f>
        <v>0</v>
      </c>
      <c r="G103" s="4" t="s">
        <v>167</v>
      </c>
      <c r="H103" s="4" t="s">
        <v>168</v>
      </c>
      <c r="I103" s="4"/>
      <c r="J103" s="4"/>
      <c r="K103" s="4">
        <v>215</v>
      </c>
      <c r="L103" s="4">
        <v>17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217</v>
      </c>
      <c r="F104" s="4">
        <f>ROUND(Source!AU85,O104)</f>
        <v>0</v>
      </c>
      <c r="G104" s="4" t="s">
        <v>169</v>
      </c>
      <c r="H104" s="4" t="s">
        <v>170</v>
      </c>
      <c r="I104" s="4"/>
      <c r="J104" s="4"/>
      <c r="K104" s="4">
        <v>217</v>
      </c>
      <c r="L104" s="4">
        <v>18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230</v>
      </c>
      <c r="F105" s="4">
        <f>ROUND(Source!BA85,O105)</f>
        <v>0</v>
      </c>
      <c r="G105" s="4" t="s">
        <v>171</v>
      </c>
      <c r="H105" s="4" t="s">
        <v>172</v>
      </c>
      <c r="I105" s="4"/>
      <c r="J105" s="4"/>
      <c r="K105" s="4">
        <v>230</v>
      </c>
      <c r="L105" s="4">
        <v>19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206</v>
      </c>
      <c r="F106" s="4">
        <f>ROUND(Source!T85,O106)</f>
        <v>0</v>
      </c>
      <c r="G106" s="4" t="s">
        <v>173</v>
      </c>
      <c r="H106" s="4" t="s">
        <v>174</v>
      </c>
      <c r="I106" s="4"/>
      <c r="J106" s="4"/>
      <c r="K106" s="4">
        <v>206</v>
      </c>
      <c r="L106" s="4">
        <v>20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207</v>
      </c>
      <c r="F107" s="4">
        <f>Source!U85</f>
        <v>242.25641239999993</v>
      </c>
      <c r="G107" s="4" t="s">
        <v>175</v>
      </c>
      <c r="H107" s="4" t="s">
        <v>176</v>
      </c>
      <c r="I107" s="4"/>
      <c r="J107" s="4"/>
      <c r="K107" s="4">
        <v>207</v>
      </c>
      <c r="L107" s="4">
        <v>21</v>
      </c>
      <c r="M107" s="4">
        <v>3</v>
      </c>
      <c r="N107" s="4" t="s">
        <v>3</v>
      </c>
      <c r="O107" s="4">
        <v>-1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208</v>
      </c>
      <c r="F108" s="4">
        <f>Source!V85</f>
        <v>1.6600449999999998</v>
      </c>
      <c r="G108" s="4" t="s">
        <v>177</v>
      </c>
      <c r="H108" s="4" t="s">
        <v>178</v>
      </c>
      <c r="I108" s="4"/>
      <c r="J108" s="4"/>
      <c r="K108" s="4">
        <v>208</v>
      </c>
      <c r="L108" s="4">
        <v>22</v>
      </c>
      <c r="M108" s="4">
        <v>3</v>
      </c>
      <c r="N108" s="4" t="s">
        <v>3</v>
      </c>
      <c r="O108" s="4">
        <v>-1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209</v>
      </c>
      <c r="F109" s="4">
        <f>ROUND(Source!W85,O109)</f>
        <v>0</v>
      </c>
      <c r="G109" s="4" t="s">
        <v>179</v>
      </c>
      <c r="H109" s="4" t="s">
        <v>180</v>
      </c>
      <c r="I109" s="4"/>
      <c r="J109" s="4"/>
      <c r="K109" s="4">
        <v>209</v>
      </c>
      <c r="L109" s="4">
        <v>23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210</v>
      </c>
      <c r="F110" s="4">
        <f>ROUND(Source!X85,O110)</f>
        <v>11524.76</v>
      </c>
      <c r="G110" s="4" t="s">
        <v>181</v>
      </c>
      <c r="H110" s="4" t="s">
        <v>182</v>
      </c>
      <c r="I110" s="4"/>
      <c r="J110" s="4"/>
      <c r="K110" s="4">
        <v>210</v>
      </c>
      <c r="L110" s="4">
        <v>24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211</v>
      </c>
      <c r="F111" s="4">
        <f>ROUND(Source!Y85,O111)</f>
        <v>7202.59</v>
      </c>
      <c r="G111" s="4" t="s">
        <v>183</v>
      </c>
      <c r="H111" s="4" t="s">
        <v>184</v>
      </c>
      <c r="I111" s="4"/>
      <c r="J111" s="4"/>
      <c r="K111" s="4">
        <v>211</v>
      </c>
      <c r="L111" s="4">
        <v>25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224</v>
      </c>
      <c r="F112" s="4">
        <f>ROUND(Source!AR85,O112)</f>
        <v>121014.19</v>
      </c>
      <c r="G112" s="4" t="s">
        <v>185</v>
      </c>
      <c r="H112" s="4" t="s">
        <v>186</v>
      </c>
      <c r="I112" s="4"/>
      <c r="J112" s="4"/>
      <c r="K112" s="4">
        <v>224</v>
      </c>
      <c r="L112" s="4">
        <v>26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5" spans="1:14" x14ac:dyDescent="0.2">
      <c r="A115">
        <v>70</v>
      </c>
      <c r="B115">
        <v>1</v>
      </c>
      <c r="D115">
        <v>1</v>
      </c>
      <c r="E115" t="s">
        <v>192</v>
      </c>
      <c r="F115" t="s">
        <v>193</v>
      </c>
      <c r="G115">
        <v>0</v>
      </c>
      <c r="H115">
        <v>0</v>
      </c>
      <c r="I115" t="s">
        <v>3</v>
      </c>
      <c r="J115">
        <v>1</v>
      </c>
      <c r="K115">
        <v>0</v>
      </c>
      <c r="L115" t="s">
        <v>3</v>
      </c>
      <c r="M115" t="s">
        <v>3</v>
      </c>
      <c r="N115">
        <v>0</v>
      </c>
    </row>
    <row r="116" spans="1:14" x14ac:dyDescent="0.2">
      <c r="A116">
        <v>70</v>
      </c>
      <c r="B116">
        <v>1</v>
      </c>
      <c r="D116">
        <v>2</v>
      </c>
      <c r="E116" t="s">
        <v>194</v>
      </c>
      <c r="F116" t="s">
        <v>195</v>
      </c>
      <c r="G116">
        <v>1</v>
      </c>
      <c r="H116">
        <v>0</v>
      </c>
      <c r="I116" t="s">
        <v>3</v>
      </c>
      <c r="J116">
        <v>1</v>
      </c>
      <c r="K116">
        <v>0</v>
      </c>
      <c r="L116" t="s">
        <v>3</v>
      </c>
      <c r="M116" t="s">
        <v>3</v>
      </c>
      <c r="N116">
        <v>0</v>
      </c>
    </row>
    <row r="117" spans="1:14" x14ac:dyDescent="0.2">
      <c r="A117">
        <v>70</v>
      </c>
      <c r="B117">
        <v>1</v>
      </c>
      <c r="D117">
        <v>3</v>
      </c>
      <c r="E117" t="s">
        <v>196</v>
      </c>
      <c r="F117" t="s">
        <v>197</v>
      </c>
      <c r="G117">
        <v>0</v>
      </c>
      <c r="H117">
        <v>0</v>
      </c>
      <c r="I117" t="s">
        <v>3</v>
      </c>
      <c r="J117">
        <v>1</v>
      </c>
      <c r="K117">
        <v>0</v>
      </c>
      <c r="L117" t="s">
        <v>3</v>
      </c>
      <c r="M117" t="s">
        <v>3</v>
      </c>
      <c r="N117">
        <v>0</v>
      </c>
    </row>
    <row r="118" spans="1:14" x14ac:dyDescent="0.2">
      <c r="A118">
        <v>70</v>
      </c>
      <c r="B118">
        <v>1</v>
      </c>
      <c r="D118">
        <v>4</v>
      </c>
      <c r="E118" t="s">
        <v>198</v>
      </c>
      <c r="F118" t="s">
        <v>199</v>
      </c>
      <c r="G118">
        <v>0</v>
      </c>
      <c r="H118">
        <v>0</v>
      </c>
      <c r="I118" t="s">
        <v>200</v>
      </c>
      <c r="J118">
        <v>0</v>
      </c>
      <c r="K118">
        <v>0</v>
      </c>
      <c r="L118" t="s">
        <v>3</v>
      </c>
      <c r="M118" t="s">
        <v>3</v>
      </c>
      <c r="N118">
        <v>0</v>
      </c>
    </row>
    <row r="119" spans="1:14" x14ac:dyDescent="0.2">
      <c r="A119">
        <v>70</v>
      </c>
      <c r="B119">
        <v>1</v>
      </c>
      <c r="D119">
        <v>5</v>
      </c>
      <c r="E119" t="s">
        <v>201</v>
      </c>
      <c r="F119" t="s">
        <v>202</v>
      </c>
      <c r="G119">
        <v>0</v>
      </c>
      <c r="H119">
        <v>0</v>
      </c>
      <c r="I119" t="s">
        <v>203</v>
      </c>
      <c r="J119">
        <v>0</v>
      </c>
      <c r="K119">
        <v>0</v>
      </c>
      <c r="L119" t="s">
        <v>3</v>
      </c>
      <c r="M119" t="s">
        <v>3</v>
      </c>
      <c r="N119">
        <v>0</v>
      </c>
    </row>
    <row r="120" spans="1:14" x14ac:dyDescent="0.2">
      <c r="A120">
        <v>70</v>
      </c>
      <c r="B120">
        <v>1</v>
      </c>
      <c r="D120">
        <v>6</v>
      </c>
      <c r="E120" t="s">
        <v>204</v>
      </c>
      <c r="F120" t="s">
        <v>205</v>
      </c>
      <c r="G120">
        <v>0</v>
      </c>
      <c r="H120">
        <v>0</v>
      </c>
      <c r="I120" t="s">
        <v>206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14" x14ac:dyDescent="0.2">
      <c r="A121">
        <v>70</v>
      </c>
      <c r="B121">
        <v>1</v>
      </c>
      <c r="D121">
        <v>7</v>
      </c>
      <c r="E121" t="s">
        <v>207</v>
      </c>
      <c r="F121" t="s">
        <v>208</v>
      </c>
      <c r="G121">
        <v>0</v>
      </c>
      <c r="H121">
        <v>0</v>
      </c>
      <c r="I121" t="s">
        <v>3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14" x14ac:dyDescent="0.2">
      <c r="A122">
        <v>70</v>
      </c>
      <c r="B122">
        <v>1</v>
      </c>
      <c r="D122">
        <v>8</v>
      </c>
      <c r="E122" t="s">
        <v>209</v>
      </c>
      <c r="F122" t="s">
        <v>210</v>
      </c>
      <c r="G122">
        <v>0</v>
      </c>
      <c r="H122">
        <v>0</v>
      </c>
      <c r="I122" t="s">
        <v>211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14" x14ac:dyDescent="0.2">
      <c r="A123">
        <v>70</v>
      </c>
      <c r="B123">
        <v>1</v>
      </c>
      <c r="D123">
        <v>9</v>
      </c>
      <c r="E123" t="s">
        <v>212</v>
      </c>
      <c r="F123" t="s">
        <v>213</v>
      </c>
      <c r="G123">
        <v>0</v>
      </c>
      <c r="H123">
        <v>0</v>
      </c>
      <c r="I123" t="s">
        <v>214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14" x14ac:dyDescent="0.2">
      <c r="A124">
        <v>70</v>
      </c>
      <c r="B124">
        <v>1</v>
      </c>
      <c r="D124">
        <v>10</v>
      </c>
      <c r="E124" t="s">
        <v>215</v>
      </c>
      <c r="F124" t="s">
        <v>216</v>
      </c>
      <c r="G124">
        <v>0</v>
      </c>
      <c r="H124">
        <v>0</v>
      </c>
      <c r="I124" t="s">
        <v>217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14" x14ac:dyDescent="0.2">
      <c r="A125">
        <v>70</v>
      </c>
      <c r="B125">
        <v>1</v>
      </c>
      <c r="D125">
        <v>11</v>
      </c>
      <c r="E125" t="s">
        <v>218</v>
      </c>
      <c r="F125" t="s">
        <v>219</v>
      </c>
      <c r="G125">
        <v>0</v>
      </c>
      <c r="H125">
        <v>0</v>
      </c>
      <c r="I125" t="s">
        <v>220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14" x14ac:dyDescent="0.2">
      <c r="A126">
        <v>70</v>
      </c>
      <c r="B126">
        <v>1</v>
      </c>
      <c r="D126">
        <v>12</v>
      </c>
      <c r="E126" t="s">
        <v>221</v>
      </c>
      <c r="F126" t="s">
        <v>222</v>
      </c>
      <c r="G126">
        <v>0</v>
      </c>
      <c r="H126">
        <v>0</v>
      </c>
      <c r="I126" t="s">
        <v>3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14" x14ac:dyDescent="0.2">
      <c r="A127">
        <v>70</v>
      </c>
      <c r="B127">
        <v>1</v>
      </c>
      <c r="D127">
        <v>1</v>
      </c>
      <c r="E127" t="s">
        <v>223</v>
      </c>
      <c r="F127" t="s">
        <v>224</v>
      </c>
      <c r="G127">
        <v>0.9</v>
      </c>
      <c r="H127">
        <v>1</v>
      </c>
      <c r="I127" t="s">
        <v>225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14" x14ac:dyDescent="0.2">
      <c r="A128">
        <v>70</v>
      </c>
      <c r="B128">
        <v>1</v>
      </c>
      <c r="D128">
        <v>2</v>
      </c>
      <c r="E128" t="s">
        <v>226</v>
      </c>
      <c r="F128" t="s">
        <v>227</v>
      </c>
      <c r="G128">
        <v>0.85</v>
      </c>
      <c r="H128">
        <v>1</v>
      </c>
      <c r="I128" t="s">
        <v>228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34" x14ac:dyDescent="0.2">
      <c r="A129">
        <v>70</v>
      </c>
      <c r="B129">
        <v>1</v>
      </c>
      <c r="D129">
        <v>3</v>
      </c>
      <c r="E129" t="s">
        <v>229</v>
      </c>
      <c r="F129" t="s">
        <v>230</v>
      </c>
      <c r="G129">
        <v>1</v>
      </c>
      <c r="H129">
        <v>0.85</v>
      </c>
      <c r="I129" t="s">
        <v>231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34" x14ac:dyDescent="0.2">
      <c r="A130">
        <v>70</v>
      </c>
      <c r="B130">
        <v>1</v>
      </c>
      <c r="D130">
        <v>4</v>
      </c>
      <c r="E130" t="s">
        <v>232</v>
      </c>
      <c r="F130" t="s">
        <v>233</v>
      </c>
      <c r="G130">
        <v>1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34" x14ac:dyDescent="0.2">
      <c r="A131">
        <v>70</v>
      </c>
      <c r="B131">
        <v>1</v>
      </c>
      <c r="D131">
        <v>5</v>
      </c>
      <c r="E131" t="s">
        <v>234</v>
      </c>
      <c r="F131" t="s">
        <v>235</v>
      </c>
      <c r="G131">
        <v>1</v>
      </c>
      <c r="H131">
        <v>0.8</v>
      </c>
      <c r="I131" t="s">
        <v>236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34" x14ac:dyDescent="0.2">
      <c r="A132">
        <v>70</v>
      </c>
      <c r="B132">
        <v>1</v>
      </c>
      <c r="D132">
        <v>6</v>
      </c>
      <c r="E132" t="s">
        <v>237</v>
      </c>
      <c r="F132" t="s">
        <v>238</v>
      </c>
      <c r="G132">
        <v>0.85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34" x14ac:dyDescent="0.2">
      <c r="A133">
        <v>70</v>
      </c>
      <c r="B133">
        <v>1</v>
      </c>
      <c r="D133">
        <v>7</v>
      </c>
      <c r="E133" t="s">
        <v>239</v>
      </c>
      <c r="F133" t="s">
        <v>240</v>
      </c>
      <c r="G133">
        <v>0.8</v>
      </c>
      <c r="H133">
        <v>0</v>
      </c>
      <c r="I133" t="s">
        <v>3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34" x14ac:dyDescent="0.2">
      <c r="A134">
        <v>70</v>
      </c>
      <c r="B134">
        <v>1</v>
      </c>
      <c r="D134">
        <v>8</v>
      </c>
      <c r="E134" t="s">
        <v>241</v>
      </c>
      <c r="F134" t="s">
        <v>242</v>
      </c>
      <c r="G134">
        <v>0.94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34" x14ac:dyDescent="0.2">
      <c r="A135">
        <v>70</v>
      </c>
      <c r="B135">
        <v>1</v>
      </c>
      <c r="D135">
        <v>9</v>
      </c>
      <c r="E135" t="s">
        <v>243</v>
      </c>
      <c r="F135" t="s">
        <v>244</v>
      </c>
      <c r="G135">
        <v>0.9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34" x14ac:dyDescent="0.2">
      <c r="A136">
        <v>70</v>
      </c>
      <c r="B136">
        <v>1</v>
      </c>
      <c r="D136">
        <v>10</v>
      </c>
      <c r="E136" t="s">
        <v>245</v>
      </c>
      <c r="F136" t="s">
        <v>246</v>
      </c>
      <c r="G136">
        <v>0.6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34" x14ac:dyDescent="0.2">
      <c r="A137">
        <v>70</v>
      </c>
      <c r="B137">
        <v>1</v>
      </c>
      <c r="D137">
        <v>11</v>
      </c>
      <c r="E137" t="s">
        <v>247</v>
      </c>
      <c r="F137" t="s">
        <v>248</v>
      </c>
      <c r="G137">
        <v>1.2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34" x14ac:dyDescent="0.2">
      <c r="A138">
        <v>70</v>
      </c>
      <c r="B138">
        <v>1</v>
      </c>
      <c r="D138">
        <v>12</v>
      </c>
      <c r="E138" t="s">
        <v>249</v>
      </c>
      <c r="F138" t="s">
        <v>250</v>
      </c>
      <c r="G138">
        <v>0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34" x14ac:dyDescent="0.2">
      <c r="A139">
        <v>70</v>
      </c>
      <c r="B139">
        <v>1</v>
      </c>
      <c r="D139">
        <v>13</v>
      </c>
      <c r="E139" t="s">
        <v>251</v>
      </c>
      <c r="F139" t="s">
        <v>252</v>
      </c>
      <c r="G139">
        <v>0.94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1" spans="1:34" x14ac:dyDescent="0.2">
      <c r="A141">
        <v>-1</v>
      </c>
    </row>
    <row r="143" spans="1:34" x14ac:dyDescent="0.2">
      <c r="A143" s="3">
        <v>75</v>
      </c>
      <c r="B143" s="3" t="s">
        <v>253</v>
      </c>
      <c r="C143" s="3">
        <v>2017</v>
      </c>
      <c r="D143" s="3">
        <v>4</v>
      </c>
      <c r="E143" s="3">
        <v>0</v>
      </c>
      <c r="F143" s="3">
        <v>0</v>
      </c>
      <c r="G143" s="3">
        <v>0</v>
      </c>
      <c r="H143" s="3">
        <v>1</v>
      </c>
      <c r="I143" s="3">
        <v>0</v>
      </c>
      <c r="J143" s="3">
        <v>1</v>
      </c>
      <c r="K143" s="3">
        <v>0</v>
      </c>
      <c r="L143" s="3">
        <v>0</v>
      </c>
      <c r="M143" s="3">
        <v>0</v>
      </c>
      <c r="N143" s="3">
        <v>39102310</v>
      </c>
      <c r="O143" s="3">
        <v>1</v>
      </c>
    </row>
    <row r="144" spans="1:34" x14ac:dyDescent="0.2">
      <c r="A144" s="5">
        <v>3</v>
      </c>
      <c r="B144" s="5" t="s">
        <v>254</v>
      </c>
      <c r="C144" s="5">
        <v>6.08</v>
      </c>
      <c r="D144" s="5">
        <v>1</v>
      </c>
      <c r="E144" s="5">
        <v>1</v>
      </c>
      <c r="F144" s="5">
        <v>1</v>
      </c>
      <c r="G144" s="5">
        <v>1</v>
      </c>
      <c r="H144" s="5">
        <v>1</v>
      </c>
      <c r="I144" s="5">
        <v>1</v>
      </c>
      <c r="J144" s="5">
        <v>1</v>
      </c>
      <c r="K144" s="5">
        <v>1</v>
      </c>
      <c r="L144" s="5">
        <v>1</v>
      </c>
      <c r="M144" s="5">
        <v>6.08</v>
      </c>
      <c r="N144" s="5">
        <v>1</v>
      </c>
      <c r="O144" s="5">
        <v>1</v>
      </c>
      <c r="P144" s="5">
        <v>1</v>
      </c>
      <c r="Q144" s="5">
        <v>1</v>
      </c>
      <c r="R144" s="5">
        <v>1</v>
      </c>
      <c r="S144" s="5" t="s">
        <v>3</v>
      </c>
      <c r="T144" s="5" t="s">
        <v>3</v>
      </c>
      <c r="U144" s="5" t="s">
        <v>3</v>
      </c>
      <c r="V144" s="5" t="s">
        <v>3</v>
      </c>
      <c r="W144" s="5" t="s">
        <v>3</v>
      </c>
      <c r="X144" s="5" t="s">
        <v>3</v>
      </c>
      <c r="Y144" s="5" t="s">
        <v>3</v>
      </c>
      <c r="Z144" s="5" t="s">
        <v>3</v>
      </c>
      <c r="AA144" s="5" t="s">
        <v>3</v>
      </c>
      <c r="AB144" s="5" t="s">
        <v>3</v>
      </c>
      <c r="AC144" s="5" t="s">
        <v>3</v>
      </c>
      <c r="AD144" s="5" t="s">
        <v>3</v>
      </c>
      <c r="AE144" s="5" t="s">
        <v>3</v>
      </c>
      <c r="AF144" s="5" t="s">
        <v>3</v>
      </c>
      <c r="AG144" s="5" t="s">
        <v>3</v>
      </c>
      <c r="AH144" s="5" t="s">
        <v>3</v>
      </c>
    </row>
    <row r="148" spans="1:5" x14ac:dyDescent="0.2">
      <c r="A148">
        <v>65</v>
      </c>
      <c r="C148">
        <v>1</v>
      </c>
      <c r="D148">
        <v>0</v>
      </c>
      <c r="E14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255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39102310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(Source!F70)/1000</f>
        <v>121.01419</v>
      </c>
      <c r="F16" s="7">
        <f>(Source!F71)/1000</f>
        <v>0</v>
      </c>
      <c r="G16" s="7">
        <f>(Source!F62)/1000</f>
        <v>0</v>
      </c>
      <c r="H16" s="7">
        <f>(Source!F72)/1000+(Source!F73)/1000</f>
        <v>0</v>
      </c>
      <c r="I16" s="7">
        <f>E16+F16+G16+H16</f>
        <v>121.01419</v>
      </c>
      <c r="J16" s="7">
        <f>(Source!F68)/1000</f>
        <v>12.72866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102286.84</v>
      </c>
      <c r="AU16" s="7">
        <v>89191.61</v>
      </c>
      <c r="AV16" s="7">
        <v>0</v>
      </c>
      <c r="AW16" s="7">
        <v>0</v>
      </c>
      <c r="AX16" s="7">
        <v>0</v>
      </c>
      <c r="AY16" s="7">
        <v>366.57</v>
      </c>
      <c r="AZ16" s="7">
        <v>117.4</v>
      </c>
      <c r="BA16" s="7">
        <v>12728.66</v>
      </c>
      <c r="BB16" s="7">
        <v>121014.19</v>
      </c>
      <c r="BC16" s="7">
        <v>0</v>
      </c>
      <c r="BD16" s="7">
        <v>0</v>
      </c>
      <c r="BE16" s="7">
        <v>0</v>
      </c>
      <c r="BF16" s="7">
        <v>242.25641239999999</v>
      </c>
      <c r="BG16" s="7">
        <v>1.6600449999999998</v>
      </c>
      <c r="BH16" s="7">
        <v>0</v>
      </c>
      <c r="BI16" s="7">
        <v>11524.76</v>
      </c>
      <c r="BJ16" s="7">
        <v>7202.59</v>
      </c>
      <c r="BK16" s="7">
        <v>121014.19</v>
      </c>
    </row>
    <row r="18" spans="1:19" x14ac:dyDescent="0.2">
      <c r="A18">
        <v>51</v>
      </c>
      <c r="E18" s="8">
        <f>SUMIF(A16:A17,3,E16:E17)</f>
        <v>121.01419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121.01419</v>
      </c>
      <c r="J18" s="8">
        <f>SUMIF(A16:A17,3,J16:J17)</f>
        <v>12.72866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102286.84</v>
      </c>
      <c r="G20" s="4" t="s">
        <v>135</v>
      </c>
      <c r="H20" s="4" t="s">
        <v>136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89191.61</v>
      </c>
      <c r="G21" s="4" t="s">
        <v>137</v>
      </c>
      <c r="H21" s="4" t="s">
        <v>138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139</v>
      </c>
      <c r="H22" s="4" t="s">
        <v>140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89191.61</v>
      </c>
      <c r="G23" s="4" t="s">
        <v>141</v>
      </c>
      <c r="H23" s="4" t="s">
        <v>142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89191.61</v>
      </c>
      <c r="G24" s="4" t="s">
        <v>143</v>
      </c>
      <c r="H24" s="4" t="s">
        <v>144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145</v>
      </c>
      <c r="H25" s="4" t="s">
        <v>146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89191.61</v>
      </c>
      <c r="G26" s="4" t="s">
        <v>147</v>
      </c>
      <c r="H26" s="4" t="s">
        <v>148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149</v>
      </c>
      <c r="H27" s="4" t="s">
        <v>150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151</v>
      </c>
      <c r="H28" s="4" t="s">
        <v>152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153</v>
      </c>
      <c r="H29" s="4" t="s">
        <v>154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366.57</v>
      </c>
      <c r="G30" s="4" t="s">
        <v>155</v>
      </c>
      <c r="H30" s="4" t="s">
        <v>156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157</v>
      </c>
      <c r="H31" s="4" t="s">
        <v>158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117.4</v>
      </c>
      <c r="G32" s="4" t="s">
        <v>159</v>
      </c>
      <c r="H32" s="4" t="s">
        <v>160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12728.66</v>
      </c>
      <c r="G33" s="4" t="s">
        <v>161</v>
      </c>
      <c r="H33" s="4" t="s">
        <v>162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163</v>
      </c>
      <c r="H34" s="4" t="s">
        <v>164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121014.19</v>
      </c>
      <c r="G35" s="4" t="s">
        <v>165</v>
      </c>
      <c r="H35" s="4" t="s">
        <v>166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167</v>
      </c>
      <c r="H36" s="4" t="s">
        <v>168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169</v>
      </c>
      <c r="H37" s="4" t="s">
        <v>170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171</v>
      </c>
      <c r="H38" s="4" t="s">
        <v>172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173</v>
      </c>
      <c r="H39" s="4" t="s">
        <v>174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242.25641239999999</v>
      </c>
      <c r="G40" s="4" t="s">
        <v>175</v>
      </c>
      <c r="H40" s="4" t="s">
        <v>176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1.6600449999999998</v>
      </c>
      <c r="G41" s="4" t="s">
        <v>177</v>
      </c>
      <c r="H41" s="4" t="s">
        <v>178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179</v>
      </c>
      <c r="H42" s="4" t="s">
        <v>180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11524.76</v>
      </c>
      <c r="G43" s="4" t="s">
        <v>181</v>
      </c>
      <c r="H43" s="4" t="s">
        <v>182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7202.59</v>
      </c>
      <c r="G44" s="4" t="s">
        <v>183</v>
      </c>
      <c r="H44" s="4" t="s">
        <v>184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121014.19</v>
      </c>
      <c r="G45" s="4" t="s">
        <v>185</v>
      </c>
      <c r="H45" s="4" t="s">
        <v>186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253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39102310</v>
      </c>
      <c r="O50" s="3">
        <v>1</v>
      </c>
    </row>
    <row r="51" spans="1:34" x14ac:dyDescent="0.2">
      <c r="A51" s="5">
        <v>3</v>
      </c>
      <c r="B51" s="5" t="s">
        <v>254</v>
      </c>
      <c r="C51" s="5">
        <v>6.08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6.08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39102310</v>
      </c>
      <c r="C1">
        <v>39102372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47.42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6.08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3.77</v>
      </c>
      <c r="AU1" t="s">
        <v>3</v>
      </c>
      <c r="AV1">
        <v>1</v>
      </c>
      <c r="AW1">
        <v>2</v>
      </c>
      <c r="AX1">
        <v>39102374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0.86710000000000009</v>
      </c>
      <c r="CY1">
        <f>AD1</f>
        <v>47.42</v>
      </c>
      <c r="CZ1">
        <f>AH1</f>
        <v>7.8</v>
      </c>
      <c r="DA1">
        <f>AL1</f>
        <v>6.08</v>
      </c>
      <c r="DB1">
        <v>0</v>
      </c>
    </row>
    <row r="2" spans="1:106" x14ac:dyDescent="0.2">
      <c r="A2">
        <f>ROW(Source!A25)</f>
        <v>25</v>
      </c>
      <c r="B2">
        <v>39102310</v>
      </c>
      <c r="C2">
        <v>39102376</v>
      </c>
      <c r="D2">
        <v>37064998</v>
      </c>
      <c r="E2">
        <v>1</v>
      </c>
      <c r="F2">
        <v>1</v>
      </c>
      <c r="G2">
        <v>1</v>
      </c>
      <c r="H2">
        <v>1</v>
      </c>
      <c r="I2" t="s">
        <v>256</v>
      </c>
      <c r="J2" t="s">
        <v>3</v>
      </c>
      <c r="K2" t="s">
        <v>257</v>
      </c>
      <c r="L2">
        <v>1191</v>
      </c>
      <c r="N2">
        <v>1013</v>
      </c>
      <c r="O2" t="s">
        <v>258</v>
      </c>
      <c r="P2" t="s">
        <v>258</v>
      </c>
      <c r="Q2">
        <v>1</v>
      </c>
      <c r="W2">
        <v>0</v>
      </c>
      <c r="X2">
        <v>735429535</v>
      </c>
      <c r="Y2">
        <v>11.39</v>
      </c>
      <c r="AA2">
        <v>0</v>
      </c>
      <c r="AB2">
        <v>0</v>
      </c>
      <c r="AC2">
        <v>0</v>
      </c>
      <c r="AD2">
        <v>47.42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6.08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11.39</v>
      </c>
      <c r="AU2" t="s">
        <v>3</v>
      </c>
      <c r="AV2">
        <v>1</v>
      </c>
      <c r="AW2">
        <v>2</v>
      </c>
      <c r="AX2">
        <v>39102380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4.1345700000000001</v>
      </c>
      <c r="CY2">
        <f>AD2</f>
        <v>47.42</v>
      </c>
      <c r="CZ2">
        <f>AH2</f>
        <v>7.8</v>
      </c>
      <c r="DA2">
        <f>AL2</f>
        <v>6.08</v>
      </c>
      <c r="DB2">
        <v>0</v>
      </c>
    </row>
    <row r="3" spans="1:106" x14ac:dyDescent="0.2">
      <c r="A3">
        <f>ROW(Source!A25)</f>
        <v>25</v>
      </c>
      <c r="B3">
        <v>39102310</v>
      </c>
      <c r="C3">
        <v>39102376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259</v>
      </c>
      <c r="J3" t="s">
        <v>3</v>
      </c>
      <c r="K3" t="s">
        <v>260</v>
      </c>
      <c r="L3">
        <v>1191</v>
      </c>
      <c r="N3">
        <v>1013</v>
      </c>
      <c r="O3" t="s">
        <v>258</v>
      </c>
      <c r="P3" t="s">
        <v>258</v>
      </c>
      <c r="Q3">
        <v>1</v>
      </c>
      <c r="W3">
        <v>0</v>
      </c>
      <c r="X3">
        <v>-1417349443</v>
      </c>
      <c r="Y3">
        <v>0.13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6.08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0.13</v>
      </c>
      <c r="AU3" t="s">
        <v>3</v>
      </c>
      <c r="AV3">
        <v>2</v>
      </c>
      <c r="AW3">
        <v>2</v>
      </c>
      <c r="AX3">
        <v>39102381</v>
      </c>
      <c r="AY3">
        <v>1</v>
      </c>
      <c r="AZ3">
        <v>0</v>
      </c>
      <c r="BA3">
        <v>4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Y3*Source!I25</f>
        <v>4.7190000000000003E-2</v>
      </c>
      <c r="CY3">
        <f>AD3</f>
        <v>0</v>
      </c>
      <c r="CZ3">
        <f>AH3</f>
        <v>0</v>
      </c>
      <c r="DA3">
        <f>AL3</f>
        <v>1</v>
      </c>
      <c r="DB3">
        <v>0</v>
      </c>
    </row>
    <row r="4" spans="1:106" x14ac:dyDescent="0.2">
      <c r="A4">
        <f>ROW(Source!A25)</f>
        <v>25</v>
      </c>
      <c r="B4">
        <v>39102310</v>
      </c>
      <c r="C4">
        <v>39102376</v>
      </c>
      <c r="D4">
        <v>36882452</v>
      </c>
      <c r="E4">
        <v>1</v>
      </c>
      <c r="F4">
        <v>1</v>
      </c>
      <c r="G4">
        <v>1</v>
      </c>
      <c r="H4">
        <v>2</v>
      </c>
      <c r="I4" t="s">
        <v>261</v>
      </c>
      <c r="J4" t="s">
        <v>262</v>
      </c>
      <c r="K4" t="s">
        <v>263</v>
      </c>
      <c r="L4">
        <v>1368</v>
      </c>
      <c r="N4">
        <v>1011</v>
      </c>
      <c r="O4" t="s">
        <v>264</v>
      </c>
      <c r="P4" t="s">
        <v>264</v>
      </c>
      <c r="Q4">
        <v>1</v>
      </c>
      <c r="W4">
        <v>0</v>
      </c>
      <c r="X4">
        <v>1188625873</v>
      </c>
      <c r="Y4">
        <v>0.13</v>
      </c>
      <c r="AA4">
        <v>0</v>
      </c>
      <c r="AB4">
        <v>190.06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6.08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0.13</v>
      </c>
      <c r="AU4" t="s">
        <v>3</v>
      </c>
      <c r="AV4">
        <v>0</v>
      </c>
      <c r="AW4">
        <v>2</v>
      </c>
      <c r="AX4">
        <v>39102382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4.7190000000000003E-2</v>
      </c>
      <c r="CY4">
        <f>AB4</f>
        <v>190.06</v>
      </c>
      <c r="CZ4">
        <f>AF4</f>
        <v>31.26</v>
      </c>
      <c r="DA4">
        <f>AJ4</f>
        <v>6.08</v>
      </c>
      <c r="DB4">
        <v>0</v>
      </c>
    </row>
    <row r="5" spans="1:106" x14ac:dyDescent="0.2">
      <c r="A5">
        <f>ROW(Source!A26)</f>
        <v>26</v>
      </c>
      <c r="B5">
        <v>39102310</v>
      </c>
      <c r="C5">
        <v>39102384</v>
      </c>
      <c r="D5">
        <v>37065248</v>
      </c>
      <c r="E5">
        <v>1</v>
      </c>
      <c r="F5">
        <v>1</v>
      </c>
      <c r="G5">
        <v>1</v>
      </c>
      <c r="H5">
        <v>1</v>
      </c>
      <c r="I5" t="s">
        <v>265</v>
      </c>
      <c r="J5" t="s">
        <v>3</v>
      </c>
      <c r="K5" t="s">
        <v>266</v>
      </c>
      <c r="L5">
        <v>1191</v>
      </c>
      <c r="N5">
        <v>1013</v>
      </c>
      <c r="O5" t="s">
        <v>258</v>
      </c>
      <c r="P5" t="s">
        <v>258</v>
      </c>
      <c r="Q5">
        <v>1</v>
      </c>
      <c r="W5">
        <v>0</v>
      </c>
      <c r="X5">
        <v>-400197608</v>
      </c>
      <c r="Y5">
        <v>51.984599999999993</v>
      </c>
      <c r="AA5">
        <v>0</v>
      </c>
      <c r="AB5">
        <v>0</v>
      </c>
      <c r="AC5">
        <v>0</v>
      </c>
      <c r="AD5">
        <v>51.86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6.08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37.67</v>
      </c>
      <c r="AU5" t="s">
        <v>30</v>
      </c>
      <c r="AV5">
        <v>1</v>
      </c>
      <c r="AW5">
        <v>2</v>
      </c>
      <c r="AX5">
        <v>39102392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18.870409799999997</v>
      </c>
      <c r="CY5">
        <f>AD5</f>
        <v>51.86</v>
      </c>
      <c r="CZ5">
        <f>AH5</f>
        <v>8.5299999999999994</v>
      </c>
      <c r="DA5">
        <f>AL5</f>
        <v>6.08</v>
      </c>
      <c r="DB5">
        <v>0</v>
      </c>
    </row>
    <row r="6" spans="1:106" x14ac:dyDescent="0.2">
      <c r="A6">
        <f>ROW(Source!A26)</f>
        <v>26</v>
      </c>
      <c r="B6">
        <v>39102310</v>
      </c>
      <c r="C6">
        <v>39102384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259</v>
      </c>
      <c r="J6" t="s">
        <v>3</v>
      </c>
      <c r="K6" t="s">
        <v>260</v>
      </c>
      <c r="L6">
        <v>1191</v>
      </c>
      <c r="N6">
        <v>1013</v>
      </c>
      <c r="O6" t="s">
        <v>258</v>
      </c>
      <c r="P6" t="s">
        <v>258</v>
      </c>
      <c r="Q6">
        <v>1</v>
      </c>
      <c r="W6">
        <v>0</v>
      </c>
      <c r="X6">
        <v>-1417349443</v>
      </c>
      <c r="Y6">
        <v>0.17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6.08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0.17</v>
      </c>
      <c r="AU6" t="s">
        <v>3</v>
      </c>
      <c r="AV6">
        <v>2</v>
      </c>
      <c r="AW6">
        <v>2</v>
      </c>
      <c r="AX6">
        <v>39102393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Y6*Source!I26</f>
        <v>6.1710000000000001E-2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ROW(Source!A26)</f>
        <v>26</v>
      </c>
      <c r="B7">
        <v>39102310</v>
      </c>
      <c r="C7">
        <v>39102384</v>
      </c>
      <c r="D7">
        <v>36882448</v>
      </c>
      <c r="E7">
        <v>1</v>
      </c>
      <c r="F7">
        <v>1</v>
      </c>
      <c r="G7">
        <v>1</v>
      </c>
      <c r="H7">
        <v>2</v>
      </c>
      <c r="I7" t="s">
        <v>267</v>
      </c>
      <c r="J7" t="s">
        <v>268</v>
      </c>
      <c r="K7" t="s">
        <v>269</v>
      </c>
      <c r="L7">
        <v>1368</v>
      </c>
      <c r="N7">
        <v>1011</v>
      </c>
      <c r="O7" t="s">
        <v>264</v>
      </c>
      <c r="P7" t="s">
        <v>264</v>
      </c>
      <c r="Q7">
        <v>1</v>
      </c>
      <c r="W7">
        <v>0</v>
      </c>
      <c r="X7">
        <v>368031958</v>
      </c>
      <c r="Y7">
        <v>0.19500000000000001</v>
      </c>
      <c r="AA7">
        <v>0</v>
      </c>
      <c r="AB7">
        <v>168.17</v>
      </c>
      <c r="AC7">
        <v>11.6</v>
      </c>
      <c r="AD7">
        <v>0</v>
      </c>
      <c r="AE7">
        <v>0</v>
      </c>
      <c r="AF7">
        <v>27.66</v>
      </c>
      <c r="AG7">
        <v>11.6</v>
      </c>
      <c r="AH7">
        <v>0</v>
      </c>
      <c r="AI7">
        <v>1</v>
      </c>
      <c r="AJ7">
        <v>6.08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0.13</v>
      </c>
      <c r="AU7" t="s">
        <v>29</v>
      </c>
      <c r="AV7">
        <v>0</v>
      </c>
      <c r="AW7">
        <v>2</v>
      </c>
      <c r="AX7">
        <v>39102394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7.0785000000000001E-2</v>
      </c>
      <c r="CY7">
        <f>AB7</f>
        <v>168.17</v>
      </c>
      <c r="CZ7">
        <f>AF7</f>
        <v>27.66</v>
      </c>
      <c r="DA7">
        <f>AJ7</f>
        <v>6.08</v>
      </c>
      <c r="DB7">
        <v>0</v>
      </c>
    </row>
    <row r="8" spans="1:106" x14ac:dyDescent="0.2">
      <c r="A8">
        <f>ROW(Source!A26)</f>
        <v>26</v>
      </c>
      <c r="B8">
        <v>39102310</v>
      </c>
      <c r="C8">
        <v>39102384</v>
      </c>
      <c r="D8">
        <v>36883554</v>
      </c>
      <c r="E8">
        <v>1</v>
      </c>
      <c r="F8">
        <v>1</v>
      </c>
      <c r="G8">
        <v>1</v>
      </c>
      <c r="H8">
        <v>2</v>
      </c>
      <c r="I8" t="s">
        <v>270</v>
      </c>
      <c r="J8" t="s">
        <v>271</v>
      </c>
      <c r="K8" t="s">
        <v>272</v>
      </c>
      <c r="L8">
        <v>1368</v>
      </c>
      <c r="N8">
        <v>1011</v>
      </c>
      <c r="O8" t="s">
        <v>264</v>
      </c>
      <c r="P8" t="s">
        <v>264</v>
      </c>
      <c r="Q8">
        <v>1</v>
      </c>
      <c r="W8">
        <v>0</v>
      </c>
      <c r="X8">
        <v>1372534845</v>
      </c>
      <c r="Y8">
        <v>0.06</v>
      </c>
      <c r="AA8">
        <v>0</v>
      </c>
      <c r="AB8">
        <v>399.52</v>
      </c>
      <c r="AC8">
        <v>11.6</v>
      </c>
      <c r="AD8">
        <v>0</v>
      </c>
      <c r="AE8">
        <v>0</v>
      </c>
      <c r="AF8">
        <v>65.709999999999994</v>
      </c>
      <c r="AG8">
        <v>11.6</v>
      </c>
      <c r="AH8">
        <v>0</v>
      </c>
      <c r="AI8">
        <v>1</v>
      </c>
      <c r="AJ8">
        <v>6.08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0.04</v>
      </c>
      <c r="AU8" t="s">
        <v>29</v>
      </c>
      <c r="AV8">
        <v>0</v>
      </c>
      <c r="AW8">
        <v>2</v>
      </c>
      <c r="AX8">
        <v>39102395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2.1779999999999997E-2</v>
      </c>
      <c r="CY8">
        <f>AB8</f>
        <v>399.52</v>
      </c>
      <c r="CZ8">
        <f>AF8</f>
        <v>65.709999999999994</v>
      </c>
      <c r="DA8">
        <f>AJ8</f>
        <v>6.08</v>
      </c>
      <c r="DB8">
        <v>0</v>
      </c>
    </row>
    <row r="9" spans="1:106" x14ac:dyDescent="0.2">
      <c r="A9">
        <f>ROW(Source!A26)</f>
        <v>26</v>
      </c>
      <c r="B9">
        <v>39102310</v>
      </c>
      <c r="C9">
        <v>39102384</v>
      </c>
      <c r="D9">
        <v>36801792</v>
      </c>
      <c r="E9">
        <v>1</v>
      </c>
      <c r="F9">
        <v>1</v>
      </c>
      <c r="G9">
        <v>1</v>
      </c>
      <c r="H9">
        <v>3</v>
      </c>
      <c r="I9" t="s">
        <v>273</v>
      </c>
      <c r="J9" t="s">
        <v>274</v>
      </c>
      <c r="K9" t="s">
        <v>275</v>
      </c>
      <c r="L9">
        <v>1339</v>
      </c>
      <c r="N9">
        <v>1007</v>
      </c>
      <c r="O9" t="s">
        <v>276</v>
      </c>
      <c r="P9" t="s">
        <v>276</v>
      </c>
      <c r="Q9">
        <v>1</v>
      </c>
      <c r="W9">
        <v>0</v>
      </c>
      <c r="X9">
        <v>-1660354250</v>
      </c>
      <c r="Y9">
        <v>0.17399999999999999</v>
      </c>
      <c r="AA9">
        <v>14.84</v>
      </c>
      <c r="AB9">
        <v>0</v>
      </c>
      <c r="AC9">
        <v>0</v>
      </c>
      <c r="AD9">
        <v>0</v>
      </c>
      <c r="AE9">
        <v>2.44</v>
      </c>
      <c r="AF9">
        <v>0</v>
      </c>
      <c r="AG9">
        <v>0</v>
      </c>
      <c r="AH9">
        <v>0</v>
      </c>
      <c r="AI9">
        <v>6.08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0.17399999999999999</v>
      </c>
      <c r="AU9" t="s">
        <v>3</v>
      </c>
      <c r="AV9">
        <v>0</v>
      </c>
      <c r="AW9">
        <v>2</v>
      </c>
      <c r="AX9">
        <v>39102396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6.3161999999999996E-2</v>
      </c>
      <c r="CY9">
        <f>AA9</f>
        <v>14.84</v>
      </c>
      <c r="CZ9">
        <f>AE9</f>
        <v>2.44</v>
      </c>
      <c r="DA9">
        <f>AI9</f>
        <v>6.08</v>
      </c>
      <c r="DB9">
        <v>0</v>
      </c>
    </row>
    <row r="10" spans="1:106" x14ac:dyDescent="0.2">
      <c r="A10">
        <f>ROW(Source!A26)</f>
        <v>26</v>
      </c>
      <c r="B10">
        <v>39102310</v>
      </c>
      <c r="C10">
        <v>39102384</v>
      </c>
      <c r="D10">
        <v>36807412</v>
      </c>
      <c r="E10">
        <v>1</v>
      </c>
      <c r="F10">
        <v>1</v>
      </c>
      <c r="G10">
        <v>1</v>
      </c>
      <c r="H10">
        <v>3</v>
      </c>
      <c r="I10" t="s">
        <v>277</v>
      </c>
      <c r="J10" t="s">
        <v>278</v>
      </c>
      <c r="K10" t="s">
        <v>279</v>
      </c>
      <c r="L10">
        <v>1348</v>
      </c>
      <c r="N10">
        <v>1009</v>
      </c>
      <c r="O10" t="s">
        <v>60</v>
      </c>
      <c r="P10" t="s">
        <v>60</v>
      </c>
      <c r="Q10">
        <v>1000</v>
      </c>
      <c r="W10">
        <v>0</v>
      </c>
      <c r="X10">
        <v>-2114578287</v>
      </c>
      <c r="Y10">
        <v>0.9</v>
      </c>
      <c r="AA10">
        <v>69199.95</v>
      </c>
      <c r="AB10">
        <v>0</v>
      </c>
      <c r="AC10">
        <v>0</v>
      </c>
      <c r="AD10">
        <v>0</v>
      </c>
      <c r="AE10">
        <v>11381.57</v>
      </c>
      <c r="AF10">
        <v>0</v>
      </c>
      <c r="AG10">
        <v>0</v>
      </c>
      <c r="AH10">
        <v>0</v>
      </c>
      <c r="AI10">
        <v>6.08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0.9</v>
      </c>
      <c r="AU10" t="s">
        <v>3</v>
      </c>
      <c r="AV10">
        <v>0</v>
      </c>
      <c r="AW10">
        <v>2</v>
      </c>
      <c r="AX10">
        <v>39102397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0.32669999999999999</v>
      </c>
      <c r="CY10">
        <f>AA10</f>
        <v>69199.95</v>
      </c>
      <c r="CZ10">
        <f>AE10</f>
        <v>11381.57</v>
      </c>
      <c r="DA10">
        <f>AI10</f>
        <v>6.08</v>
      </c>
      <c r="DB10">
        <v>0</v>
      </c>
    </row>
    <row r="11" spans="1:106" x14ac:dyDescent="0.2">
      <c r="A11">
        <f>ROW(Source!A26)</f>
        <v>26</v>
      </c>
      <c r="B11">
        <v>39102310</v>
      </c>
      <c r="C11">
        <v>39102384</v>
      </c>
      <c r="D11">
        <v>36837972</v>
      </c>
      <c r="E11">
        <v>1</v>
      </c>
      <c r="F11">
        <v>1</v>
      </c>
      <c r="G11">
        <v>1</v>
      </c>
      <c r="H11">
        <v>3</v>
      </c>
      <c r="I11" t="s">
        <v>280</v>
      </c>
      <c r="J11" t="s">
        <v>281</v>
      </c>
      <c r="K11" t="s">
        <v>282</v>
      </c>
      <c r="L11">
        <v>1346</v>
      </c>
      <c r="N11">
        <v>1009</v>
      </c>
      <c r="O11" t="s">
        <v>65</v>
      </c>
      <c r="P11" t="s">
        <v>65</v>
      </c>
      <c r="Q11">
        <v>1</v>
      </c>
      <c r="W11">
        <v>0</v>
      </c>
      <c r="X11">
        <v>303141801</v>
      </c>
      <c r="Y11">
        <v>30</v>
      </c>
      <c r="AA11">
        <v>92.72</v>
      </c>
      <c r="AB11">
        <v>0</v>
      </c>
      <c r="AC11">
        <v>0</v>
      </c>
      <c r="AD11">
        <v>0</v>
      </c>
      <c r="AE11">
        <v>15.25</v>
      </c>
      <c r="AF11">
        <v>0</v>
      </c>
      <c r="AG11">
        <v>0</v>
      </c>
      <c r="AH11">
        <v>0</v>
      </c>
      <c r="AI11">
        <v>6.08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30</v>
      </c>
      <c r="AU11" t="s">
        <v>3</v>
      </c>
      <c r="AV11">
        <v>0</v>
      </c>
      <c r="AW11">
        <v>2</v>
      </c>
      <c r="AX11">
        <v>39102398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10.89</v>
      </c>
      <c r="CY11">
        <f>AA11</f>
        <v>92.72</v>
      </c>
      <c r="CZ11">
        <f>AE11</f>
        <v>15.25</v>
      </c>
      <c r="DA11">
        <f>AI11</f>
        <v>6.08</v>
      </c>
      <c r="DB11">
        <v>0</v>
      </c>
    </row>
    <row r="12" spans="1:106" x14ac:dyDescent="0.2">
      <c r="A12">
        <f>ROW(Source!A27)</f>
        <v>27</v>
      </c>
      <c r="B12">
        <v>39102310</v>
      </c>
      <c r="C12">
        <v>39102399</v>
      </c>
      <c r="D12">
        <v>37065248</v>
      </c>
      <c r="E12">
        <v>1</v>
      </c>
      <c r="F12">
        <v>1</v>
      </c>
      <c r="G12">
        <v>1</v>
      </c>
      <c r="H12">
        <v>1</v>
      </c>
      <c r="I12" t="s">
        <v>265</v>
      </c>
      <c r="J12" t="s">
        <v>3</v>
      </c>
      <c r="K12" t="s">
        <v>266</v>
      </c>
      <c r="L12">
        <v>1191</v>
      </c>
      <c r="N12">
        <v>1013</v>
      </c>
      <c r="O12" t="s">
        <v>258</v>
      </c>
      <c r="P12" t="s">
        <v>258</v>
      </c>
      <c r="Q12">
        <v>1</v>
      </c>
      <c r="W12">
        <v>0</v>
      </c>
      <c r="X12">
        <v>-400197608</v>
      </c>
      <c r="Y12">
        <v>6.6791999999999998</v>
      </c>
      <c r="AA12">
        <v>0</v>
      </c>
      <c r="AB12">
        <v>0</v>
      </c>
      <c r="AC12">
        <v>0</v>
      </c>
      <c r="AD12">
        <v>51.86</v>
      </c>
      <c r="AE12">
        <v>0</v>
      </c>
      <c r="AF12">
        <v>0</v>
      </c>
      <c r="AG12">
        <v>0</v>
      </c>
      <c r="AH12">
        <v>8.5299999999999994</v>
      </c>
      <c r="AI12">
        <v>1</v>
      </c>
      <c r="AJ12">
        <v>1</v>
      </c>
      <c r="AK12">
        <v>1</v>
      </c>
      <c r="AL12">
        <v>6.08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2.42</v>
      </c>
      <c r="AU12" t="s">
        <v>42</v>
      </c>
      <c r="AV12">
        <v>1</v>
      </c>
      <c r="AW12">
        <v>2</v>
      </c>
      <c r="AX12">
        <v>39102406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Y12*Source!I27</f>
        <v>2.4245495999999997</v>
      </c>
      <c r="CY12">
        <f>AD12</f>
        <v>51.86</v>
      </c>
      <c r="CZ12">
        <f>AH12</f>
        <v>8.5299999999999994</v>
      </c>
      <c r="DA12">
        <f>AL12</f>
        <v>6.08</v>
      </c>
      <c r="DB12">
        <v>0</v>
      </c>
    </row>
    <row r="13" spans="1:106" x14ac:dyDescent="0.2">
      <c r="A13">
        <f>ROW(Source!A27)</f>
        <v>27</v>
      </c>
      <c r="B13">
        <v>39102310</v>
      </c>
      <c r="C13">
        <v>39102399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259</v>
      </c>
      <c r="J13" t="s">
        <v>3</v>
      </c>
      <c r="K13" t="s">
        <v>260</v>
      </c>
      <c r="L13">
        <v>1191</v>
      </c>
      <c r="N13">
        <v>1013</v>
      </c>
      <c r="O13" t="s">
        <v>258</v>
      </c>
      <c r="P13" t="s">
        <v>258</v>
      </c>
      <c r="Q13">
        <v>1</v>
      </c>
      <c r="W13">
        <v>0</v>
      </c>
      <c r="X13">
        <v>-1417349443</v>
      </c>
      <c r="Y13">
        <v>0.03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6.08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0.03</v>
      </c>
      <c r="AU13" t="s">
        <v>3</v>
      </c>
      <c r="AV13">
        <v>2</v>
      </c>
      <c r="AW13">
        <v>2</v>
      </c>
      <c r="AX13">
        <v>39102407</v>
      </c>
      <c r="AY13">
        <v>1</v>
      </c>
      <c r="AZ13">
        <v>2048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Y13*Source!I27</f>
        <v>1.0889999999999999E-2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ROW(Source!A27)</f>
        <v>27</v>
      </c>
      <c r="B14">
        <v>39102310</v>
      </c>
      <c r="C14">
        <v>39102399</v>
      </c>
      <c r="D14">
        <v>36882448</v>
      </c>
      <c r="E14">
        <v>1</v>
      </c>
      <c r="F14">
        <v>1</v>
      </c>
      <c r="G14">
        <v>1</v>
      </c>
      <c r="H14">
        <v>2</v>
      </c>
      <c r="I14" t="s">
        <v>267</v>
      </c>
      <c r="J14" t="s">
        <v>268</v>
      </c>
      <c r="K14" t="s">
        <v>269</v>
      </c>
      <c r="L14">
        <v>1368</v>
      </c>
      <c r="N14">
        <v>1011</v>
      </c>
      <c r="O14" t="s">
        <v>264</v>
      </c>
      <c r="P14" t="s">
        <v>264</v>
      </c>
      <c r="Q14">
        <v>1</v>
      </c>
      <c r="W14">
        <v>0</v>
      </c>
      <c r="X14">
        <v>368031958</v>
      </c>
      <c r="Y14">
        <v>0.06</v>
      </c>
      <c r="AA14">
        <v>0</v>
      </c>
      <c r="AB14">
        <v>168.17</v>
      </c>
      <c r="AC14">
        <v>11.6</v>
      </c>
      <c r="AD14">
        <v>0</v>
      </c>
      <c r="AE14">
        <v>0</v>
      </c>
      <c r="AF14">
        <v>27.66</v>
      </c>
      <c r="AG14">
        <v>11.6</v>
      </c>
      <c r="AH14">
        <v>0</v>
      </c>
      <c r="AI14">
        <v>1</v>
      </c>
      <c r="AJ14">
        <v>6.08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0.02</v>
      </c>
      <c r="AU14" t="s">
        <v>41</v>
      </c>
      <c r="AV14">
        <v>0</v>
      </c>
      <c r="AW14">
        <v>2</v>
      </c>
      <c r="AX14">
        <v>39102408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Y14*Source!I27</f>
        <v>2.1779999999999997E-2</v>
      </c>
      <c r="CY14">
        <f>AB14</f>
        <v>168.17</v>
      </c>
      <c r="CZ14">
        <f>AF14</f>
        <v>27.66</v>
      </c>
      <c r="DA14">
        <f>AJ14</f>
        <v>6.08</v>
      </c>
      <c r="DB14">
        <v>0</v>
      </c>
    </row>
    <row r="15" spans="1:106" x14ac:dyDescent="0.2">
      <c r="A15">
        <f>ROW(Source!A27)</f>
        <v>27</v>
      </c>
      <c r="B15">
        <v>39102310</v>
      </c>
      <c r="C15">
        <v>39102399</v>
      </c>
      <c r="D15">
        <v>36883554</v>
      </c>
      <c r="E15">
        <v>1</v>
      </c>
      <c r="F15">
        <v>1</v>
      </c>
      <c r="G15">
        <v>1</v>
      </c>
      <c r="H15">
        <v>2</v>
      </c>
      <c r="I15" t="s">
        <v>270</v>
      </c>
      <c r="J15" t="s">
        <v>271</v>
      </c>
      <c r="K15" t="s">
        <v>272</v>
      </c>
      <c r="L15">
        <v>1368</v>
      </c>
      <c r="N15">
        <v>1011</v>
      </c>
      <c r="O15" t="s">
        <v>264</v>
      </c>
      <c r="P15" t="s">
        <v>264</v>
      </c>
      <c r="Q15">
        <v>1</v>
      </c>
      <c r="W15">
        <v>0</v>
      </c>
      <c r="X15">
        <v>1372534845</v>
      </c>
      <c r="Y15">
        <v>0.03</v>
      </c>
      <c r="AA15">
        <v>0</v>
      </c>
      <c r="AB15">
        <v>399.52</v>
      </c>
      <c r="AC15">
        <v>11.6</v>
      </c>
      <c r="AD15">
        <v>0</v>
      </c>
      <c r="AE15">
        <v>0</v>
      </c>
      <c r="AF15">
        <v>65.709999999999994</v>
      </c>
      <c r="AG15">
        <v>11.6</v>
      </c>
      <c r="AH15">
        <v>0</v>
      </c>
      <c r="AI15">
        <v>1</v>
      </c>
      <c r="AJ15">
        <v>6.08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0.01</v>
      </c>
      <c r="AU15" t="s">
        <v>41</v>
      </c>
      <c r="AV15">
        <v>0</v>
      </c>
      <c r="AW15">
        <v>2</v>
      </c>
      <c r="AX15">
        <v>39102409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1.0889999999999999E-2</v>
      </c>
      <c r="CY15">
        <f>AB15</f>
        <v>399.52</v>
      </c>
      <c r="CZ15">
        <f>AF15</f>
        <v>65.709999999999994</v>
      </c>
      <c r="DA15">
        <f>AJ15</f>
        <v>6.08</v>
      </c>
      <c r="DB15">
        <v>0</v>
      </c>
    </row>
    <row r="16" spans="1:106" x14ac:dyDescent="0.2">
      <c r="A16">
        <f>ROW(Source!A27)</f>
        <v>27</v>
      </c>
      <c r="B16">
        <v>39102310</v>
      </c>
      <c r="C16">
        <v>39102399</v>
      </c>
      <c r="D16">
        <v>36801792</v>
      </c>
      <c r="E16">
        <v>1</v>
      </c>
      <c r="F16">
        <v>1</v>
      </c>
      <c r="G16">
        <v>1</v>
      </c>
      <c r="H16">
        <v>3</v>
      </c>
      <c r="I16" t="s">
        <v>273</v>
      </c>
      <c r="J16" t="s">
        <v>274</v>
      </c>
      <c r="K16" t="s">
        <v>275</v>
      </c>
      <c r="L16">
        <v>1339</v>
      </c>
      <c r="N16">
        <v>1007</v>
      </c>
      <c r="O16" t="s">
        <v>276</v>
      </c>
      <c r="P16" t="s">
        <v>276</v>
      </c>
      <c r="Q16">
        <v>1</v>
      </c>
      <c r="W16">
        <v>0</v>
      </c>
      <c r="X16">
        <v>-1660354250</v>
      </c>
      <c r="Y16">
        <v>0.06</v>
      </c>
      <c r="AA16">
        <v>14.84</v>
      </c>
      <c r="AB16">
        <v>0</v>
      </c>
      <c r="AC16">
        <v>0</v>
      </c>
      <c r="AD16">
        <v>0</v>
      </c>
      <c r="AE16">
        <v>2.44</v>
      </c>
      <c r="AF16">
        <v>0</v>
      </c>
      <c r="AG16">
        <v>0</v>
      </c>
      <c r="AH16">
        <v>0</v>
      </c>
      <c r="AI16">
        <v>6.08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0.03</v>
      </c>
      <c r="AU16" t="s">
        <v>40</v>
      </c>
      <c r="AV16">
        <v>0</v>
      </c>
      <c r="AW16">
        <v>2</v>
      </c>
      <c r="AX16">
        <v>39102410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2.1779999999999997E-2</v>
      </c>
      <c r="CY16">
        <f>AA16</f>
        <v>14.84</v>
      </c>
      <c r="CZ16">
        <f>AE16</f>
        <v>2.44</v>
      </c>
      <c r="DA16">
        <f>AI16</f>
        <v>6.08</v>
      </c>
      <c r="DB16">
        <v>0</v>
      </c>
    </row>
    <row r="17" spans="1:106" x14ac:dyDescent="0.2">
      <c r="A17">
        <f>ROW(Source!A27)</f>
        <v>27</v>
      </c>
      <c r="B17">
        <v>39102310</v>
      </c>
      <c r="C17">
        <v>39102399</v>
      </c>
      <c r="D17">
        <v>36807412</v>
      </c>
      <c r="E17">
        <v>1</v>
      </c>
      <c r="F17">
        <v>1</v>
      </c>
      <c r="G17">
        <v>1</v>
      </c>
      <c r="H17">
        <v>3</v>
      </c>
      <c r="I17" t="s">
        <v>277</v>
      </c>
      <c r="J17" t="s">
        <v>278</v>
      </c>
      <c r="K17" t="s">
        <v>279</v>
      </c>
      <c r="L17">
        <v>1348</v>
      </c>
      <c r="N17">
        <v>1009</v>
      </c>
      <c r="O17" t="s">
        <v>60</v>
      </c>
      <c r="P17" t="s">
        <v>60</v>
      </c>
      <c r="Q17">
        <v>1000</v>
      </c>
      <c r="W17">
        <v>0</v>
      </c>
      <c r="X17">
        <v>-2114578287</v>
      </c>
      <c r="Y17">
        <v>0.36</v>
      </c>
      <c r="AA17">
        <v>69199.95</v>
      </c>
      <c r="AB17">
        <v>0</v>
      </c>
      <c r="AC17">
        <v>0</v>
      </c>
      <c r="AD17">
        <v>0</v>
      </c>
      <c r="AE17">
        <v>11381.57</v>
      </c>
      <c r="AF17">
        <v>0</v>
      </c>
      <c r="AG17">
        <v>0</v>
      </c>
      <c r="AH17">
        <v>0</v>
      </c>
      <c r="AI17">
        <v>6.08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0.18</v>
      </c>
      <c r="AU17" t="s">
        <v>40</v>
      </c>
      <c r="AV17">
        <v>0</v>
      </c>
      <c r="AW17">
        <v>2</v>
      </c>
      <c r="AX17">
        <v>39102411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0.13067999999999999</v>
      </c>
      <c r="CY17">
        <f>AA17</f>
        <v>69199.95</v>
      </c>
      <c r="CZ17">
        <f>AE17</f>
        <v>11381.57</v>
      </c>
      <c r="DA17">
        <f>AI17</f>
        <v>6.08</v>
      </c>
      <c r="DB17">
        <v>0</v>
      </c>
    </row>
    <row r="18" spans="1:106" x14ac:dyDescent="0.2">
      <c r="A18">
        <f>ROW(Source!A28)</f>
        <v>28</v>
      </c>
      <c r="B18">
        <v>39102310</v>
      </c>
      <c r="C18">
        <v>39102412</v>
      </c>
      <c r="D18">
        <v>37066837</v>
      </c>
      <c r="E18">
        <v>1</v>
      </c>
      <c r="F18">
        <v>1</v>
      </c>
      <c r="G18">
        <v>1</v>
      </c>
      <c r="H18">
        <v>1</v>
      </c>
      <c r="I18" t="s">
        <v>283</v>
      </c>
      <c r="J18" t="s">
        <v>3</v>
      </c>
      <c r="K18" t="s">
        <v>284</v>
      </c>
      <c r="L18">
        <v>1191</v>
      </c>
      <c r="N18">
        <v>1013</v>
      </c>
      <c r="O18" t="s">
        <v>258</v>
      </c>
      <c r="P18" t="s">
        <v>258</v>
      </c>
      <c r="Q18">
        <v>1</v>
      </c>
      <c r="W18">
        <v>0</v>
      </c>
      <c r="X18">
        <v>1850719656</v>
      </c>
      <c r="Y18">
        <v>58.511999999999993</v>
      </c>
      <c r="AA18">
        <v>0</v>
      </c>
      <c r="AB18">
        <v>0</v>
      </c>
      <c r="AC18">
        <v>0</v>
      </c>
      <c r="AD18">
        <v>50.52</v>
      </c>
      <c r="AE18">
        <v>0</v>
      </c>
      <c r="AF18">
        <v>0</v>
      </c>
      <c r="AG18">
        <v>0</v>
      </c>
      <c r="AH18">
        <v>8.31</v>
      </c>
      <c r="AI18">
        <v>1</v>
      </c>
      <c r="AJ18">
        <v>1</v>
      </c>
      <c r="AK18">
        <v>1</v>
      </c>
      <c r="AL18">
        <v>6.08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42.4</v>
      </c>
      <c r="AU18" t="s">
        <v>30</v>
      </c>
      <c r="AV18">
        <v>1</v>
      </c>
      <c r="AW18">
        <v>2</v>
      </c>
      <c r="AX18">
        <v>39102422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Y18*Source!I28</f>
        <v>21.239855999999996</v>
      </c>
      <c r="CY18">
        <f>AD18</f>
        <v>50.52</v>
      </c>
      <c r="CZ18">
        <f>AH18</f>
        <v>8.31</v>
      </c>
      <c r="DA18">
        <f>AL18</f>
        <v>6.08</v>
      </c>
      <c r="DB18">
        <v>0</v>
      </c>
    </row>
    <row r="19" spans="1:106" x14ac:dyDescent="0.2">
      <c r="A19">
        <f>ROW(Source!A28)</f>
        <v>28</v>
      </c>
      <c r="B19">
        <v>39102310</v>
      </c>
      <c r="C19">
        <v>39102412</v>
      </c>
      <c r="D19">
        <v>37064876</v>
      </c>
      <c r="E19">
        <v>1</v>
      </c>
      <c r="F19">
        <v>1</v>
      </c>
      <c r="G19">
        <v>1</v>
      </c>
      <c r="H19">
        <v>1</v>
      </c>
      <c r="I19" t="s">
        <v>259</v>
      </c>
      <c r="J19" t="s">
        <v>3</v>
      </c>
      <c r="K19" t="s">
        <v>260</v>
      </c>
      <c r="L19">
        <v>1191</v>
      </c>
      <c r="N19">
        <v>1013</v>
      </c>
      <c r="O19" t="s">
        <v>258</v>
      </c>
      <c r="P19" t="s">
        <v>258</v>
      </c>
      <c r="Q19">
        <v>1</v>
      </c>
      <c r="W19">
        <v>0</v>
      </c>
      <c r="X19">
        <v>-1417349443</v>
      </c>
      <c r="Y19">
        <v>0.85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6.08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0.85</v>
      </c>
      <c r="AU19" t="s">
        <v>3</v>
      </c>
      <c r="AV19">
        <v>2</v>
      </c>
      <c r="AW19">
        <v>2</v>
      </c>
      <c r="AX19">
        <v>39102423</v>
      </c>
      <c r="AY19">
        <v>1</v>
      </c>
      <c r="AZ19">
        <v>2048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0.30854999999999999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ROW(Source!A28)</f>
        <v>28</v>
      </c>
      <c r="B20">
        <v>39102310</v>
      </c>
      <c r="C20">
        <v>39102412</v>
      </c>
      <c r="D20">
        <v>36882452</v>
      </c>
      <c r="E20">
        <v>1</v>
      </c>
      <c r="F20">
        <v>1</v>
      </c>
      <c r="G20">
        <v>1</v>
      </c>
      <c r="H20">
        <v>2</v>
      </c>
      <c r="I20" t="s">
        <v>261</v>
      </c>
      <c r="J20" t="s">
        <v>262</v>
      </c>
      <c r="K20" t="s">
        <v>263</v>
      </c>
      <c r="L20">
        <v>1368</v>
      </c>
      <c r="N20">
        <v>1011</v>
      </c>
      <c r="O20" t="s">
        <v>264</v>
      </c>
      <c r="P20" t="s">
        <v>264</v>
      </c>
      <c r="Q20">
        <v>1</v>
      </c>
      <c r="W20">
        <v>0</v>
      </c>
      <c r="X20">
        <v>1188625873</v>
      </c>
      <c r="Y20">
        <v>0.52500000000000002</v>
      </c>
      <c r="AA20">
        <v>0</v>
      </c>
      <c r="AB20">
        <v>190.06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6.08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0.35</v>
      </c>
      <c r="AU20" t="s">
        <v>29</v>
      </c>
      <c r="AV20">
        <v>0</v>
      </c>
      <c r="AW20">
        <v>2</v>
      </c>
      <c r="AX20">
        <v>39102424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0.19057499999999999</v>
      </c>
      <c r="CY20">
        <f>AB20</f>
        <v>190.06</v>
      </c>
      <c r="CZ20">
        <f>AF20</f>
        <v>31.26</v>
      </c>
      <c r="DA20">
        <f>AJ20</f>
        <v>6.08</v>
      </c>
      <c r="DB20">
        <v>0</v>
      </c>
    </row>
    <row r="21" spans="1:106" x14ac:dyDescent="0.2">
      <c r="A21">
        <f>ROW(Source!A28)</f>
        <v>28</v>
      </c>
      <c r="B21">
        <v>39102310</v>
      </c>
      <c r="C21">
        <v>39102412</v>
      </c>
      <c r="D21">
        <v>36883554</v>
      </c>
      <c r="E21">
        <v>1</v>
      </c>
      <c r="F21">
        <v>1</v>
      </c>
      <c r="G21">
        <v>1</v>
      </c>
      <c r="H21">
        <v>2</v>
      </c>
      <c r="I21" t="s">
        <v>270</v>
      </c>
      <c r="J21" t="s">
        <v>271</v>
      </c>
      <c r="K21" t="s">
        <v>272</v>
      </c>
      <c r="L21">
        <v>1368</v>
      </c>
      <c r="N21">
        <v>1011</v>
      </c>
      <c r="O21" t="s">
        <v>264</v>
      </c>
      <c r="P21" t="s">
        <v>264</v>
      </c>
      <c r="Q21">
        <v>1</v>
      </c>
      <c r="W21">
        <v>0</v>
      </c>
      <c r="X21">
        <v>1372534845</v>
      </c>
      <c r="Y21">
        <v>0.75</v>
      </c>
      <c r="AA21">
        <v>0</v>
      </c>
      <c r="AB21">
        <v>399.52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6.08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0.5</v>
      </c>
      <c r="AU21" t="s">
        <v>29</v>
      </c>
      <c r="AV21">
        <v>0</v>
      </c>
      <c r="AW21">
        <v>2</v>
      </c>
      <c r="AX21">
        <v>39102425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0.27224999999999999</v>
      </c>
      <c r="CY21">
        <f>AB21</f>
        <v>399.52</v>
      </c>
      <c r="CZ21">
        <f>AF21</f>
        <v>65.709999999999994</v>
      </c>
      <c r="DA21">
        <f>AJ21</f>
        <v>6.08</v>
      </c>
      <c r="DB21">
        <v>0</v>
      </c>
    </row>
    <row r="22" spans="1:106" x14ac:dyDescent="0.2">
      <c r="A22">
        <f>ROW(Source!A28)</f>
        <v>28</v>
      </c>
      <c r="B22">
        <v>39102310</v>
      </c>
      <c r="C22">
        <v>39102412</v>
      </c>
      <c r="D22">
        <v>36797243</v>
      </c>
      <c r="E22">
        <v>17</v>
      </c>
      <c r="F22">
        <v>1</v>
      </c>
      <c r="G22">
        <v>1</v>
      </c>
      <c r="H22">
        <v>3</v>
      </c>
      <c r="I22" t="s">
        <v>54</v>
      </c>
      <c r="J22" t="s">
        <v>3</v>
      </c>
      <c r="K22" t="s">
        <v>55</v>
      </c>
      <c r="L22">
        <v>1327</v>
      </c>
      <c r="N22">
        <v>1005</v>
      </c>
      <c r="O22" t="s">
        <v>51</v>
      </c>
      <c r="P22" t="s">
        <v>51</v>
      </c>
      <c r="Q22">
        <v>1</v>
      </c>
      <c r="W22">
        <v>0</v>
      </c>
      <c r="X22">
        <v>-919469713</v>
      </c>
      <c r="Y22">
        <v>102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6.08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102</v>
      </c>
      <c r="AU22" t="s">
        <v>3</v>
      </c>
      <c r="AV22">
        <v>0</v>
      </c>
      <c r="AW22">
        <v>2</v>
      </c>
      <c r="AX22">
        <v>39102426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37.025999999999996</v>
      </c>
      <c r="CY22">
        <f>AA22</f>
        <v>0</v>
      </c>
      <c r="CZ22">
        <f>AE22</f>
        <v>0</v>
      </c>
      <c r="DA22">
        <f>AI22</f>
        <v>6.08</v>
      </c>
      <c r="DB22">
        <v>0</v>
      </c>
    </row>
    <row r="23" spans="1:106" x14ac:dyDescent="0.2">
      <c r="A23">
        <f>ROW(Source!A28)</f>
        <v>28</v>
      </c>
      <c r="B23">
        <v>39102310</v>
      </c>
      <c r="C23">
        <v>39102412</v>
      </c>
      <c r="D23">
        <v>36801535</v>
      </c>
      <c r="E23">
        <v>1</v>
      </c>
      <c r="F23">
        <v>1</v>
      </c>
      <c r="G23">
        <v>1</v>
      </c>
      <c r="H23">
        <v>3</v>
      </c>
      <c r="I23" t="s">
        <v>49</v>
      </c>
      <c r="J23" t="s">
        <v>52</v>
      </c>
      <c r="K23" t="s">
        <v>50</v>
      </c>
      <c r="L23">
        <v>1327</v>
      </c>
      <c r="N23">
        <v>1005</v>
      </c>
      <c r="O23" t="s">
        <v>51</v>
      </c>
      <c r="P23" t="s">
        <v>51</v>
      </c>
      <c r="Q23">
        <v>1</v>
      </c>
      <c r="W23">
        <v>0</v>
      </c>
      <c r="X23">
        <v>-1736667289</v>
      </c>
      <c r="Y23">
        <v>102</v>
      </c>
      <c r="AA23">
        <v>1071.3599999999999</v>
      </c>
      <c r="AB23">
        <v>0</v>
      </c>
      <c r="AC23">
        <v>0</v>
      </c>
      <c r="AD23">
        <v>0</v>
      </c>
      <c r="AE23">
        <v>176.21</v>
      </c>
      <c r="AF23">
        <v>0</v>
      </c>
      <c r="AG23">
        <v>0</v>
      </c>
      <c r="AH23">
        <v>0</v>
      </c>
      <c r="AI23">
        <v>6.08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102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Y23*Source!I28</f>
        <v>37.025999999999996</v>
      </c>
      <c r="CY23">
        <f>AA23</f>
        <v>1071.3599999999999</v>
      </c>
      <c r="CZ23">
        <f>AE23</f>
        <v>176.21</v>
      </c>
      <c r="DA23">
        <f>AI23</f>
        <v>6.08</v>
      </c>
      <c r="DB23">
        <v>0</v>
      </c>
    </row>
    <row r="24" spans="1:106" x14ac:dyDescent="0.2">
      <c r="A24">
        <f>ROW(Source!A28)</f>
        <v>28</v>
      </c>
      <c r="B24">
        <v>39102310</v>
      </c>
      <c r="C24">
        <v>39102412</v>
      </c>
      <c r="D24">
        <v>36805524</v>
      </c>
      <c r="E24">
        <v>1</v>
      </c>
      <c r="F24">
        <v>1</v>
      </c>
      <c r="G24">
        <v>1</v>
      </c>
      <c r="H24">
        <v>3</v>
      </c>
      <c r="I24" t="s">
        <v>285</v>
      </c>
      <c r="J24" t="s">
        <v>286</v>
      </c>
      <c r="K24" t="s">
        <v>287</v>
      </c>
      <c r="L24">
        <v>1346</v>
      </c>
      <c r="N24">
        <v>1009</v>
      </c>
      <c r="O24" t="s">
        <v>65</v>
      </c>
      <c r="P24" t="s">
        <v>65</v>
      </c>
      <c r="Q24">
        <v>1</v>
      </c>
      <c r="W24">
        <v>0</v>
      </c>
      <c r="X24">
        <v>813963326</v>
      </c>
      <c r="Y24">
        <v>0.5</v>
      </c>
      <c r="AA24">
        <v>11.07</v>
      </c>
      <c r="AB24">
        <v>0</v>
      </c>
      <c r="AC24">
        <v>0</v>
      </c>
      <c r="AD24">
        <v>0</v>
      </c>
      <c r="AE24">
        <v>1.82</v>
      </c>
      <c r="AF24">
        <v>0</v>
      </c>
      <c r="AG24">
        <v>0</v>
      </c>
      <c r="AH24">
        <v>0</v>
      </c>
      <c r="AI24">
        <v>6.08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0.5</v>
      </c>
      <c r="AU24" t="s">
        <v>3</v>
      </c>
      <c r="AV24">
        <v>0</v>
      </c>
      <c r="AW24">
        <v>2</v>
      </c>
      <c r="AX24">
        <v>39102427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0.18149999999999999</v>
      </c>
      <c r="CY24">
        <f>AA24</f>
        <v>11.07</v>
      </c>
      <c r="CZ24">
        <f>AE24</f>
        <v>1.82</v>
      </c>
      <c r="DA24">
        <f>AI24</f>
        <v>6.08</v>
      </c>
      <c r="DB24">
        <v>0</v>
      </c>
    </row>
    <row r="25" spans="1:106" x14ac:dyDescent="0.2">
      <c r="A25">
        <f>ROW(Source!A28)</f>
        <v>28</v>
      </c>
      <c r="B25">
        <v>39102310</v>
      </c>
      <c r="C25">
        <v>39102412</v>
      </c>
      <c r="D25">
        <v>36836955</v>
      </c>
      <c r="E25">
        <v>1</v>
      </c>
      <c r="F25">
        <v>1</v>
      </c>
      <c r="G25">
        <v>1</v>
      </c>
      <c r="H25">
        <v>3</v>
      </c>
      <c r="I25" t="s">
        <v>58</v>
      </c>
      <c r="J25" t="s">
        <v>61</v>
      </c>
      <c r="K25" t="s">
        <v>59</v>
      </c>
      <c r="L25">
        <v>1348</v>
      </c>
      <c r="N25">
        <v>1009</v>
      </c>
      <c r="O25" t="s">
        <v>60</v>
      </c>
      <c r="P25" t="s">
        <v>60</v>
      </c>
      <c r="Q25">
        <v>1000</v>
      </c>
      <c r="W25">
        <v>0</v>
      </c>
      <c r="X25">
        <v>486476101</v>
      </c>
      <c r="Y25">
        <v>0.05</v>
      </c>
      <c r="AA25">
        <v>68704</v>
      </c>
      <c r="AB25">
        <v>0</v>
      </c>
      <c r="AC25">
        <v>0</v>
      </c>
      <c r="AD25">
        <v>0</v>
      </c>
      <c r="AE25">
        <v>11300</v>
      </c>
      <c r="AF25">
        <v>0</v>
      </c>
      <c r="AG25">
        <v>0</v>
      </c>
      <c r="AH25">
        <v>0</v>
      </c>
      <c r="AI25">
        <v>6.08</v>
      </c>
      <c r="AJ25">
        <v>1</v>
      </c>
      <c r="AK25">
        <v>1</v>
      </c>
      <c r="AL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3</v>
      </c>
      <c r="AT25">
        <v>0.05</v>
      </c>
      <c r="AU25" t="s">
        <v>3</v>
      </c>
      <c r="AV25">
        <v>0</v>
      </c>
      <c r="AW25">
        <v>1</v>
      </c>
      <c r="AX25">
        <v>-1</v>
      </c>
      <c r="AY25">
        <v>0</v>
      </c>
      <c r="AZ25">
        <v>0</v>
      </c>
      <c r="BA25" t="s">
        <v>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Y25*Source!I28</f>
        <v>1.8149999999999999E-2</v>
      </c>
      <c r="CY25">
        <f>AA25</f>
        <v>68704</v>
      </c>
      <c r="CZ25">
        <f>AE25</f>
        <v>11300</v>
      </c>
      <c r="DA25">
        <f>AI25</f>
        <v>6.08</v>
      </c>
      <c r="DB25">
        <v>0</v>
      </c>
    </row>
    <row r="26" spans="1:106" x14ac:dyDescent="0.2">
      <c r="A26">
        <f>ROW(Source!A28)</f>
        <v>28</v>
      </c>
      <c r="B26">
        <v>39102310</v>
      </c>
      <c r="C26">
        <v>39102412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W26">
        <v>0</v>
      </c>
      <c r="X26">
        <v>290394019</v>
      </c>
      <c r="Y26">
        <v>50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6.08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3</v>
      </c>
      <c r="AT26">
        <v>50</v>
      </c>
      <c r="AU26" t="s">
        <v>3</v>
      </c>
      <c r="AV26">
        <v>0</v>
      </c>
      <c r="AW26">
        <v>2</v>
      </c>
      <c r="AX26">
        <v>39102428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Y26*Source!I28</f>
        <v>18.149999999999999</v>
      </c>
      <c r="CY26">
        <f>AA26</f>
        <v>0</v>
      </c>
      <c r="CZ26">
        <f>AE26</f>
        <v>0</v>
      </c>
      <c r="DA26">
        <f>AI26</f>
        <v>6.08</v>
      </c>
      <c r="DB26">
        <v>0</v>
      </c>
    </row>
    <row r="27" spans="1:106" x14ac:dyDescent="0.2">
      <c r="A27">
        <f>ROW(Source!A33)</f>
        <v>33</v>
      </c>
      <c r="B27">
        <v>39102310</v>
      </c>
      <c r="C27">
        <v>39102433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W27">
        <v>0</v>
      </c>
      <c r="X27">
        <v>-2143564933</v>
      </c>
      <c r="Y27">
        <v>12.4338</v>
      </c>
      <c r="AA27">
        <v>0</v>
      </c>
      <c r="AB27">
        <v>0</v>
      </c>
      <c r="AC27">
        <v>0</v>
      </c>
      <c r="AD27">
        <v>59.34</v>
      </c>
      <c r="AE27">
        <v>0</v>
      </c>
      <c r="AF27">
        <v>0</v>
      </c>
      <c r="AG27">
        <v>0</v>
      </c>
      <c r="AH27">
        <v>9.76</v>
      </c>
      <c r="AI27">
        <v>1</v>
      </c>
      <c r="AJ27">
        <v>1</v>
      </c>
      <c r="AK27">
        <v>1</v>
      </c>
      <c r="AL27">
        <v>6.08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9.01</v>
      </c>
      <c r="AU27" t="s">
        <v>30</v>
      </c>
      <c r="AV27">
        <v>1</v>
      </c>
      <c r="AW27">
        <v>2</v>
      </c>
      <c r="AX27">
        <v>39102441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2.8597740000000003</v>
      </c>
      <c r="CY27">
        <f>AD27</f>
        <v>59.34</v>
      </c>
      <c r="CZ27">
        <f>AH27</f>
        <v>9.76</v>
      </c>
      <c r="DA27">
        <f>AL27</f>
        <v>6.08</v>
      </c>
      <c r="DB27">
        <v>0</v>
      </c>
    </row>
    <row r="28" spans="1:106" x14ac:dyDescent="0.2">
      <c r="A28">
        <f>ROW(Source!A33)</f>
        <v>33</v>
      </c>
      <c r="B28">
        <v>39102310</v>
      </c>
      <c r="C28">
        <v>39102433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W28">
        <v>0</v>
      </c>
      <c r="X28">
        <v>-1417349443</v>
      </c>
      <c r="Y28">
        <v>0.04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6.08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0.04</v>
      </c>
      <c r="AU28" t="s">
        <v>3</v>
      </c>
      <c r="AV28">
        <v>2</v>
      </c>
      <c r="AW28">
        <v>2</v>
      </c>
      <c r="AX28">
        <v>39102442</v>
      </c>
      <c r="AY28">
        <v>1</v>
      </c>
      <c r="AZ28">
        <v>2048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9.1999999999999998E-3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ROW(Source!A33)</f>
        <v>33</v>
      </c>
      <c r="B29">
        <v>39102310</v>
      </c>
      <c r="C29">
        <v>39102433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W29">
        <v>0</v>
      </c>
      <c r="X29">
        <v>1188625873</v>
      </c>
      <c r="Y29">
        <v>7.4999999999999997E-3</v>
      </c>
      <c r="AA29">
        <v>0</v>
      </c>
      <c r="AB29">
        <v>190.06</v>
      </c>
      <c r="AC29">
        <v>13.5</v>
      </c>
      <c r="AD29">
        <v>0</v>
      </c>
      <c r="AE29">
        <v>0</v>
      </c>
      <c r="AF29">
        <v>31.26</v>
      </c>
      <c r="AG29">
        <v>13.5</v>
      </c>
      <c r="AH29">
        <v>0</v>
      </c>
      <c r="AI29">
        <v>1</v>
      </c>
      <c r="AJ29">
        <v>6.08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5.0000000000000001E-3</v>
      </c>
      <c r="AU29" t="s">
        <v>29</v>
      </c>
      <c r="AV29">
        <v>0</v>
      </c>
      <c r="AW29">
        <v>2</v>
      </c>
      <c r="AX29">
        <v>39102443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1.725E-3</v>
      </c>
      <c r="CY29">
        <f>AB29</f>
        <v>190.06</v>
      </c>
      <c r="CZ29">
        <f>AF29</f>
        <v>31.26</v>
      </c>
      <c r="DA29">
        <f>AJ29</f>
        <v>6.08</v>
      </c>
      <c r="DB29">
        <v>0</v>
      </c>
    </row>
    <row r="30" spans="1:106" x14ac:dyDescent="0.2">
      <c r="A30">
        <f>ROW(Source!A33)</f>
        <v>33</v>
      </c>
      <c r="B30">
        <v>39102310</v>
      </c>
      <c r="C30">
        <v>39102433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W30">
        <v>0</v>
      </c>
      <c r="X30">
        <v>1372534845</v>
      </c>
      <c r="Y30">
        <v>4.4999999999999998E-2</v>
      </c>
      <c r="AA30">
        <v>0</v>
      </c>
      <c r="AB30">
        <v>399.52</v>
      </c>
      <c r="AC30">
        <v>11.6</v>
      </c>
      <c r="AD30">
        <v>0</v>
      </c>
      <c r="AE30">
        <v>0</v>
      </c>
      <c r="AF30">
        <v>65.709999999999994</v>
      </c>
      <c r="AG30">
        <v>11.6</v>
      </c>
      <c r="AH30">
        <v>0</v>
      </c>
      <c r="AI30">
        <v>1</v>
      </c>
      <c r="AJ30">
        <v>6.08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0.03</v>
      </c>
      <c r="AU30" t="s">
        <v>29</v>
      </c>
      <c r="AV30">
        <v>0</v>
      </c>
      <c r="AW30">
        <v>2</v>
      </c>
      <c r="AX30">
        <v>39102444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1.035E-2</v>
      </c>
      <c r="CY30">
        <f>AB30</f>
        <v>399.52</v>
      </c>
      <c r="CZ30">
        <f>AF30</f>
        <v>65.709999999999994</v>
      </c>
      <c r="DA30">
        <f>AJ30</f>
        <v>6.08</v>
      </c>
      <c r="DB30">
        <v>0</v>
      </c>
    </row>
    <row r="31" spans="1:106" x14ac:dyDescent="0.2">
      <c r="A31">
        <f>ROW(Source!A33)</f>
        <v>33</v>
      </c>
      <c r="B31">
        <v>39102310</v>
      </c>
      <c r="C31">
        <v>39102433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W31">
        <v>0</v>
      </c>
      <c r="X31">
        <v>-2049262376</v>
      </c>
      <c r="Y31">
        <v>101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6.08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3</v>
      </c>
      <c r="AT31">
        <v>101</v>
      </c>
      <c r="AU31" t="s">
        <v>3</v>
      </c>
      <c r="AV31">
        <v>0</v>
      </c>
      <c r="AW31">
        <v>2</v>
      </c>
      <c r="AX31">
        <v>39102445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23.23</v>
      </c>
      <c r="CY31">
        <f>AA31</f>
        <v>0</v>
      </c>
      <c r="CZ31">
        <f>AE31</f>
        <v>0</v>
      </c>
      <c r="DA31">
        <f>AI31</f>
        <v>6.08</v>
      </c>
      <c r="DB31">
        <v>0</v>
      </c>
    </row>
    <row r="32" spans="1:106" x14ac:dyDescent="0.2">
      <c r="A32">
        <f>ROW(Source!A33)</f>
        <v>33</v>
      </c>
      <c r="B32">
        <v>39102310</v>
      </c>
      <c r="C32">
        <v>39102433</v>
      </c>
      <c r="D32">
        <v>36832175</v>
      </c>
      <c r="E32">
        <v>1</v>
      </c>
      <c r="F32">
        <v>1</v>
      </c>
      <c r="G32">
        <v>1</v>
      </c>
      <c r="H32">
        <v>3</v>
      </c>
      <c r="I32" t="s">
        <v>71</v>
      </c>
      <c r="J32" t="s">
        <v>74</v>
      </c>
      <c r="K32" t="s">
        <v>72</v>
      </c>
      <c r="L32">
        <v>1301</v>
      </c>
      <c r="N32">
        <v>1003</v>
      </c>
      <c r="O32" t="s">
        <v>73</v>
      </c>
      <c r="P32" t="s">
        <v>73</v>
      </c>
      <c r="Q32">
        <v>1</v>
      </c>
      <c r="W32">
        <v>0</v>
      </c>
      <c r="X32">
        <v>26470480</v>
      </c>
      <c r="Y32">
        <v>101</v>
      </c>
      <c r="AA32">
        <v>74.78</v>
      </c>
      <c r="AB32">
        <v>0</v>
      </c>
      <c r="AC32">
        <v>0</v>
      </c>
      <c r="AD32">
        <v>0</v>
      </c>
      <c r="AE32">
        <v>12.3</v>
      </c>
      <c r="AF32">
        <v>0</v>
      </c>
      <c r="AG32">
        <v>0</v>
      </c>
      <c r="AH32">
        <v>0</v>
      </c>
      <c r="AI32">
        <v>6.08</v>
      </c>
      <c r="AJ32">
        <v>1</v>
      </c>
      <c r="AK32">
        <v>1</v>
      </c>
      <c r="AL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3</v>
      </c>
      <c r="AT32">
        <v>101</v>
      </c>
      <c r="AU32" t="s">
        <v>3</v>
      </c>
      <c r="AV32">
        <v>0</v>
      </c>
      <c r="AW32">
        <v>1</v>
      </c>
      <c r="AX32">
        <v>-1</v>
      </c>
      <c r="AY32">
        <v>0</v>
      </c>
      <c r="AZ32">
        <v>0</v>
      </c>
      <c r="BA32" t="s">
        <v>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23.23</v>
      </c>
      <c r="CY32">
        <f>AA32</f>
        <v>74.78</v>
      </c>
      <c r="CZ32">
        <f>AE32</f>
        <v>12.3</v>
      </c>
      <c r="DA32">
        <f>AI32</f>
        <v>6.08</v>
      </c>
      <c r="DB32">
        <v>0</v>
      </c>
    </row>
    <row r="33" spans="1:106" x14ac:dyDescent="0.2">
      <c r="A33">
        <f>ROW(Source!A33)</f>
        <v>33</v>
      </c>
      <c r="B33">
        <v>39102310</v>
      </c>
      <c r="C33">
        <v>39102433</v>
      </c>
      <c r="D33">
        <v>36838898</v>
      </c>
      <c r="E33">
        <v>1</v>
      </c>
      <c r="F33">
        <v>1</v>
      </c>
      <c r="G33">
        <v>1</v>
      </c>
      <c r="H33">
        <v>3</v>
      </c>
      <c r="I33" t="s">
        <v>290</v>
      </c>
      <c r="J33" t="s">
        <v>291</v>
      </c>
      <c r="K33" t="s">
        <v>292</v>
      </c>
      <c r="L33">
        <v>1346</v>
      </c>
      <c r="N33">
        <v>1009</v>
      </c>
      <c r="O33" t="s">
        <v>65</v>
      </c>
      <c r="P33" t="s">
        <v>65</v>
      </c>
      <c r="Q33">
        <v>1</v>
      </c>
      <c r="W33">
        <v>0</v>
      </c>
      <c r="X33">
        <v>-593408865</v>
      </c>
      <c r="Y33">
        <v>5.15</v>
      </c>
      <c r="AA33">
        <v>50.83</v>
      </c>
      <c r="AB33">
        <v>0</v>
      </c>
      <c r="AC33">
        <v>0</v>
      </c>
      <c r="AD33">
        <v>0</v>
      </c>
      <c r="AE33">
        <v>8.36</v>
      </c>
      <c r="AF33">
        <v>0</v>
      </c>
      <c r="AG33">
        <v>0</v>
      </c>
      <c r="AH33">
        <v>0</v>
      </c>
      <c r="AI33">
        <v>6.08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5.15</v>
      </c>
      <c r="AU33" t="s">
        <v>3</v>
      </c>
      <c r="AV33">
        <v>0</v>
      </c>
      <c r="AW33">
        <v>2</v>
      </c>
      <c r="AX33">
        <v>39102446</v>
      </c>
      <c r="AY33">
        <v>1</v>
      </c>
      <c r="AZ33">
        <v>0</v>
      </c>
      <c r="BA33">
        <v>32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1.1845000000000001</v>
      </c>
      <c r="CY33">
        <f>AA33</f>
        <v>50.83</v>
      </c>
      <c r="CZ33">
        <f>AE33</f>
        <v>8.36</v>
      </c>
      <c r="DA33">
        <f>AI33</f>
        <v>6.08</v>
      </c>
      <c r="DB33">
        <v>0</v>
      </c>
    </row>
    <row r="34" spans="1:106" x14ac:dyDescent="0.2">
      <c r="A34">
        <f>ROW(Source!A36)</f>
        <v>36</v>
      </c>
      <c r="B34">
        <v>39102310</v>
      </c>
      <c r="C34">
        <v>39102449</v>
      </c>
      <c r="D34">
        <v>37065248</v>
      </c>
      <c r="E34">
        <v>1</v>
      </c>
      <c r="F34">
        <v>1</v>
      </c>
      <c r="G34">
        <v>1</v>
      </c>
      <c r="H34">
        <v>1</v>
      </c>
      <c r="I34" t="s">
        <v>265</v>
      </c>
      <c r="J34" t="s">
        <v>3</v>
      </c>
      <c r="K34" t="s">
        <v>266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W34">
        <v>0</v>
      </c>
      <c r="X34">
        <v>-400197608</v>
      </c>
      <c r="Y34">
        <v>1.2419999999999998</v>
      </c>
      <c r="AA34">
        <v>0</v>
      </c>
      <c r="AB34">
        <v>0</v>
      </c>
      <c r="AC34">
        <v>0</v>
      </c>
      <c r="AD34">
        <v>51.86</v>
      </c>
      <c r="AE34">
        <v>0</v>
      </c>
      <c r="AF34">
        <v>0</v>
      </c>
      <c r="AG34">
        <v>0</v>
      </c>
      <c r="AH34">
        <v>8.5299999999999994</v>
      </c>
      <c r="AI34">
        <v>1</v>
      </c>
      <c r="AJ34">
        <v>1</v>
      </c>
      <c r="AK34">
        <v>1</v>
      </c>
      <c r="AL34">
        <v>6.08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0.9</v>
      </c>
      <c r="AU34" t="s">
        <v>30</v>
      </c>
      <c r="AV34">
        <v>1</v>
      </c>
      <c r="AW34">
        <v>2</v>
      </c>
      <c r="AX34">
        <v>39102451</v>
      </c>
      <c r="AY34">
        <v>1</v>
      </c>
      <c r="AZ34">
        <v>0</v>
      </c>
      <c r="BA34">
        <v>33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Y34*Source!I36</f>
        <v>95.509799999999984</v>
      </c>
      <c r="CY34">
        <f>AD34</f>
        <v>51.86</v>
      </c>
      <c r="CZ34">
        <f>AH34</f>
        <v>8.5299999999999994</v>
      </c>
      <c r="DA34">
        <f>AL34</f>
        <v>6.08</v>
      </c>
      <c r="DB34">
        <v>0</v>
      </c>
    </row>
    <row r="35" spans="1:106" x14ac:dyDescent="0.2">
      <c r="A35">
        <f>ROW(Source!A37)</f>
        <v>37</v>
      </c>
      <c r="B35">
        <v>39102310</v>
      </c>
      <c r="C35">
        <v>39102452</v>
      </c>
      <c r="D35">
        <v>37066739</v>
      </c>
      <c r="E35">
        <v>1</v>
      </c>
      <c r="F35">
        <v>1</v>
      </c>
      <c r="G35">
        <v>1</v>
      </c>
      <c r="H35">
        <v>1</v>
      </c>
      <c r="I35" t="s">
        <v>293</v>
      </c>
      <c r="J35" t="s">
        <v>3</v>
      </c>
      <c r="K35" t="s">
        <v>294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W35">
        <v>0</v>
      </c>
      <c r="X35">
        <v>-608433632</v>
      </c>
      <c r="Y35">
        <v>35.83</v>
      </c>
      <c r="AA35">
        <v>0</v>
      </c>
      <c r="AB35">
        <v>0</v>
      </c>
      <c r="AC35">
        <v>0</v>
      </c>
      <c r="AD35">
        <v>51.44</v>
      </c>
      <c r="AE35">
        <v>0</v>
      </c>
      <c r="AF35">
        <v>0</v>
      </c>
      <c r="AG35">
        <v>0</v>
      </c>
      <c r="AH35">
        <v>8.4600000000000009</v>
      </c>
      <c r="AI35">
        <v>1</v>
      </c>
      <c r="AJ35">
        <v>1</v>
      </c>
      <c r="AK35">
        <v>1</v>
      </c>
      <c r="AL35">
        <v>6.08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35.83</v>
      </c>
      <c r="AU35" t="s">
        <v>3</v>
      </c>
      <c r="AV35">
        <v>1</v>
      </c>
      <c r="AW35">
        <v>2</v>
      </c>
      <c r="AX35">
        <v>39102461</v>
      </c>
      <c r="AY35">
        <v>1</v>
      </c>
      <c r="AZ35">
        <v>0</v>
      </c>
      <c r="BA35">
        <v>34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27.553269999999998</v>
      </c>
      <c r="CY35">
        <f>AD35</f>
        <v>51.44</v>
      </c>
      <c r="CZ35">
        <f>AH35</f>
        <v>8.4600000000000009</v>
      </c>
      <c r="DA35">
        <f>AL35</f>
        <v>6.08</v>
      </c>
      <c r="DB35">
        <v>0</v>
      </c>
    </row>
    <row r="36" spans="1:106" x14ac:dyDescent="0.2">
      <c r="A36">
        <f>ROW(Source!A37)</f>
        <v>37</v>
      </c>
      <c r="B36">
        <v>39102310</v>
      </c>
      <c r="C36">
        <v>39102452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259</v>
      </c>
      <c r="J36" t="s">
        <v>3</v>
      </c>
      <c r="K36" t="s">
        <v>260</v>
      </c>
      <c r="L36">
        <v>1191</v>
      </c>
      <c r="N36">
        <v>1013</v>
      </c>
      <c r="O36" t="s">
        <v>258</v>
      </c>
      <c r="P36" t="s">
        <v>258</v>
      </c>
      <c r="Q36">
        <v>1</v>
      </c>
      <c r="W36">
        <v>0</v>
      </c>
      <c r="X36">
        <v>-1417349443</v>
      </c>
      <c r="Y36">
        <v>0.94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6.08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0.94</v>
      </c>
      <c r="AU36" t="s">
        <v>3</v>
      </c>
      <c r="AV36">
        <v>2</v>
      </c>
      <c r="AW36">
        <v>2</v>
      </c>
      <c r="AX36">
        <v>39102462</v>
      </c>
      <c r="AY36">
        <v>1</v>
      </c>
      <c r="AZ36">
        <v>0</v>
      </c>
      <c r="BA36">
        <v>35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0.72285999999999995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ROW(Source!A37)</f>
        <v>37</v>
      </c>
      <c r="B37">
        <v>39102310</v>
      </c>
      <c r="C37">
        <v>39102452</v>
      </c>
      <c r="D37">
        <v>36882383</v>
      </c>
      <c r="E37">
        <v>1</v>
      </c>
      <c r="F37">
        <v>1</v>
      </c>
      <c r="G37">
        <v>1</v>
      </c>
      <c r="H37">
        <v>2</v>
      </c>
      <c r="I37" t="s">
        <v>295</v>
      </c>
      <c r="J37" t="s">
        <v>296</v>
      </c>
      <c r="K37" t="s">
        <v>297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W37">
        <v>0</v>
      </c>
      <c r="X37">
        <v>1225731627</v>
      </c>
      <c r="Y37">
        <v>0.02</v>
      </c>
      <c r="AA37">
        <v>0</v>
      </c>
      <c r="AB37">
        <v>547.14</v>
      </c>
      <c r="AC37">
        <v>10.06</v>
      </c>
      <c r="AD37">
        <v>0</v>
      </c>
      <c r="AE37">
        <v>0</v>
      </c>
      <c r="AF37">
        <v>89.99</v>
      </c>
      <c r="AG37">
        <v>10.06</v>
      </c>
      <c r="AH37">
        <v>0</v>
      </c>
      <c r="AI37">
        <v>1</v>
      </c>
      <c r="AJ37">
        <v>6.08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0.02</v>
      </c>
      <c r="AU37" t="s">
        <v>3</v>
      </c>
      <c r="AV37">
        <v>0</v>
      </c>
      <c r="AW37">
        <v>2</v>
      </c>
      <c r="AX37">
        <v>39102463</v>
      </c>
      <c r="AY37">
        <v>1</v>
      </c>
      <c r="AZ37">
        <v>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1.5380000000000001E-2</v>
      </c>
      <c r="CY37">
        <f>AB37</f>
        <v>547.14</v>
      </c>
      <c r="CZ37">
        <f>AF37</f>
        <v>89.99</v>
      </c>
      <c r="DA37">
        <f>AJ37</f>
        <v>6.08</v>
      </c>
      <c r="DB37">
        <v>0</v>
      </c>
    </row>
    <row r="38" spans="1:106" x14ac:dyDescent="0.2">
      <c r="A38">
        <f>ROW(Source!A37)</f>
        <v>37</v>
      </c>
      <c r="B38">
        <v>39102310</v>
      </c>
      <c r="C38">
        <v>39102452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261</v>
      </c>
      <c r="J38" t="s">
        <v>262</v>
      </c>
      <c r="K38" t="s">
        <v>263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W38">
        <v>0</v>
      </c>
      <c r="X38">
        <v>1188625873</v>
      </c>
      <c r="Y38">
        <v>0.21</v>
      </c>
      <c r="AA38">
        <v>0</v>
      </c>
      <c r="AB38">
        <v>190.06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6.08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0.21</v>
      </c>
      <c r="AU38" t="s">
        <v>3</v>
      </c>
      <c r="AV38">
        <v>0</v>
      </c>
      <c r="AW38">
        <v>2</v>
      </c>
      <c r="AX38">
        <v>39102464</v>
      </c>
      <c r="AY38">
        <v>1</v>
      </c>
      <c r="AZ38">
        <v>0</v>
      </c>
      <c r="BA38">
        <v>37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Y38*Source!I37</f>
        <v>0.16148999999999999</v>
      </c>
      <c r="CY38">
        <f>AB38</f>
        <v>190.06</v>
      </c>
      <c r="CZ38">
        <f>AF38</f>
        <v>31.26</v>
      </c>
      <c r="DA38">
        <f>AJ38</f>
        <v>6.08</v>
      </c>
      <c r="DB38">
        <v>0</v>
      </c>
    </row>
    <row r="39" spans="1:106" x14ac:dyDescent="0.2">
      <c r="A39">
        <f>ROW(Source!A37)</f>
        <v>37</v>
      </c>
      <c r="B39">
        <v>39102310</v>
      </c>
      <c r="C39">
        <v>39102452</v>
      </c>
      <c r="D39">
        <v>36882621</v>
      </c>
      <c r="E39">
        <v>1</v>
      </c>
      <c r="F39">
        <v>1</v>
      </c>
      <c r="G39">
        <v>1</v>
      </c>
      <c r="H39">
        <v>2</v>
      </c>
      <c r="I39" t="s">
        <v>298</v>
      </c>
      <c r="J39" t="s">
        <v>299</v>
      </c>
      <c r="K39" t="s">
        <v>300</v>
      </c>
      <c r="L39">
        <v>1368</v>
      </c>
      <c r="N39">
        <v>1011</v>
      </c>
      <c r="O39" t="s">
        <v>264</v>
      </c>
      <c r="P39" t="s">
        <v>264</v>
      </c>
      <c r="Q39">
        <v>1</v>
      </c>
      <c r="W39">
        <v>0</v>
      </c>
      <c r="X39">
        <v>983187852</v>
      </c>
      <c r="Y39">
        <v>0.71</v>
      </c>
      <c r="AA39">
        <v>0</v>
      </c>
      <c r="AB39">
        <v>75.33</v>
      </c>
      <c r="AC39">
        <v>10.06</v>
      </c>
      <c r="AD39">
        <v>0</v>
      </c>
      <c r="AE39">
        <v>0</v>
      </c>
      <c r="AF39">
        <v>12.39</v>
      </c>
      <c r="AG39">
        <v>10.06</v>
      </c>
      <c r="AH39">
        <v>0</v>
      </c>
      <c r="AI39">
        <v>1</v>
      </c>
      <c r="AJ39">
        <v>6.08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0.71</v>
      </c>
      <c r="AU39" t="s">
        <v>3</v>
      </c>
      <c r="AV39">
        <v>0</v>
      </c>
      <c r="AW39">
        <v>2</v>
      </c>
      <c r="AX39">
        <v>39102465</v>
      </c>
      <c r="AY39">
        <v>1</v>
      </c>
      <c r="AZ39">
        <v>0</v>
      </c>
      <c r="BA39">
        <v>38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0.54598999999999998</v>
      </c>
      <c r="CY39">
        <f>AB39</f>
        <v>75.33</v>
      </c>
      <c r="CZ39">
        <f>AF39</f>
        <v>12.39</v>
      </c>
      <c r="DA39">
        <f>AJ39</f>
        <v>6.08</v>
      </c>
      <c r="DB39">
        <v>0</v>
      </c>
    </row>
    <row r="40" spans="1:106" x14ac:dyDescent="0.2">
      <c r="A40">
        <f>ROW(Source!A37)</f>
        <v>37</v>
      </c>
      <c r="B40">
        <v>39102310</v>
      </c>
      <c r="C40">
        <v>39102452</v>
      </c>
      <c r="D40">
        <v>36801792</v>
      </c>
      <c r="E40">
        <v>1</v>
      </c>
      <c r="F40">
        <v>1</v>
      </c>
      <c r="G40">
        <v>1</v>
      </c>
      <c r="H40">
        <v>3</v>
      </c>
      <c r="I40" t="s">
        <v>273</v>
      </c>
      <c r="J40" t="s">
        <v>274</v>
      </c>
      <c r="K40" t="s">
        <v>275</v>
      </c>
      <c r="L40">
        <v>1339</v>
      </c>
      <c r="N40">
        <v>1007</v>
      </c>
      <c r="O40" t="s">
        <v>276</v>
      </c>
      <c r="P40" t="s">
        <v>276</v>
      </c>
      <c r="Q40">
        <v>1</v>
      </c>
      <c r="W40">
        <v>0</v>
      </c>
      <c r="X40">
        <v>-1660354250</v>
      </c>
      <c r="Y40">
        <v>0.51300000000000001</v>
      </c>
      <c r="AA40">
        <v>14.84</v>
      </c>
      <c r="AB40">
        <v>0</v>
      </c>
      <c r="AC40">
        <v>0</v>
      </c>
      <c r="AD40">
        <v>0</v>
      </c>
      <c r="AE40">
        <v>2.44</v>
      </c>
      <c r="AF40">
        <v>0</v>
      </c>
      <c r="AG40">
        <v>0</v>
      </c>
      <c r="AH40">
        <v>0</v>
      </c>
      <c r="AI40">
        <v>6.08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0.51300000000000001</v>
      </c>
      <c r="AU40" t="s">
        <v>3</v>
      </c>
      <c r="AV40">
        <v>0</v>
      </c>
      <c r="AW40">
        <v>2</v>
      </c>
      <c r="AX40">
        <v>39102466</v>
      </c>
      <c r="AY40">
        <v>1</v>
      </c>
      <c r="AZ40">
        <v>0</v>
      </c>
      <c r="BA40">
        <v>39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0.39449700000000004</v>
      </c>
      <c r="CY40">
        <f>AA40</f>
        <v>14.84</v>
      </c>
      <c r="CZ40">
        <f>AE40</f>
        <v>2.44</v>
      </c>
      <c r="DA40">
        <f>AI40</f>
        <v>6.08</v>
      </c>
      <c r="DB40">
        <v>0</v>
      </c>
    </row>
    <row r="41" spans="1:106" x14ac:dyDescent="0.2">
      <c r="A41">
        <f>ROW(Source!A37)</f>
        <v>37</v>
      </c>
      <c r="B41">
        <v>39102310</v>
      </c>
      <c r="C41">
        <v>39102452</v>
      </c>
      <c r="D41">
        <v>36797456</v>
      </c>
      <c r="E41">
        <v>17</v>
      </c>
      <c r="F41">
        <v>1</v>
      </c>
      <c r="G41">
        <v>1</v>
      </c>
      <c r="H41">
        <v>3</v>
      </c>
      <c r="I41" t="s">
        <v>95</v>
      </c>
      <c r="J41" t="s">
        <v>3</v>
      </c>
      <c r="K41" t="s">
        <v>96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W41">
        <v>0</v>
      </c>
      <c r="X41">
        <v>1880203204</v>
      </c>
      <c r="Y41">
        <v>0.85499999999999998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6.08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0.85499999999999998</v>
      </c>
      <c r="AU41" t="s">
        <v>3</v>
      </c>
      <c r="AV41">
        <v>0</v>
      </c>
      <c r="AW41">
        <v>2</v>
      </c>
      <c r="AX41">
        <v>39102467</v>
      </c>
      <c r="AY41">
        <v>1</v>
      </c>
      <c r="AZ41">
        <v>0</v>
      </c>
      <c r="BA41">
        <v>40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0.65749500000000005</v>
      </c>
      <c r="CY41">
        <f>AA41</f>
        <v>0</v>
      </c>
      <c r="CZ41">
        <f>AE41</f>
        <v>0</v>
      </c>
      <c r="DA41">
        <f>AI41</f>
        <v>6.08</v>
      </c>
      <c r="DB41">
        <v>0</v>
      </c>
    </row>
    <row r="42" spans="1:106" x14ac:dyDescent="0.2">
      <c r="A42">
        <f>ROW(Source!A37)</f>
        <v>37</v>
      </c>
      <c r="B42">
        <v>39102310</v>
      </c>
      <c r="C42">
        <v>39102452</v>
      </c>
      <c r="D42">
        <v>36807792</v>
      </c>
      <c r="E42">
        <v>1</v>
      </c>
      <c r="F42">
        <v>1</v>
      </c>
      <c r="G42">
        <v>1</v>
      </c>
      <c r="H42">
        <v>3</v>
      </c>
      <c r="I42" t="s">
        <v>91</v>
      </c>
      <c r="J42" t="s">
        <v>93</v>
      </c>
      <c r="K42" t="s">
        <v>92</v>
      </c>
      <c r="L42">
        <v>1348</v>
      </c>
      <c r="N42">
        <v>1009</v>
      </c>
      <c r="O42" t="s">
        <v>60</v>
      </c>
      <c r="P42" t="s">
        <v>60</v>
      </c>
      <c r="Q42">
        <v>1000</v>
      </c>
      <c r="W42">
        <v>0</v>
      </c>
      <c r="X42">
        <v>-791558573</v>
      </c>
      <c r="Y42">
        <v>0.85499999999999998</v>
      </c>
      <c r="AA42">
        <v>5662.73</v>
      </c>
      <c r="AB42">
        <v>0</v>
      </c>
      <c r="AC42">
        <v>0</v>
      </c>
      <c r="AD42">
        <v>0</v>
      </c>
      <c r="AE42">
        <v>931.37</v>
      </c>
      <c r="AF42">
        <v>0</v>
      </c>
      <c r="AG42">
        <v>0</v>
      </c>
      <c r="AH42">
        <v>0</v>
      </c>
      <c r="AI42">
        <v>6.08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0.85499999999999998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0.65749500000000005</v>
      </c>
      <c r="CY42">
        <f>AA42</f>
        <v>5662.73</v>
      </c>
      <c r="CZ42">
        <f>AE42</f>
        <v>931.37</v>
      </c>
      <c r="DA42">
        <f>AI42</f>
        <v>6.08</v>
      </c>
      <c r="DB42">
        <v>0</v>
      </c>
    </row>
    <row r="43" spans="1:106" x14ac:dyDescent="0.2">
      <c r="A43">
        <f>ROW(Source!A40)</f>
        <v>40</v>
      </c>
      <c r="B43">
        <v>39102310</v>
      </c>
      <c r="C43">
        <v>39103058</v>
      </c>
      <c r="D43">
        <v>37071037</v>
      </c>
      <c r="E43">
        <v>1</v>
      </c>
      <c r="F43">
        <v>1</v>
      </c>
      <c r="G43">
        <v>1</v>
      </c>
      <c r="H43">
        <v>1</v>
      </c>
      <c r="I43" t="s">
        <v>301</v>
      </c>
      <c r="J43" t="s">
        <v>3</v>
      </c>
      <c r="K43" t="s">
        <v>302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W43">
        <v>0</v>
      </c>
      <c r="X43">
        <v>1069510174</v>
      </c>
      <c r="Y43">
        <v>9.0389999999999979</v>
      </c>
      <c r="AA43">
        <v>0</v>
      </c>
      <c r="AB43">
        <v>0</v>
      </c>
      <c r="AC43">
        <v>0</v>
      </c>
      <c r="AD43">
        <v>58.49</v>
      </c>
      <c r="AE43">
        <v>0</v>
      </c>
      <c r="AF43">
        <v>0</v>
      </c>
      <c r="AG43">
        <v>0</v>
      </c>
      <c r="AH43">
        <v>9.6199999999999992</v>
      </c>
      <c r="AI43">
        <v>1</v>
      </c>
      <c r="AJ43">
        <v>1</v>
      </c>
      <c r="AK43">
        <v>1</v>
      </c>
      <c r="AL43">
        <v>6.08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6.55</v>
      </c>
      <c r="AU43" t="s">
        <v>30</v>
      </c>
      <c r="AV43">
        <v>1</v>
      </c>
      <c r="AW43">
        <v>2</v>
      </c>
      <c r="AX43">
        <v>39103066</v>
      </c>
      <c r="AY43">
        <v>1</v>
      </c>
      <c r="AZ43">
        <v>0</v>
      </c>
      <c r="BA43">
        <v>42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Y43*Source!I40</f>
        <v>6.9509909999999984</v>
      </c>
      <c r="CY43">
        <f>AD43</f>
        <v>58.49</v>
      </c>
      <c r="CZ43">
        <f>AH43</f>
        <v>9.6199999999999992</v>
      </c>
      <c r="DA43">
        <f>AL43</f>
        <v>6.08</v>
      </c>
      <c r="DB43">
        <v>0</v>
      </c>
    </row>
    <row r="44" spans="1:106" x14ac:dyDescent="0.2">
      <c r="A44">
        <f>ROW(Source!A40)</f>
        <v>40</v>
      </c>
      <c r="B44">
        <v>39102310</v>
      </c>
      <c r="C44">
        <v>39103058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259</v>
      </c>
      <c r="J44" t="s">
        <v>3</v>
      </c>
      <c r="K44" t="s">
        <v>260</v>
      </c>
      <c r="L44">
        <v>1191</v>
      </c>
      <c r="N44">
        <v>1013</v>
      </c>
      <c r="O44" t="s">
        <v>258</v>
      </c>
      <c r="P44" t="s">
        <v>258</v>
      </c>
      <c r="Q44">
        <v>1</v>
      </c>
      <c r="W44">
        <v>0</v>
      </c>
      <c r="X44">
        <v>-1417349443</v>
      </c>
      <c r="Y44">
        <v>0.02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6.08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0.02</v>
      </c>
      <c r="AU44" t="s">
        <v>3</v>
      </c>
      <c r="AV44">
        <v>2</v>
      </c>
      <c r="AW44">
        <v>2</v>
      </c>
      <c r="AX44">
        <v>39103067</v>
      </c>
      <c r="AY44">
        <v>1</v>
      </c>
      <c r="AZ44">
        <v>2048</v>
      </c>
      <c r="BA44">
        <v>43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1.5380000000000001E-2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ROW(Source!A40)</f>
        <v>40</v>
      </c>
      <c r="B45">
        <v>39102310</v>
      </c>
      <c r="C45">
        <v>39103058</v>
      </c>
      <c r="D45">
        <v>36882452</v>
      </c>
      <c r="E45">
        <v>1</v>
      </c>
      <c r="F45">
        <v>1</v>
      </c>
      <c r="G45">
        <v>1</v>
      </c>
      <c r="H45">
        <v>2</v>
      </c>
      <c r="I45" t="s">
        <v>261</v>
      </c>
      <c r="J45" t="s">
        <v>262</v>
      </c>
      <c r="K45" t="s">
        <v>263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W45">
        <v>0</v>
      </c>
      <c r="X45">
        <v>1188625873</v>
      </c>
      <c r="Y45">
        <v>1.4999999999999999E-2</v>
      </c>
      <c r="AA45">
        <v>0</v>
      </c>
      <c r="AB45">
        <v>190.06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6.08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0.01</v>
      </c>
      <c r="AU45" t="s">
        <v>29</v>
      </c>
      <c r="AV45">
        <v>0</v>
      </c>
      <c r="AW45">
        <v>2</v>
      </c>
      <c r="AX45">
        <v>39103068</v>
      </c>
      <c r="AY45">
        <v>1</v>
      </c>
      <c r="AZ45">
        <v>0</v>
      </c>
      <c r="BA45">
        <v>44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1.1535E-2</v>
      </c>
      <c r="CY45">
        <f>AB45</f>
        <v>190.06</v>
      </c>
      <c r="CZ45">
        <f>AF45</f>
        <v>31.26</v>
      </c>
      <c r="DA45">
        <f>AJ45</f>
        <v>6.08</v>
      </c>
      <c r="DB45">
        <v>0</v>
      </c>
    </row>
    <row r="46" spans="1:106" x14ac:dyDescent="0.2">
      <c r="A46">
        <f>ROW(Source!A40)</f>
        <v>40</v>
      </c>
      <c r="B46">
        <v>39102310</v>
      </c>
      <c r="C46">
        <v>39103058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270</v>
      </c>
      <c r="J46" t="s">
        <v>271</v>
      </c>
      <c r="K46" t="s">
        <v>272</v>
      </c>
      <c r="L46">
        <v>1368</v>
      </c>
      <c r="N46">
        <v>1011</v>
      </c>
      <c r="O46" t="s">
        <v>264</v>
      </c>
      <c r="P46" t="s">
        <v>264</v>
      </c>
      <c r="Q46">
        <v>1</v>
      </c>
      <c r="W46">
        <v>0</v>
      </c>
      <c r="X46">
        <v>1372534845</v>
      </c>
      <c r="Y46">
        <v>1.4999999999999999E-2</v>
      </c>
      <c r="AA46">
        <v>0</v>
      </c>
      <c r="AB46">
        <v>399.52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6.08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0.01</v>
      </c>
      <c r="AU46" t="s">
        <v>29</v>
      </c>
      <c r="AV46">
        <v>0</v>
      </c>
      <c r="AW46">
        <v>2</v>
      </c>
      <c r="AX46">
        <v>39103069</v>
      </c>
      <c r="AY46">
        <v>1</v>
      </c>
      <c r="AZ46">
        <v>0</v>
      </c>
      <c r="BA46">
        <v>45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1.1535E-2</v>
      </c>
      <c r="CY46">
        <f>AB46</f>
        <v>399.52</v>
      </c>
      <c r="CZ46">
        <f>AF46</f>
        <v>65.709999999999994</v>
      </c>
      <c r="DA46">
        <f>AJ46</f>
        <v>6.08</v>
      </c>
      <c r="DB46">
        <v>0</v>
      </c>
    </row>
    <row r="47" spans="1:106" x14ac:dyDescent="0.2">
      <c r="A47">
        <f>ROW(Source!A40)</f>
        <v>40</v>
      </c>
      <c r="B47">
        <v>39102310</v>
      </c>
      <c r="C47">
        <v>39103058</v>
      </c>
      <c r="D47">
        <v>36805524</v>
      </c>
      <c r="E47">
        <v>1</v>
      </c>
      <c r="F47">
        <v>1</v>
      </c>
      <c r="G47">
        <v>1</v>
      </c>
      <c r="H47">
        <v>3</v>
      </c>
      <c r="I47" t="s">
        <v>285</v>
      </c>
      <c r="J47" t="s">
        <v>286</v>
      </c>
      <c r="K47" t="s">
        <v>287</v>
      </c>
      <c r="L47">
        <v>1346</v>
      </c>
      <c r="N47">
        <v>1009</v>
      </c>
      <c r="O47" t="s">
        <v>65</v>
      </c>
      <c r="P47" t="s">
        <v>65</v>
      </c>
      <c r="Q47">
        <v>1</v>
      </c>
      <c r="W47">
        <v>0</v>
      </c>
      <c r="X47">
        <v>813963326</v>
      </c>
      <c r="Y47">
        <v>0.1</v>
      </c>
      <c r="AA47">
        <v>11.07</v>
      </c>
      <c r="AB47">
        <v>0</v>
      </c>
      <c r="AC47">
        <v>0</v>
      </c>
      <c r="AD47">
        <v>0</v>
      </c>
      <c r="AE47">
        <v>1.82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0.1</v>
      </c>
      <c r="AU47" t="s">
        <v>3</v>
      </c>
      <c r="AV47">
        <v>0</v>
      </c>
      <c r="AW47">
        <v>2</v>
      </c>
      <c r="AX47">
        <v>39103070</v>
      </c>
      <c r="AY47">
        <v>1</v>
      </c>
      <c r="AZ47">
        <v>0</v>
      </c>
      <c r="BA47">
        <v>46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7.690000000000001E-2</v>
      </c>
      <c r="CY47">
        <f>AA47</f>
        <v>11.07</v>
      </c>
      <c r="CZ47">
        <f>AE47</f>
        <v>1.82</v>
      </c>
      <c r="DA47">
        <f>AI47</f>
        <v>6.08</v>
      </c>
      <c r="DB47">
        <v>0</v>
      </c>
    </row>
    <row r="48" spans="1:106" x14ac:dyDescent="0.2">
      <c r="A48">
        <f>ROW(Source!A40)</f>
        <v>40</v>
      </c>
      <c r="B48">
        <v>39102310</v>
      </c>
      <c r="C48">
        <v>39103058</v>
      </c>
      <c r="D48">
        <v>36837720</v>
      </c>
      <c r="E48">
        <v>1</v>
      </c>
      <c r="F48">
        <v>1</v>
      </c>
      <c r="G48">
        <v>1</v>
      </c>
      <c r="H48">
        <v>3</v>
      </c>
      <c r="I48" t="s">
        <v>104</v>
      </c>
      <c r="J48" t="s">
        <v>106</v>
      </c>
      <c r="K48" t="s">
        <v>105</v>
      </c>
      <c r="L48">
        <v>1348</v>
      </c>
      <c r="N48">
        <v>1009</v>
      </c>
      <c r="O48" t="s">
        <v>60</v>
      </c>
      <c r="P48" t="s">
        <v>60</v>
      </c>
      <c r="Q48">
        <v>1000</v>
      </c>
      <c r="W48">
        <v>0</v>
      </c>
      <c r="X48">
        <v>-1919714308</v>
      </c>
      <c r="Y48">
        <v>1.2999999999999999E-2</v>
      </c>
      <c r="AA48">
        <v>111812.17</v>
      </c>
      <c r="AB48">
        <v>0</v>
      </c>
      <c r="AC48">
        <v>0</v>
      </c>
      <c r="AD48">
        <v>0</v>
      </c>
      <c r="AE48">
        <v>18390.16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1.2999999999999999E-2</v>
      </c>
      <c r="AU48" t="s">
        <v>3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9.9969999999999989E-3</v>
      </c>
      <c r="CY48">
        <f>AA48</f>
        <v>111812.17</v>
      </c>
      <c r="CZ48">
        <f>AE48</f>
        <v>18390.16</v>
      </c>
      <c r="DA48">
        <f>AI48</f>
        <v>6.08</v>
      </c>
      <c r="DB48">
        <v>0</v>
      </c>
    </row>
    <row r="49" spans="1:106" x14ac:dyDescent="0.2">
      <c r="A49">
        <f>ROW(Source!A40)</f>
        <v>40</v>
      </c>
      <c r="B49">
        <v>39102310</v>
      </c>
      <c r="C49">
        <v>39103058</v>
      </c>
      <c r="D49">
        <v>36797079</v>
      </c>
      <c r="E49">
        <v>17</v>
      </c>
      <c r="F49">
        <v>1</v>
      </c>
      <c r="G49">
        <v>1</v>
      </c>
      <c r="H49">
        <v>3</v>
      </c>
      <c r="I49" t="s">
        <v>108</v>
      </c>
      <c r="J49" t="s">
        <v>3</v>
      </c>
      <c r="K49" t="s">
        <v>109</v>
      </c>
      <c r="L49">
        <v>1348</v>
      </c>
      <c r="N49">
        <v>1009</v>
      </c>
      <c r="O49" t="s">
        <v>60</v>
      </c>
      <c r="P49" t="s">
        <v>60</v>
      </c>
      <c r="Q49">
        <v>1000</v>
      </c>
      <c r="W49">
        <v>0</v>
      </c>
      <c r="X49">
        <v>-1212923053</v>
      </c>
      <c r="Y49">
        <v>1.2999999999999999E-2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6.08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3</v>
      </c>
      <c r="AT49">
        <v>1.2999999999999999E-2</v>
      </c>
      <c r="AU49" t="s">
        <v>3</v>
      </c>
      <c r="AV49">
        <v>0</v>
      </c>
      <c r="AW49">
        <v>2</v>
      </c>
      <c r="AX49">
        <v>39103071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9.9969999999999989E-3</v>
      </c>
      <c r="CY49">
        <f>AA49</f>
        <v>0</v>
      </c>
      <c r="CZ49">
        <f>AE49</f>
        <v>0</v>
      </c>
      <c r="DA49">
        <f>AI49</f>
        <v>6.08</v>
      </c>
      <c r="DB49">
        <v>0</v>
      </c>
    </row>
    <row r="50" spans="1:106" x14ac:dyDescent="0.2">
      <c r="A50">
        <f>ROW(Source!A43)</f>
        <v>43</v>
      </c>
      <c r="B50">
        <v>39102310</v>
      </c>
      <c r="C50">
        <v>39103074</v>
      </c>
      <c r="D50">
        <v>37071037</v>
      </c>
      <c r="E50">
        <v>1</v>
      </c>
      <c r="F50">
        <v>1</v>
      </c>
      <c r="G50">
        <v>1</v>
      </c>
      <c r="H50">
        <v>1</v>
      </c>
      <c r="I50" t="s">
        <v>301</v>
      </c>
      <c r="J50" t="s">
        <v>3</v>
      </c>
      <c r="K50" t="s">
        <v>302</v>
      </c>
      <c r="L50">
        <v>1191</v>
      </c>
      <c r="N50">
        <v>1013</v>
      </c>
      <c r="O50" t="s">
        <v>258</v>
      </c>
      <c r="P50" t="s">
        <v>258</v>
      </c>
      <c r="Q50">
        <v>1</v>
      </c>
      <c r="W50">
        <v>0</v>
      </c>
      <c r="X50">
        <v>1069510174</v>
      </c>
      <c r="Y50">
        <v>11.177999999999999</v>
      </c>
      <c r="AA50">
        <v>0</v>
      </c>
      <c r="AB50">
        <v>0</v>
      </c>
      <c r="AC50">
        <v>0</v>
      </c>
      <c r="AD50">
        <v>58.49</v>
      </c>
      <c r="AE50">
        <v>0</v>
      </c>
      <c r="AF50">
        <v>0</v>
      </c>
      <c r="AG50">
        <v>0</v>
      </c>
      <c r="AH50">
        <v>9.6199999999999992</v>
      </c>
      <c r="AI50">
        <v>1</v>
      </c>
      <c r="AJ50">
        <v>1</v>
      </c>
      <c r="AK50">
        <v>1</v>
      </c>
      <c r="AL50">
        <v>6.08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8.1</v>
      </c>
      <c r="AU50" t="s">
        <v>30</v>
      </c>
      <c r="AV50">
        <v>1</v>
      </c>
      <c r="AW50">
        <v>2</v>
      </c>
      <c r="AX50">
        <v>39103082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4.0576139999999992</v>
      </c>
      <c r="CY50">
        <f>AD50</f>
        <v>58.49</v>
      </c>
      <c r="CZ50">
        <f>AH50</f>
        <v>9.6199999999999992</v>
      </c>
      <c r="DA50">
        <f>AL50</f>
        <v>6.08</v>
      </c>
      <c r="DB50">
        <v>0</v>
      </c>
    </row>
    <row r="51" spans="1:106" x14ac:dyDescent="0.2">
      <c r="A51">
        <f>ROW(Source!A43)</f>
        <v>43</v>
      </c>
      <c r="B51">
        <v>39102310</v>
      </c>
      <c r="C51">
        <v>39103074</v>
      </c>
      <c r="D51">
        <v>37064876</v>
      </c>
      <c r="E51">
        <v>1</v>
      </c>
      <c r="F51">
        <v>1</v>
      </c>
      <c r="G51">
        <v>1</v>
      </c>
      <c r="H51">
        <v>1</v>
      </c>
      <c r="I51" t="s">
        <v>259</v>
      </c>
      <c r="J51" t="s">
        <v>3</v>
      </c>
      <c r="K51" t="s">
        <v>260</v>
      </c>
      <c r="L51">
        <v>1191</v>
      </c>
      <c r="N51">
        <v>1013</v>
      </c>
      <c r="O51" t="s">
        <v>258</v>
      </c>
      <c r="P51" t="s">
        <v>258</v>
      </c>
      <c r="Q51">
        <v>1</v>
      </c>
      <c r="W51">
        <v>0</v>
      </c>
      <c r="X51">
        <v>-1417349443</v>
      </c>
      <c r="Y51">
        <v>0.02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6.08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0.02</v>
      </c>
      <c r="AU51" t="s">
        <v>3</v>
      </c>
      <c r="AV51">
        <v>2</v>
      </c>
      <c r="AW51">
        <v>2</v>
      </c>
      <c r="AX51">
        <v>39103083</v>
      </c>
      <c r="AY51">
        <v>1</v>
      </c>
      <c r="AZ51">
        <v>2048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Y51*Source!I43</f>
        <v>7.26E-3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ROW(Source!A43)</f>
        <v>43</v>
      </c>
      <c r="B52">
        <v>39102310</v>
      </c>
      <c r="C52">
        <v>39103074</v>
      </c>
      <c r="D52">
        <v>36882452</v>
      </c>
      <c r="E52">
        <v>1</v>
      </c>
      <c r="F52">
        <v>1</v>
      </c>
      <c r="G52">
        <v>1</v>
      </c>
      <c r="H52">
        <v>2</v>
      </c>
      <c r="I52" t="s">
        <v>261</v>
      </c>
      <c r="J52" t="s">
        <v>262</v>
      </c>
      <c r="K52" t="s">
        <v>263</v>
      </c>
      <c r="L52">
        <v>1368</v>
      </c>
      <c r="N52">
        <v>1011</v>
      </c>
      <c r="O52" t="s">
        <v>264</v>
      </c>
      <c r="P52" t="s">
        <v>264</v>
      </c>
      <c r="Q52">
        <v>1</v>
      </c>
      <c r="W52">
        <v>0</v>
      </c>
      <c r="X52">
        <v>1188625873</v>
      </c>
      <c r="Y52">
        <v>1.4999999999999999E-2</v>
      </c>
      <c r="AA52">
        <v>0</v>
      </c>
      <c r="AB52">
        <v>190.06</v>
      </c>
      <c r="AC52">
        <v>13.5</v>
      </c>
      <c r="AD52">
        <v>0</v>
      </c>
      <c r="AE52">
        <v>0</v>
      </c>
      <c r="AF52">
        <v>31.26</v>
      </c>
      <c r="AG52">
        <v>13.5</v>
      </c>
      <c r="AH52">
        <v>0</v>
      </c>
      <c r="AI52">
        <v>1</v>
      </c>
      <c r="AJ52">
        <v>6.08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0.01</v>
      </c>
      <c r="AU52" t="s">
        <v>29</v>
      </c>
      <c r="AV52">
        <v>0</v>
      </c>
      <c r="AW52">
        <v>2</v>
      </c>
      <c r="AX52">
        <v>39103084</v>
      </c>
      <c r="AY52">
        <v>1</v>
      </c>
      <c r="AZ52">
        <v>0</v>
      </c>
      <c r="BA52">
        <v>50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Y52*Source!I43</f>
        <v>5.4449999999999993E-3</v>
      </c>
      <c r="CY52">
        <f>AB52</f>
        <v>190.06</v>
      </c>
      <c r="CZ52">
        <f>AF52</f>
        <v>31.26</v>
      </c>
      <c r="DA52">
        <f>AJ52</f>
        <v>6.08</v>
      </c>
      <c r="DB52">
        <v>0</v>
      </c>
    </row>
    <row r="53" spans="1:106" x14ac:dyDescent="0.2">
      <c r="A53">
        <f>ROW(Source!A43)</f>
        <v>43</v>
      </c>
      <c r="B53">
        <v>39102310</v>
      </c>
      <c r="C53">
        <v>39103074</v>
      </c>
      <c r="D53">
        <v>36883554</v>
      </c>
      <c r="E53">
        <v>1</v>
      </c>
      <c r="F53">
        <v>1</v>
      </c>
      <c r="G53">
        <v>1</v>
      </c>
      <c r="H53">
        <v>2</v>
      </c>
      <c r="I53" t="s">
        <v>270</v>
      </c>
      <c r="J53" t="s">
        <v>271</v>
      </c>
      <c r="K53" t="s">
        <v>272</v>
      </c>
      <c r="L53">
        <v>1368</v>
      </c>
      <c r="N53">
        <v>1011</v>
      </c>
      <c r="O53" t="s">
        <v>264</v>
      </c>
      <c r="P53" t="s">
        <v>264</v>
      </c>
      <c r="Q53">
        <v>1</v>
      </c>
      <c r="W53">
        <v>0</v>
      </c>
      <c r="X53">
        <v>1372534845</v>
      </c>
      <c r="Y53">
        <v>1.4999999999999999E-2</v>
      </c>
      <c r="AA53">
        <v>0</v>
      </c>
      <c r="AB53">
        <v>399.52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6.08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0.01</v>
      </c>
      <c r="AU53" t="s">
        <v>29</v>
      </c>
      <c r="AV53">
        <v>0</v>
      </c>
      <c r="AW53">
        <v>2</v>
      </c>
      <c r="AX53">
        <v>39103085</v>
      </c>
      <c r="AY53">
        <v>1</v>
      </c>
      <c r="AZ53">
        <v>0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Y53*Source!I43</f>
        <v>5.4449999999999993E-3</v>
      </c>
      <c r="CY53">
        <f>AB53</f>
        <v>399.52</v>
      </c>
      <c r="CZ53">
        <f>AF53</f>
        <v>65.709999999999994</v>
      </c>
      <c r="DA53">
        <f>AJ53</f>
        <v>6.08</v>
      </c>
      <c r="DB53">
        <v>0</v>
      </c>
    </row>
    <row r="54" spans="1:106" x14ac:dyDescent="0.2">
      <c r="A54">
        <f>ROW(Source!A43)</f>
        <v>43</v>
      </c>
      <c r="B54">
        <v>39102310</v>
      </c>
      <c r="C54">
        <v>39103074</v>
      </c>
      <c r="D54">
        <v>36805524</v>
      </c>
      <c r="E54">
        <v>1</v>
      </c>
      <c r="F54">
        <v>1</v>
      </c>
      <c r="G54">
        <v>1</v>
      </c>
      <c r="H54">
        <v>3</v>
      </c>
      <c r="I54" t="s">
        <v>285</v>
      </c>
      <c r="J54" t="s">
        <v>286</v>
      </c>
      <c r="K54" t="s">
        <v>287</v>
      </c>
      <c r="L54">
        <v>1346</v>
      </c>
      <c r="N54">
        <v>1009</v>
      </c>
      <c r="O54" t="s">
        <v>65</v>
      </c>
      <c r="P54" t="s">
        <v>65</v>
      </c>
      <c r="Q54">
        <v>1</v>
      </c>
      <c r="W54">
        <v>0</v>
      </c>
      <c r="X54">
        <v>813963326</v>
      </c>
      <c r="Y54">
        <v>0.1</v>
      </c>
      <c r="AA54">
        <v>11.07</v>
      </c>
      <c r="AB54">
        <v>0</v>
      </c>
      <c r="AC54">
        <v>0</v>
      </c>
      <c r="AD54">
        <v>0</v>
      </c>
      <c r="AE54">
        <v>1.82</v>
      </c>
      <c r="AF54">
        <v>0</v>
      </c>
      <c r="AG54">
        <v>0</v>
      </c>
      <c r="AH54">
        <v>0</v>
      </c>
      <c r="AI54">
        <v>6.08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0.1</v>
      </c>
      <c r="AU54" t="s">
        <v>3</v>
      </c>
      <c r="AV54">
        <v>0</v>
      </c>
      <c r="AW54">
        <v>2</v>
      </c>
      <c r="AX54">
        <v>39103086</v>
      </c>
      <c r="AY54">
        <v>1</v>
      </c>
      <c r="AZ54">
        <v>0</v>
      </c>
      <c r="BA54">
        <v>52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Y54*Source!I43</f>
        <v>3.6299999999999999E-2</v>
      </c>
      <c r="CY54">
        <f>AA54</f>
        <v>11.07</v>
      </c>
      <c r="CZ54">
        <f>AE54</f>
        <v>1.82</v>
      </c>
      <c r="DA54">
        <f>AI54</f>
        <v>6.08</v>
      </c>
      <c r="DB54">
        <v>0</v>
      </c>
    </row>
    <row r="55" spans="1:106" x14ac:dyDescent="0.2">
      <c r="A55">
        <f>ROW(Source!A43)</f>
        <v>43</v>
      </c>
      <c r="B55">
        <v>39102310</v>
      </c>
      <c r="C55">
        <v>39103074</v>
      </c>
      <c r="D55">
        <v>36837720</v>
      </c>
      <c r="E55">
        <v>1</v>
      </c>
      <c r="F55">
        <v>1</v>
      </c>
      <c r="G55">
        <v>1</v>
      </c>
      <c r="H55">
        <v>3</v>
      </c>
      <c r="I55" t="s">
        <v>104</v>
      </c>
      <c r="J55" t="s">
        <v>106</v>
      </c>
      <c r="K55" t="s">
        <v>105</v>
      </c>
      <c r="L55">
        <v>1348</v>
      </c>
      <c r="N55">
        <v>1009</v>
      </c>
      <c r="O55" t="s">
        <v>60</v>
      </c>
      <c r="P55" t="s">
        <v>60</v>
      </c>
      <c r="Q55">
        <v>1000</v>
      </c>
      <c r="W55">
        <v>0</v>
      </c>
      <c r="X55">
        <v>-1919714308</v>
      </c>
      <c r="Y55">
        <v>1.2999999999999999E-2</v>
      </c>
      <c r="AA55">
        <v>111812.17</v>
      </c>
      <c r="AB55">
        <v>0</v>
      </c>
      <c r="AC55">
        <v>0</v>
      </c>
      <c r="AD55">
        <v>0</v>
      </c>
      <c r="AE55">
        <v>18390.16</v>
      </c>
      <c r="AF55">
        <v>0</v>
      </c>
      <c r="AG55">
        <v>0</v>
      </c>
      <c r="AH55">
        <v>0</v>
      </c>
      <c r="AI55">
        <v>6.08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1.2999999999999999E-2</v>
      </c>
      <c r="AU55" t="s">
        <v>3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Y55*Source!I43</f>
        <v>4.7189999999999992E-3</v>
      </c>
      <c r="CY55">
        <f>AA55</f>
        <v>111812.17</v>
      </c>
      <c r="CZ55">
        <f>AE55</f>
        <v>18390.16</v>
      </c>
      <c r="DA55">
        <f>AI55</f>
        <v>6.08</v>
      </c>
      <c r="DB55">
        <v>0</v>
      </c>
    </row>
    <row r="56" spans="1:106" x14ac:dyDescent="0.2">
      <c r="A56">
        <f>ROW(Source!A43)</f>
        <v>43</v>
      </c>
      <c r="B56">
        <v>39102310</v>
      </c>
      <c r="C56">
        <v>39103074</v>
      </c>
      <c r="D56">
        <v>36797079</v>
      </c>
      <c r="E56">
        <v>17</v>
      </c>
      <c r="F56">
        <v>1</v>
      </c>
      <c r="G56">
        <v>1</v>
      </c>
      <c r="H56">
        <v>3</v>
      </c>
      <c r="I56" t="s">
        <v>108</v>
      </c>
      <c r="J56" t="s">
        <v>3</v>
      </c>
      <c r="K56" t="s">
        <v>109</v>
      </c>
      <c r="L56">
        <v>1348</v>
      </c>
      <c r="N56">
        <v>1009</v>
      </c>
      <c r="O56" t="s">
        <v>60</v>
      </c>
      <c r="P56" t="s">
        <v>60</v>
      </c>
      <c r="Q56">
        <v>1000</v>
      </c>
      <c r="W56">
        <v>0</v>
      </c>
      <c r="X56">
        <v>-1212923053</v>
      </c>
      <c r="Y56">
        <v>1.2999999999999999E-2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6.08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1.2999999999999999E-2</v>
      </c>
      <c r="AU56" t="s">
        <v>3</v>
      </c>
      <c r="AV56">
        <v>0</v>
      </c>
      <c r="AW56">
        <v>2</v>
      </c>
      <c r="AX56">
        <v>39103087</v>
      </c>
      <c r="AY56">
        <v>1</v>
      </c>
      <c r="AZ56">
        <v>0</v>
      </c>
      <c r="BA56">
        <v>53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Y56*Source!I43</f>
        <v>4.7189999999999992E-3</v>
      </c>
      <c r="CY56">
        <f>AA56</f>
        <v>0</v>
      </c>
      <c r="CZ56">
        <f>AE56</f>
        <v>0</v>
      </c>
      <c r="DA56">
        <f>AI56</f>
        <v>6.08</v>
      </c>
      <c r="DB56">
        <v>0</v>
      </c>
    </row>
    <row r="57" spans="1:106" x14ac:dyDescent="0.2">
      <c r="A57">
        <f>ROW(Source!A46)</f>
        <v>46</v>
      </c>
      <c r="B57">
        <v>39102310</v>
      </c>
      <c r="C57">
        <v>39102471</v>
      </c>
      <c r="D57">
        <v>37070090</v>
      </c>
      <c r="E57">
        <v>1</v>
      </c>
      <c r="F57">
        <v>1</v>
      </c>
      <c r="G57">
        <v>1</v>
      </c>
      <c r="H57">
        <v>1</v>
      </c>
      <c r="I57" t="s">
        <v>303</v>
      </c>
      <c r="J57" t="s">
        <v>3</v>
      </c>
      <c r="K57" t="s">
        <v>304</v>
      </c>
      <c r="L57">
        <v>1191</v>
      </c>
      <c r="N57">
        <v>1013</v>
      </c>
      <c r="O57" t="s">
        <v>258</v>
      </c>
      <c r="P57" t="s">
        <v>258</v>
      </c>
      <c r="Q57">
        <v>1</v>
      </c>
      <c r="W57">
        <v>0</v>
      </c>
      <c r="X57">
        <v>-814890593</v>
      </c>
      <c r="Y57">
        <v>59.201999999999991</v>
      </c>
      <c r="AA57">
        <v>0</v>
      </c>
      <c r="AB57">
        <v>0</v>
      </c>
      <c r="AC57">
        <v>0</v>
      </c>
      <c r="AD57">
        <v>54.54</v>
      </c>
      <c r="AE57">
        <v>0</v>
      </c>
      <c r="AF57">
        <v>0</v>
      </c>
      <c r="AG57">
        <v>0</v>
      </c>
      <c r="AH57">
        <v>8.9700000000000006</v>
      </c>
      <c r="AI57">
        <v>1</v>
      </c>
      <c r="AJ57">
        <v>1</v>
      </c>
      <c r="AK57">
        <v>1</v>
      </c>
      <c r="AL57">
        <v>6.08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42.9</v>
      </c>
      <c r="AU57" t="s">
        <v>30</v>
      </c>
      <c r="AV57">
        <v>1</v>
      </c>
      <c r="AW57">
        <v>2</v>
      </c>
      <c r="AX57">
        <v>39102481</v>
      </c>
      <c r="AY57">
        <v>1</v>
      </c>
      <c r="AZ57">
        <v>0</v>
      </c>
      <c r="BA57">
        <v>54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Y57*Source!I46</f>
        <v>45.526337999999996</v>
      </c>
      <c r="CY57">
        <f>AD57</f>
        <v>54.54</v>
      </c>
      <c r="CZ57">
        <f>AH57</f>
        <v>8.9700000000000006</v>
      </c>
      <c r="DA57">
        <f>AL57</f>
        <v>6.08</v>
      </c>
      <c r="DB57">
        <v>0</v>
      </c>
    </row>
    <row r="58" spans="1:106" x14ac:dyDescent="0.2">
      <c r="A58">
        <f>ROW(Source!A46)</f>
        <v>46</v>
      </c>
      <c r="B58">
        <v>39102310</v>
      </c>
      <c r="C58">
        <v>39102471</v>
      </c>
      <c r="D58">
        <v>37064876</v>
      </c>
      <c r="E58">
        <v>1</v>
      </c>
      <c r="F58">
        <v>1</v>
      </c>
      <c r="G58">
        <v>1</v>
      </c>
      <c r="H58">
        <v>1</v>
      </c>
      <c r="I58" t="s">
        <v>259</v>
      </c>
      <c r="J58" t="s">
        <v>3</v>
      </c>
      <c r="K58" t="s">
        <v>260</v>
      </c>
      <c r="L58">
        <v>1191</v>
      </c>
      <c r="N58">
        <v>1013</v>
      </c>
      <c r="O58" t="s">
        <v>258</v>
      </c>
      <c r="P58" t="s">
        <v>258</v>
      </c>
      <c r="Q58">
        <v>1</v>
      </c>
      <c r="W58">
        <v>0</v>
      </c>
      <c r="X58">
        <v>-1417349443</v>
      </c>
      <c r="Y58">
        <v>0.17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6.08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0.17</v>
      </c>
      <c r="AU58" t="s">
        <v>3</v>
      </c>
      <c r="AV58">
        <v>2</v>
      </c>
      <c r="AW58">
        <v>2</v>
      </c>
      <c r="AX58">
        <v>39102482</v>
      </c>
      <c r="AY58">
        <v>1</v>
      </c>
      <c r="AZ58">
        <v>2048</v>
      </c>
      <c r="BA58">
        <v>55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Y58*Source!I46</f>
        <v>0.13073000000000001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 x14ac:dyDescent="0.2">
      <c r="A59">
        <f>ROW(Source!A46)</f>
        <v>46</v>
      </c>
      <c r="B59">
        <v>39102310</v>
      </c>
      <c r="C59">
        <v>39102471</v>
      </c>
      <c r="D59">
        <v>36882452</v>
      </c>
      <c r="E59">
        <v>1</v>
      </c>
      <c r="F59">
        <v>1</v>
      </c>
      <c r="G59">
        <v>1</v>
      </c>
      <c r="H59">
        <v>2</v>
      </c>
      <c r="I59" t="s">
        <v>261</v>
      </c>
      <c r="J59" t="s">
        <v>262</v>
      </c>
      <c r="K59" t="s">
        <v>263</v>
      </c>
      <c r="L59">
        <v>1368</v>
      </c>
      <c r="N59">
        <v>1011</v>
      </c>
      <c r="O59" t="s">
        <v>264</v>
      </c>
      <c r="P59" t="s">
        <v>264</v>
      </c>
      <c r="Q59">
        <v>1</v>
      </c>
      <c r="W59">
        <v>0</v>
      </c>
      <c r="X59">
        <v>1188625873</v>
      </c>
      <c r="Y59">
        <v>0.03</v>
      </c>
      <c r="AA59">
        <v>0</v>
      </c>
      <c r="AB59">
        <v>190.06</v>
      </c>
      <c r="AC59">
        <v>13.5</v>
      </c>
      <c r="AD59">
        <v>0</v>
      </c>
      <c r="AE59">
        <v>0</v>
      </c>
      <c r="AF59">
        <v>31.26</v>
      </c>
      <c r="AG59">
        <v>13.5</v>
      </c>
      <c r="AH59">
        <v>0</v>
      </c>
      <c r="AI59">
        <v>1</v>
      </c>
      <c r="AJ59">
        <v>6.08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0.02</v>
      </c>
      <c r="AU59" t="s">
        <v>29</v>
      </c>
      <c r="AV59">
        <v>0</v>
      </c>
      <c r="AW59">
        <v>2</v>
      </c>
      <c r="AX59">
        <v>39102483</v>
      </c>
      <c r="AY59">
        <v>1</v>
      </c>
      <c r="AZ59">
        <v>0</v>
      </c>
      <c r="BA59">
        <v>56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2.307E-2</v>
      </c>
      <c r="CY59">
        <f>AB59</f>
        <v>190.06</v>
      </c>
      <c r="CZ59">
        <f>AF59</f>
        <v>31.26</v>
      </c>
      <c r="DA59">
        <f>AJ59</f>
        <v>6.08</v>
      </c>
      <c r="DB59">
        <v>0</v>
      </c>
    </row>
    <row r="60" spans="1:106" x14ac:dyDescent="0.2">
      <c r="A60">
        <f>ROW(Source!A46)</f>
        <v>46</v>
      </c>
      <c r="B60">
        <v>39102310</v>
      </c>
      <c r="C60">
        <v>39102471</v>
      </c>
      <c r="D60">
        <v>36883554</v>
      </c>
      <c r="E60">
        <v>1</v>
      </c>
      <c r="F60">
        <v>1</v>
      </c>
      <c r="G60">
        <v>1</v>
      </c>
      <c r="H60">
        <v>2</v>
      </c>
      <c r="I60" t="s">
        <v>270</v>
      </c>
      <c r="J60" t="s">
        <v>271</v>
      </c>
      <c r="K60" t="s">
        <v>272</v>
      </c>
      <c r="L60">
        <v>1368</v>
      </c>
      <c r="N60">
        <v>1011</v>
      </c>
      <c r="O60" t="s">
        <v>264</v>
      </c>
      <c r="P60" t="s">
        <v>264</v>
      </c>
      <c r="Q60">
        <v>1</v>
      </c>
      <c r="W60">
        <v>0</v>
      </c>
      <c r="X60">
        <v>1372534845</v>
      </c>
      <c r="Y60">
        <v>0.22499999999999998</v>
      </c>
      <c r="AA60">
        <v>0</v>
      </c>
      <c r="AB60">
        <v>399.52</v>
      </c>
      <c r="AC60">
        <v>11.6</v>
      </c>
      <c r="AD60">
        <v>0</v>
      </c>
      <c r="AE60">
        <v>0</v>
      </c>
      <c r="AF60">
        <v>65.709999999999994</v>
      </c>
      <c r="AG60">
        <v>11.6</v>
      </c>
      <c r="AH60">
        <v>0</v>
      </c>
      <c r="AI60">
        <v>1</v>
      </c>
      <c r="AJ60">
        <v>6.08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0.15</v>
      </c>
      <c r="AU60" t="s">
        <v>29</v>
      </c>
      <c r="AV60">
        <v>0</v>
      </c>
      <c r="AW60">
        <v>2</v>
      </c>
      <c r="AX60">
        <v>39102484</v>
      </c>
      <c r="AY60">
        <v>1</v>
      </c>
      <c r="AZ60">
        <v>0</v>
      </c>
      <c r="BA60">
        <v>57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0.17302499999999998</v>
      </c>
      <c r="CY60">
        <f>AB60</f>
        <v>399.52</v>
      </c>
      <c r="CZ60">
        <f>AF60</f>
        <v>65.709999999999994</v>
      </c>
      <c r="DA60">
        <f>AJ60</f>
        <v>6.08</v>
      </c>
      <c r="DB60">
        <v>0</v>
      </c>
    </row>
    <row r="61" spans="1:106" x14ac:dyDescent="0.2">
      <c r="A61">
        <f>ROW(Source!A46)</f>
        <v>46</v>
      </c>
      <c r="B61">
        <v>39102310</v>
      </c>
      <c r="C61">
        <v>39102471</v>
      </c>
      <c r="D61">
        <v>36805188</v>
      </c>
      <c r="E61">
        <v>1</v>
      </c>
      <c r="F61">
        <v>1</v>
      </c>
      <c r="G61">
        <v>1</v>
      </c>
      <c r="H61">
        <v>3</v>
      </c>
      <c r="I61" t="s">
        <v>305</v>
      </c>
      <c r="J61" t="s">
        <v>306</v>
      </c>
      <c r="K61" t="s">
        <v>307</v>
      </c>
      <c r="L61">
        <v>1327</v>
      </c>
      <c r="N61">
        <v>1005</v>
      </c>
      <c r="O61" t="s">
        <v>51</v>
      </c>
      <c r="P61" t="s">
        <v>51</v>
      </c>
      <c r="Q61">
        <v>1</v>
      </c>
      <c r="W61">
        <v>0</v>
      </c>
      <c r="X61">
        <v>-1987926685</v>
      </c>
      <c r="Y61">
        <v>0.84</v>
      </c>
      <c r="AA61">
        <v>439.71</v>
      </c>
      <c r="AB61">
        <v>0</v>
      </c>
      <c r="AC61">
        <v>0</v>
      </c>
      <c r="AD61">
        <v>0</v>
      </c>
      <c r="AE61">
        <v>72.319999999999993</v>
      </c>
      <c r="AF61">
        <v>0</v>
      </c>
      <c r="AG61">
        <v>0</v>
      </c>
      <c r="AH61">
        <v>0</v>
      </c>
      <c r="AI61">
        <v>6.08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0.84</v>
      </c>
      <c r="AU61" t="s">
        <v>3</v>
      </c>
      <c r="AV61">
        <v>0</v>
      </c>
      <c r="AW61">
        <v>2</v>
      </c>
      <c r="AX61">
        <v>39102485</v>
      </c>
      <c r="AY61">
        <v>1</v>
      </c>
      <c r="AZ61">
        <v>0</v>
      </c>
      <c r="BA61">
        <v>58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0.64595999999999998</v>
      </c>
      <c r="CY61">
        <f>AA61</f>
        <v>439.71</v>
      </c>
      <c r="CZ61">
        <f>AE61</f>
        <v>72.319999999999993</v>
      </c>
      <c r="DA61">
        <f>AI61</f>
        <v>6.08</v>
      </c>
      <c r="DB61">
        <v>0</v>
      </c>
    </row>
    <row r="62" spans="1:106" x14ac:dyDescent="0.2">
      <c r="A62">
        <f>ROW(Source!A46)</f>
        <v>46</v>
      </c>
      <c r="B62">
        <v>39102310</v>
      </c>
      <c r="C62">
        <v>39102471</v>
      </c>
      <c r="D62">
        <v>36805524</v>
      </c>
      <c r="E62">
        <v>1</v>
      </c>
      <c r="F62">
        <v>1</v>
      </c>
      <c r="G62">
        <v>1</v>
      </c>
      <c r="H62">
        <v>3</v>
      </c>
      <c r="I62" t="s">
        <v>285</v>
      </c>
      <c r="J62" t="s">
        <v>286</v>
      </c>
      <c r="K62" t="s">
        <v>287</v>
      </c>
      <c r="L62">
        <v>1346</v>
      </c>
      <c r="N62">
        <v>1009</v>
      </c>
      <c r="O62" t="s">
        <v>65</v>
      </c>
      <c r="P62" t="s">
        <v>65</v>
      </c>
      <c r="Q62">
        <v>1</v>
      </c>
      <c r="W62">
        <v>0</v>
      </c>
      <c r="X62">
        <v>813963326</v>
      </c>
      <c r="Y62">
        <v>0.31</v>
      </c>
      <c r="AA62">
        <v>11.07</v>
      </c>
      <c r="AB62">
        <v>0</v>
      </c>
      <c r="AC62">
        <v>0</v>
      </c>
      <c r="AD62">
        <v>0</v>
      </c>
      <c r="AE62">
        <v>1.82</v>
      </c>
      <c r="AF62">
        <v>0</v>
      </c>
      <c r="AG62">
        <v>0</v>
      </c>
      <c r="AH62">
        <v>0</v>
      </c>
      <c r="AI62">
        <v>6.08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0.31</v>
      </c>
      <c r="AU62" t="s">
        <v>3</v>
      </c>
      <c r="AV62">
        <v>0</v>
      </c>
      <c r="AW62">
        <v>2</v>
      </c>
      <c r="AX62">
        <v>39102486</v>
      </c>
      <c r="AY62">
        <v>1</v>
      </c>
      <c r="AZ62">
        <v>0</v>
      </c>
      <c r="BA62">
        <v>59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0.23838999999999999</v>
      </c>
      <c r="CY62">
        <f>AA62</f>
        <v>11.07</v>
      </c>
      <c r="CZ62">
        <f>AE62</f>
        <v>1.82</v>
      </c>
      <c r="DA62">
        <f>AI62</f>
        <v>6.08</v>
      </c>
      <c r="DB62">
        <v>0</v>
      </c>
    </row>
    <row r="63" spans="1:106" x14ac:dyDescent="0.2">
      <c r="A63">
        <f>ROW(Source!A46)</f>
        <v>46</v>
      </c>
      <c r="B63">
        <v>39102310</v>
      </c>
      <c r="C63">
        <v>39102471</v>
      </c>
      <c r="D63">
        <v>36797561</v>
      </c>
      <c r="E63">
        <v>17</v>
      </c>
      <c r="F63">
        <v>1</v>
      </c>
      <c r="G63">
        <v>1</v>
      </c>
      <c r="H63">
        <v>3</v>
      </c>
      <c r="I63" t="s">
        <v>125</v>
      </c>
      <c r="J63" t="s">
        <v>3</v>
      </c>
      <c r="K63" t="s">
        <v>126</v>
      </c>
      <c r="L63">
        <v>1348</v>
      </c>
      <c r="N63">
        <v>1009</v>
      </c>
      <c r="O63" t="s">
        <v>60</v>
      </c>
      <c r="P63" t="s">
        <v>60</v>
      </c>
      <c r="Q63">
        <v>1000</v>
      </c>
      <c r="W63">
        <v>0</v>
      </c>
      <c r="X63">
        <v>1891904026</v>
      </c>
      <c r="Y63">
        <v>6.3E-2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6.08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6.3E-2</v>
      </c>
      <c r="AU63" t="s">
        <v>3</v>
      </c>
      <c r="AV63">
        <v>0</v>
      </c>
      <c r="AW63">
        <v>2</v>
      </c>
      <c r="AX63">
        <v>39102487</v>
      </c>
      <c r="AY63">
        <v>1</v>
      </c>
      <c r="AZ63">
        <v>0</v>
      </c>
      <c r="BA63">
        <v>60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4.8447000000000004E-2</v>
      </c>
      <c r="CY63">
        <f>AA63</f>
        <v>0</v>
      </c>
      <c r="CZ63">
        <f>AE63</f>
        <v>0</v>
      </c>
      <c r="DA63">
        <f>AI63</f>
        <v>6.08</v>
      </c>
      <c r="DB63">
        <v>0</v>
      </c>
    </row>
    <row r="64" spans="1:106" x14ac:dyDescent="0.2">
      <c r="A64">
        <f>ROW(Source!A46)</f>
        <v>46</v>
      </c>
      <c r="B64">
        <v>39102310</v>
      </c>
      <c r="C64">
        <v>39102471</v>
      </c>
      <c r="D64">
        <v>36837739</v>
      </c>
      <c r="E64">
        <v>1</v>
      </c>
      <c r="F64">
        <v>1</v>
      </c>
      <c r="G64">
        <v>1</v>
      </c>
      <c r="H64">
        <v>3</v>
      </c>
      <c r="I64" t="s">
        <v>121</v>
      </c>
      <c r="J64" t="s">
        <v>123</v>
      </c>
      <c r="K64" t="s">
        <v>122</v>
      </c>
      <c r="L64">
        <v>1348</v>
      </c>
      <c r="N64">
        <v>1009</v>
      </c>
      <c r="O64" t="s">
        <v>60</v>
      </c>
      <c r="P64" t="s">
        <v>60</v>
      </c>
      <c r="Q64">
        <v>1000</v>
      </c>
      <c r="W64">
        <v>0</v>
      </c>
      <c r="X64">
        <v>-1849320982</v>
      </c>
      <c r="Y64">
        <v>6.3E-2</v>
      </c>
      <c r="AA64">
        <v>80789.16</v>
      </c>
      <c r="AB64">
        <v>0</v>
      </c>
      <c r="AC64">
        <v>0</v>
      </c>
      <c r="AD64">
        <v>0</v>
      </c>
      <c r="AE64">
        <v>13287.69</v>
      </c>
      <c r="AF64">
        <v>0</v>
      </c>
      <c r="AG64">
        <v>0</v>
      </c>
      <c r="AH64">
        <v>0</v>
      </c>
      <c r="AI64">
        <v>6.08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6.3E-2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4.8447000000000004E-2</v>
      </c>
      <c r="CY64">
        <f>AA64</f>
        <v>80789.16</v>
      </c>
      <c r="CZ64">
        <f>AE64</f>
        <v>13287.69</v>
      </c>
      <c r="DA64">
        <f>AI64</f>
        <v>6.08</v>
      </c>
      <c r="DB64">
        <v>0</v>
      </c>
    </row>
    <row r="65" spans="1:106" x14ac:dyDescent="0.2">
      <c r="A65">
        <f>ROW(Source!A46)</f>
        <v>46</v>
      </c>
      <c r="B65">
        <v>39102310</v>
      </c>
      <c r="C65">
        <v>39102471</v>
      </c>
      <c r="D65">
        <v>36839212</v>
      </c>
      <c r="E65">
        <v>1</v>
      </c>
      <c r="F65">
        <v>1</v>
      </c>
      <c r="G65">
        <v>1</v>
      </c>
      <c r="H65">
        <v>3</v>
      </c>
      <c r="I65" t="s">
        <v>308</v>
      </c>
      <c r="J65" t="s">
        <v>309</v>
      </c>
      <c r="K65" t="s">
        <v>310</v>
      </c>
      <c r="L65">
        <v>1348</v>
      </c>
      <c r="N65">
        <v>1009</v>
      </c>
      <c r="O65" t="s">
        <v>60</v>
      </c>
      <c r="P65" t="s">
        <v>60</v>
      </c>
      <c r="Q65">
        <v>1000</v>
      </c>
      <c r="W65">
        <v>0</v>
      </c>
      <c r="X65">
        <v>-2084827333</v>
      </c>
      <c r="Y65">
        <v>5.0999999999999997E-2</v>
      </c>
      <c r="AA65">
        <v>26107.52</v>
      </c>
      <c r="AB65">
        <v>0</v>
      </c>
      <c r="AC65">
        <v>0</v>
      </c>
      <c r="AD65">
        <v>0</v>
      </c>
      <c r="AE65">
        <v>4294</v>
      </c>
      <c r="AF65">
        <v>0</v>
      </c>
      <c r="AG65">
        <v>0</v>
      </c>
      <c r="AH65">
        <v>0</v>
      </c>
      <c r="AI65">
        <v>6.08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5.0999999999999997E-2</v>
      </c>
      <c r="AU65" t="s">
        <v>3</v>
      </c>
      <c r="AV65">
        <v>0</v>
      </c>
      <c r="AW65">
        <v>2</v>
      </c>
      <c r="AX65">
        <v>39102488</v>
      </c>
      <c r="AY65">
        <v>1</v>
      </c>
      <c r="AZ65">
        <v>0</v>
      </c>
      <c r="BA65">
        <v>61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3.9218999999999997E-2</v>
      </c>
      <c r="CY65">
        <f>AA65</f>
        <v>26107.52</v>
      </c>
      <c r="CZ65">
        <f>AE65</f>
        <v>4294</v>
      </c>
      <c r="DA65">
        <f>AI65</f>
        <v>6.08</v>
      </c>
      <c r="DB65">
        <v>0</v>
      </c>
    </row>
    <row r="66" spans="1:106" x14ac:dyDescent="0.2">
      <c r="A66">
        <f>ROW(Source!A49)</f>
        <v>49</v>
      </c>
      <c r="B66">
        <v>39102310</v>
      </c>
      <c r="C66">
        <v>39102491</v>
      </c>
      <c r="D66">
        <v>37069580</v>
      </c>
      <c r="E66">
        <v>1</v>
      </c>
      <c r="F66">
        <v>1</v>
      </c>
      <c r="G66">
        <v>1</v>
      </c>
      <c r="H66">
        <v>1</v>
      </c>
      <c r="I66" t="s">
        <v>311</v>
      </c>
      <c r="J66" t="s">
        <v>3</v>
      </c>
      <c r="K66" t="s">
        <v>312</v>
      </c>
      <c r="L66">
        <v>1191</v>
      </c>
      <c r="N66">
        <v>1013</v>
      </c>
      <c r="O66" t="s">
        <v>258</v>
      </c>
      <c r="P66" t="s">
        <v>258</v>
      </c>
      <c r="Q66">
        <v>1</v>
      </c>
      <c r="W66">
        <v>0</v>
      </c>
      <c r="X66">
        <v>1010519658</v>
      </c>
      <c r="Y66">
        <v>33.78</v>
      </c>
      <c r="AA66">
        <v>0</v>
      </c>
      <c r="AB66">
        <v>0</v>
      </c>
      <c r="AC66">
        <v>0</v>
      </c>
      <c r="AD66">
        <v>52.53</v>
      </c>
      <c r="AE66">
        <v>0</v>
      </c>
      <c r="AF66">
        <v>0</v>
      </c>
      <c r="AG66">
        <v>0</v>
      </c>
      <c r="AH66">
        <v>8.64</v>
      </c>
      <c r="AI66">
        <v>1</v>
      </c>
      <c r="AJ66">
        <v>1</v>
      </c>
      <c r="AK66">
        <v>1</v>
      </c>
      <c r="AL66">
        <v>6.08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33.78</v>
      </c>
      <c r="AU66" t="s">
        <v>3</v>
      </c>
      <c r="AV66">
        <v>1</v>
      </c>
      <c r="AW66">
        <v>2</v>
      </c>
      <c r="AX66">
        <v>39102505</v>
      </c>
      <c r="AY66">
        <v>1</v>
      </c>
      <c r="AZ66">
        <v>0</v>
      </c>
      <c r="BA66">
        <v>62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Y66*Source!I49</f>
        <v>12.26214</v>
      </c>
      <c r="CY66">
        <f>AD66</f>
        <v>52.53</v>
      </c>
      <c r="CZ66">
        <f>AH66</f>
        <v>8.64</v>
      </c>
      <c r="DA66">
        <f>AL66</f>
        <v>6.08</v>
      </c>
      <c r="DB66">
        <v>0</v>
      </c>
    </row>
    <row r="67" spans="1:106" x14ac:dyDescent="0.2">
      <c r="A67">
        <f>ROW(Source!A49)</f>
        <v>49</v>
      </c>
      <c r="B67">
        <v>39102310</v>
      </c>
      <c r="C67">
        <v>39102491</v>
      </c>
      <c r="D67">
        <v>37064876</v>
      </c>
      <c r="E67">
        <v>1</v>
      </c>
      <c r="F67">
        <v>1</v>
      </c>
      <c r="G67">
        <v>1</v>
      </c>
      <c r="H67">
        <v>1</v>
      </c>
      <c r="I67" t="s">
        <v>259</v>
      </c>
      <c r="J67" t="s">
        <v>3</v>
      </c>
      <c r="K67" t="s">
        <v>260</v>
      </c>
      <c r="L67">
        <v>1191</v>
      </c>
      <c r="N67">
        <v>1013</v>
      </c>
      <c r="O67" t="s">
        <v>258</v>
      </c>
      <c r="P67" t="s">
        <v>258</v>
      </c>
      <c r="Q67">
        <v>1</v>
      </c>
      <c r="W67">
        <v>0</v>
      </c>
      <c r="X67">
        <v>-1417349443</v>
      </c>
      <c r="Y67">
        <v>0.16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6.08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0.16</v>
      </c>
      <c r="AU67" t="s">
        <v>3</v>
      </c>
      <c r="AV67">
        <v>2</v>
      </c>
      <c r="AW67">
        <v>2</v>
      </c>
      <c r="AX67">
        <v>39102506</v>
      </c>
      <c r="AY67">
        <v>1</v>
      </c>
      <c r="AZ67">
        <v>0</v>
      </c>
      <c r="BA67">
        <v>63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Y67*Source!I49</f>
        <v>5.808E-2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ROW(Source!A49)</f>
        <v>49</v>
      </c>
      <c r="B68">
        <v>39102310</v>
      </c>
      <c r="C68">
        <v>39102491</v>
      </c>
      <c r="D68">
        <v>36882452</v>
      </c>
      <c r="E68">
        <v>1</v>
      </c>
      <c r="F68">
        <v>1</v>
      </c>
      <c r="G68">
        <v>1</v>
      </c>
      <c r="H68">
        <v>2</v>
      </c>
      <c r="I68" t="s">
        <v>261</v>
      </c>
      <c r="J68" t="s">
        <v>262</v>
      </c>
      <c r="K68" t="s">
        <v>263</v>
      </c>
      <c r="L68">
        <v>1368</v>
      </c>
      <c r="N68">
        <v>1011</v>
      </c>
      <c r="O68" t="s">
        <v>264</v>
      </c>
      <c r="P68" t="s">
        <v>264</v>
      </c>
      <c r="Q68">
        <v>1</v>
      </c>
      <c r="W68">
        <v>0</v>
      </c>
      <c r="X68">
        <v>1188625873</v>
      </c>
      <c r="Y68">
        <v>0.1</v>
      </c>
      <c r="AA68">
        <v>0</v>
      </c>
      <c r="AB68">
        <v>190.06</v>
      </c>
      <c r="AC68">
        <v>13.5</v>
      </c>
      <c r="AD68">
        <v>0</v>
      </c>
      <c r="AE68">
        <v>0</v>
      </c>
      <c r="AF68">
        <v>31.26</v>
      </c>
      <c r="AG68">
        <v>13.5</v>
      </c>
      <c r="AH68">
        <v>0</v>
      </c>
      <c r="AI68">
        <v>1</v>
      </c>
      <c r="AJ68">
        <v>6.08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0.1</v>
      </c>
      <c r="AU68" t="s">
        <v>3</v>
      </c>
      <c r="AV68">
        <v>0</v>
      </c>
      <c r="AW68">
        <v>2</v>
      </c>
      <c r="AX68">
        <v>39102507</v>
      </c>
      <c r="AY68">
        <v>1</v>
      </c>
      <c r="AZ68">
        <v>0</v>
      </c>
      <c r="BA68">
        <v>64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Y68*Source!I49</f>
        <v>3.6299999999999999E-2</v>
      </c>
      <c r="CY68">
        <f>AB68</f>
        <v>190.06</v>
      </c>
      <c r="CZ68">
        <f>AF68</f>
        <v>31.26</v>
      </c>
      <c r="DA68">
        <f>AJ68</f>
        <v>6.08</v>
      </c>
      <c r="DB68">
        <v>0</v>
      </c>
    </row>
    <row r="69" spans="1:106" x14ac:dyDescent="0.2">
      <c r="A69">
        <f>ROW(Source!A49)</f>
        <v>49</v>
      </c>
      <c r="B69">
        <v>39102310</v>
      </c>
      <c r="C69">
        <v>39102491</v>
      </c>
      <c r="D69">
        <v>36883554</v>
      </c>
      <c r="E69">
        <v>1</v>
      </c>
      <c r="F69">
        <v>1</v>
      </c>
      <c r="G69">
        <v>1</v>
      </c>
      <c r="H69">
        <v>2</v>
      </c>
      <c r="I69" t="s">
        <v>270</v>
      </c>
      <c r="J69" t="s">
        <v>271</v>
      </c>
      <c r="K69" t="s">
        <v>272</v>
      </c>
      <c r="L69">
        <v>1368</v>
      </c>
      <c r="N69">
        <v>1011</v>
      </c>
      <c r="O69" t="s">
        <v>264</v>
      </c>
      <c r="P69" t="s">
        <v>264</v>
      </c>
      <c r="Q69">
        <v>1</v>
      </c>
      <c r="W69">
        <v>0</v>
      </c>
      <c r="X69">
        <v>1372534845</v>
      </c>
      <c r="Y69">
        <v>0.06</v>
      </c>
      <c r="AA69">
        <v>0</v>
      </c>
      <c r="AB69">
        <v>399.52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6.08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0.06</v>
      </c>
      <c r="AU69" t="s">
        <v>3</v>
      </c>
      <c r="AV69">
        <v>0</v>
      </c>
      <c r="AW69">
        <v>2</v>
      </c>
      <c r="AX69">
        <v>39102508</v>
      </c>
      <c r="AY69">
        <v>1</v>
      </c>
      <c r="AZ69">
        <v>0</v>
      </c>
      <c r="BA69">
        <v>65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Y69*Source!I49</f>
        <v>2.1779999999999997E-2</v>
      </c>
      <c r="CY69">
        <f>AB69</f>
        <v>399.52</v>
      </c>
      <c r="CZ69">
        <f>AF69</f>
        <v>65.709999999999994</v>
      </c>
      <c r="DA69">
        <f>AJ69</f>
        <v>6.08</v>
      </c>
      <c r="DB69">
        <v>0</v>
      </c>
    </row>
    <row r="70" spans="1:106" x14ac:dyDescent="0.2">
      <c r="A70">
        <f>ROW(Source!A49)</f>
        <v>49</v>
      </c>
      <c r="B70">
        <v>39102310</v>
      </c>
      <c r="C70">
        <v>39102491</v>
      </c>
      <c r="D70">
        <v>36801792</v>
      </c>
      <c r="E70">
        <v>1</v>
      </c>
      <c r="F70">
        <v>1</v>
      </c>
      <c r="G70">
        <v>1</v>
      </c>
      <c r="H70">
        <v>3</v>
      </c>
      <c r="I70" t="s">
        <v>273</v>
      </c>
      <c r="J70" t="s">
        <v>274</v>
      </c>
      <c r="K70" t="s">
        <v>275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W70">
        <v>0</v>
      </c>
      <c r="X70">
        <v>-1660354250</v>
      </c>
      <c r="Y70">
        <v>0.24</v>
      </c>
      <c r="AA70">
        <v>14.84</v>
      </c>
      <c r="AB70">
        <v>0</v>
      </c>
      <c r="AC70">
        <v>0</v>
      </c>
      <c r="AD70">
        <v>0</v>
      </c>
      <c r="AE70">
        <v>2.44</v>
      </c>
      <c r="AF70">
        <v>0</v>
      </c>
      <c r="AG70">
        <v>0</v>
      </c>
      <c r="AH70">
        <v>0</v>
      </c>
      <c r="AI70">
        <v>6.08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0.24</v>
      </c>
      <c r="AU70" t="s">
        <v>3</v>
      </c>
      <c r="AV70">
        <v>0</v>
      </c>
      <c r="AW70">
        <v>2</v>
      </c>
      <c r="AX70">
        <v>39102509</v>
      </c>
      <c r="AY70">
        <v>1</v>
      </c>
      <c r="AZ70">
        <v>0</v>
      </c>
      <c r="BA70">
        <v>66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Y70*Source!I49</f>
        <v>8.7119999999999989E-2</v>
      </c>
      <c r="CY70">
        <f t="shared" ref="CY70:CY78" si="0">AA70</f>
        <v>14.84</v>
      </c>
      <c r="CZ70">
        <f t="shared" ref="CZ70:CZ78" si="1">AE70</f>
        <v>2.44</v>
      </c>
      <c r="DA70">
        <f t="shared" ref="DA70:DA78" si="2">AI70</f>
        <v>6.08</v>
      </c>
      <c r="DB70">
        <v>0</v>
      </c>
    </row>
    <row r="71" spans="1:106" x14ac:dyDescent="0.2">
      <c r="A71">
        <f>ROW(Source!A49)</f>
        <v>49</v>
      </c>
      <c r="B71">
        <v>39102310</v>
      </c>
      <c r="C71">
        <v>39102491</v>
      </c>
      <c r="D71">
        <v>36802272</v>
      </c>
      <c r="E71">
        <v>1</v>
      </c>
      <c r="F71">
        <v>1</v>
      </c>
      <c r="G71">
        <v>1</v>
      </c>
      <c r="H71">
        <v>3</v>
      </c>
      <c r="I71" t="s">
        <v>313</v>
      </c>
      <c r="J71" t="s">
        <v>314</v>
      </c>
      <c r="K71" t="s">
        <v>315</v>
      </c>
      <c r="L71">
        <v>1354</v>
      </c>
      <c r="N71">
        <v>1010</v>
      </c>
      <c r="O71" t="s">
        <v>316</v>
      </c>
      <c r="P71" t="s">
        <v>316</v>
      </c>
      <c r="Q71">
        <v>1</v>
      </c>
      <c r="W71">
        <v>0</v>
      </c>
      <c r="X71">
        <v>-1046673864</v>
      </c>
      <c r="Y71">
        <v>5.0999999999999996</v>
      </c>
      <c r="AA71">
        <v>27.36</v>
      </c>
      <c r="AB71">
        <v>0</v>
      </c>
      <c r="AC71">
        <v>0</v>
      </c>
      <c r="AD71">
        <v>0</v>
      </c>
      <c r="AE71">
        <v>4.5</v>
      </c>
      <c r="AF71">
        <v>0</v>
      </c>
      <c r="AG71">
        <v>0</v>
      </c>
      <c r="AH71">
        <v>0</v>
      </c>
      <c r="AI71">
        <v>6.08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5.0999999999999996</v>
      </c>
      <c r="AU71" t="s">
        <v>3</v>
      </c>
      <c r="AV71">
        <v>0</v>
      </c>
      <c r="AW71">
        <v>2</v>
      </c>
      <c r="AX71">
        <v>39102510</v>
      </c>
      <c r="AY71">
        <v>1</v>
      </c>
      <c r="AZ71">
        <v>0</v>
      </c>
      <c r="BA71">
        <v>67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Y71*Source!I49</f>
        <v>1.8512999999999997</v>
      </c>
      <c r="CY71">
        <f t="shared" si="0"/>
        <v>27.36</v>
      </c>
      <c r="CZ71">
        <f t="shared" si="1"/>
        <v>4.5</v>
      </c>
      <c r="DA71">
        <f t="shared" si="2"/>
        <v>6.08</v>
      </c>
      <c r="DB71">
        <v>0</v>
      </c>
    </row>
    <row r="72" spans="1:106" x14ac:dyDescent="0.2">
      <c r="A72">
        <f>ROW(Source!A49)</f>
        <v>49</v>
      </c>
      <c r="B72">
        <v>39102310</v>
      </c>
      <c r="C72">
        <v>39102491</v>
      </c>
      <c r="D72">
        <v>36802521</v>
      </c>
      <c r="E72">
        <v>1</v>
      </c>
      <c r="F72">
        <v>1</v>
      </c>
      <c r="G72">
        <v>1</v>
      </c>
      <c r="H72">
        <v>3</v>
      </c>
      <c r="I72" t="s">
        <v>317</v>
      </c>
      <c r="J72" t="s">
        <v>318</v>
      </c>
      <c r="K72" t="s">
        <v>319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W72">
        <v>0</v>
      </c>
      <c r="X72">
        <v>-526970962</v>
      </c>
      <c r="Y72">
        <v>2.5499999999999998E-2</v>
      </c>
      <c r="AA72">
        <v>3565.74</v>
      </c>
      <c r="AB72">
        <v>0</v>
      </c>
      <c r="AC72">
        <v>0</v>
      </c>
      <c r="AD72">
        <v>0</v>
      </c>
      <c r="AE72">
        <v>586.47</v>
      </c>
      <c r="AF72">
        <v>0</v>
      </c>
      <c r="AG72">
        <v>0</v>
      </c>
      <c r="AH72">
        <v>0</v>
      </c>
      <c r="AI72">
        <v>6.08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2.5499999999999998E-2</v>
      </c>
      <c r="AU72" t="s">
        <v>3</v>
      </c>
      <c r="AV72">
        <v>0</v>
      </c>
      <c r="AW72">
        <v>2</v>
      </c>
      <c r="AX72">
        <v>39102511</v>
      </c>
      <c r="AY72">
        <v>1</v>
      </c>
      <c r="AZ72">
        <v>0</v>
      </c>
      <c r="BA72">
        <v>68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Y72*Source!I49</f>
        <v>9.2564999999999991E-3</v>
      </c>
      <c r="CY72">
        <f t="shared" si="0"/>
        <v>3565.74</v>
      </c>
      <c r="CZ72">
        <f t="shared" si="1"/>
        <v>586.47</v>
      </c>
      <c r="DA72">
        <f t="shared" si="2"/>
        <v>6.08</v>
      </c>
      <c r="DB72">
        <v>0</v>
      </c>
    </row>
    <row r="73" spans="1:106" x14ac:dyDescent="0.2">
      <c r="A73">
        <f>ROW(Source!A49)</f>
        <v>49</v>
      </c>
      <c r="B73">
        <v>39102310</v>
      </c>
      <c r="C73">
        <v>39102491</v>
      </c>
      <c r="D73">
        <v>36805188</v>
      </c>
      <c r="E73">
        <v>1</v>
      </c>
      <c r="F73">
        <v>1</v>
      </c>
      <c r="G73">
        <v>1</v>
      </c>
      <c r="H73">
        <v>3</v>
      </c>
      <c r="I73" t="s">
        <v>305</v>
      </c>
      <c r="J73" t="s">
        <v>306</v>
      </c>
      <c r="K73" t="s">
        <v>307</v>
      </c>
      <c r="L73">
        <v>1327</v>
      </c>
      <c r="N73">
        <v>1005</v>
      </c>
      <c r="O73" t="s">
        <v>51</v>
      </c>
      <c r="P73" t="s">
        <v>51</v>
      </c>
      <c r="Q73">
        <v>1</v>
      </c>
      <c r="W73">
        <v>0</v>
      </c>
      <c r="X73">
        <v>-1987926685</v>
      </c>
      <c r="Y73">
        <v>1.6</v>
      </c>
      <c r="AA73">
        <v>439.71</v>
      </c>
      <c r="AB73">
        <v>0</v>
      </c>
      <c r="AC73">
        <v>0</v>
      </c>
      <c r="AD73">
        <v>0</v>
      </c>
      <c r="AE73">
        <v>72.319999999999993</v>
      </c>
      <c r="AF73">
        <v>0</v>
      </c>
      <c r="AG73">
        <v>0</v>
      </c>
      <c r="AH73">
        <v>0</v>
      </c>
      <c r="AI73">
        <v>6.08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1.6</v>
      </c>
      <c r="AU73" t="s">
        <v>3</v>
      </c>
      <c r="AV73">
        <v>0</v>
      </c>
      <c r="AW73">
        <v>2</v>
      </c>
      <c r="AX73">
        <v>39102512</v>
      </c>
      <c r="AY73">
        <v>1</v>
      </c>
      <c r="AZ73">
        <v>0</v>
      </c>
      <c r="BA73">
        <v>69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Y73*Source!I49</f>
        <v>0.58079999999999998</v>
      </c>
      <c r="CY73">
        <f t="shared" si="0"/>
        <v>439.71</v>
      </c>
      <c r="CZ73">
        <f t="shared" si="1"/>
        <v>72.319999999999993</v>
      </c>
      <c r="DA73">
        <f t="shared" si="2"/>
        <v>6.08</v>
      </c>
      <c r="DB73">
        <v>0</v>
      </c>
    </row>
    <row r="74" spans="1:106" x14ac:dyDescent="0.2">
      <c r="A74">
        <f>ROW(Source!A49)</f>
        <v>49</v>
      </c>
      <c r="B74">
        <v>39102310</v>
      </c>
      <c r="C74">
        <v>39102491</v>
      </c>
      <c r="D74">
        <v>36806413</v>
      </c>
      <c r="E74">
        <v>1</v>
      </c>
      <c r="F74">
        <v>1</v>
      </c>
      <c r="G74">
        <v>1</v>
      </c>
      <c r="H74">
        <v>3</v>
      </c>
      <c r="I74" t="s">
        <v>320</v>
      </c>
      <c r="J74" t="s">
        <v>321</v>
      </c>
      <c r="K74" t="s">
        <v>322</v>
      </c>
      <c r="L74">
        <v>1339</v>
      </c>
      <c r="N74">
        <v>1007</v>
      </c>
      <c r="O74" t="s">
        <v>276</v>
      </c>
      <c r="P74" t="s">
        <v>276</v>
      </c>
      <c r="Q74">
        <v>1</v>
      </c>
      <c r="W74">
        <v>0</v>
      </c>
      <c r="X74">
        <v>1795918813</v>
      </c>
      <c r="Y74">
        <v>4.4000000000000003E-3</v>
      </c>
      <c r="AA74">
        <v>453.45</v>
      </c>
      <c r="AB74">
        <v>0</v>
      </c>
      <c r="AC74">
        <v>0</v>
      </c>
      <c r="AD74">
        <v>0</v>
      </c>
      <c r="AE74">
        <v>74.58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4.4000000000000003E-3</v>
      </c>
      <c r="AU74" t="s">
        <v>3</v>
      </c>
      <c r="AV74">
        <v>0</v>
      </c>
      <c r="AW74">
        <v>2</v>
      </c>
      <c r="AX74">
        <v>39102513</v>
      </c>
      <c r="AY74">
        <v>1</v>
      </c>
      <c r="AZ74">
        <v>0</v>
      </c>
      <c r="BA74">
        <v>70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Y74*Source!I49</f>
        <v>1.5972E-3</v>
      </c>
      <c r="CY74">
        <f t="shared" si="0"/>
        <v>453.45</v>
      </c>
      <c r="CZ74">
        <f t="shared" si="1"/>
        <v>74.58</v>
      </c>
      <c r="DA74">
        <f t="shared" si="2"/>
        <v>6.08</v>
      </c>
      <c r="DB74">
        <v>0</v>
      </c>
    </row>
    <row r="75" spans="1:106" x14ac:dyDescent="0.2">
      <c r="A75">
        <f>ROW(Source!A49)</f>
        <v>49</v>
      </c>
      <c r="B75">
        <v>39102310</v>
      </c>
      <c r="C75">
        <v>39102491</v>
      </c>
      <c r="D75">
        <v>36836983</v>
      </c>
      <c r="E75">
        <v>1</v>
      </c>
      <c r="F75">
        <v>1</v>
      </c>
      <c r="G75">
        <v>1</v>
      </c>
      <c r="H75">
        <v>3</v>
      </c>
      <c r="I75" t="s">
        <v>323</v>
      </c>
      <c r="J75" t="s">
        <v>324</v>
      </c>
      <c r="K75" t="s">
        <v>325</v>
      </c>
      <c r="L75">
        <v>1346</v>
      </c>
      <c r="N75">
        <v>1009</v>
      </c>
      <c r="O75" t="s">
        <v>65</v>
      </c>
      <c r="P75" t="s">
        <v>65</v>
      </c>
      <c r="Q75">
        <v>1</v>
      </c>
      <c r="W75">
        <v>0</v>
      </c>
      <c r="X75">
        <v>-1684093315</v>
      </c>
      <c r="Y75">
        <v>4.0199999999999996</v>
      </c>
      <c r="AA75">
        <v>49.19</v>
      </c>
      <c r="AB75">
        <v>0</v>
      </c>
      <c r="AC75">
        <v>0</v>
      </c>
      <c r="AD75">
        <v>0</v>
      </c>
      <c r="AE75">
        <v>8.09</v>
      </c>
      <c r="AF75">
        <v>0</v>
      </c>
      <c r="AG75">
        <v>0</v>
      </c>
      <c r="AH75">
        <v>0</v>
      </c>
      <c r="AI75">
        <v>6.08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4.0199999999999996</v>
      </c>
      <c r="AU75" t="s">
        <v>3</v>
      </c>
      <c r="AV75">
        <v>0</v>
      </c>
      <c r="AW75">
        <v>2</v>
      </c>
      <c r="AX75">
        <v>39102514</v>
      </c>
      <c r="AY75">
        <v>1</v>
      </c>
      <c r="AZ75">
        <v>0</v>
      </c>
      <c r="BA75">
        <v>71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Y75*Source!I49</f>
        <v>1.4592599999999998</v>
      </c>
      <c r="CY75">
        <f t="shared" si="0"/>
        <v>49.19</v>
      </c>
      <c r="CZ75">
        <f t="shared" si="1"/>
        <v>8.09</v>
      </c>
      <c r="DA75">
        <f t="shared" si="2"/>
        <v>6.08</v>
      </c>
      <c r="DB75">
        <v>0</v>
      </c>
    </row>
    <row r="76" spans="1:106" x14ac:dyDescent="0.2">
      <c r="A76">
        <f>ROW(Source!A49)</f>
        <v>49</v>
      </c>
      <c r="B76">
        <v>39102310</v>
      </c>
      <c r="C76">
        <v>39102491</v>
      </c>
      <c r="D76">
        <v>36797561</v>
      </c>
      <c r="E76">
        <v>17</v>
      </c>
      <c r="F76">
        <v>1</v>
      </c>
      <c r="G76">
        <v>1</v>
      </c>
      <c r="H76">
        <v>3</v>
      </c>
      <c r="I76" t="s">
        <v>125</v>
      </c>
      <c r="J76" t="s">
        <v>3</v>
      </c>
      <c r="K76" t="s">
        <v>126</v>
      </c>
      <c r="L76">
        <v>1348</v>
      </c>
      <c r="N76">
        <v>1009</v>
      </c>
      <c r="O76" t="s">
        <v>60</v>
      </c>
      <c r="P76" t="s">
        <v>60</v>
      </c>
      <c r="Q76">
        <v>1000</v>
      </c>
      <c r="W76">
        <v>0</v>
      </c>
      <c r="X76">
        <v>1891904026</v>
      </c>
      <c r="Y76">
        <v>7.0999999999999994E-2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6.08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7.0999999999999994E-2</v>
      </c>
      <c r="AU76" t="s">
        <v>3</v>
      </c>
      <c r="AV76">
        <v>0</v>
      </c>
      <c r="AW76">
        <v>2</v>
      </c>
      <c r="AX76">
        <v>39102515</v>
      </c>
      <c r="AY76">
        <v>1</v>
      </c>
      <c r="AZ76">
        <v>0</v>
      </c>
      <c r="BA76">
        <v>72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Y76*Source!I49</f>
        <v>2.5772999999999997E-2</v>
      </c>
      <c r="CY76">
        <f t="shared" si="0"/>
        <v>0</v>
      </c>
      <c r="CZ76">
        <f t="shared" si="1"/>
        <v>0</v>
      </c>
      <c r="DA76">
        <f t="shared" si="2"/>
        <v>6.08</v>
      </c>
      <c r="DB76">
        <v>0</v>
      </c>
    </row>
    <row r="77" spans="1:106" x14ac:dyDescent="0.2">
      <c r="A77">
        <f>ROW(Source!A49)</f>
        <v>49</v>
      </c>
      <c r="B77">
        <v>39102310</v>
      </c>
      <c r="C77">
        <v>39102491</v>
      </c>
      <c r="D77">
        <v>36837739</v>
      </c>
      <c r="E77">
        <v>1</v>
      </c>
      <c r="F77">
        <v>1</v>
      </c>
      <c r="G77">
        <v>1</v>
      </c>
      <c r="H77">
        <v>3</v>
      </c>
      <c r="I77" t="s">
        <v>121</v>
      </c>
      <c r="J77" t="s">
        <v>123</v>
      </c>
      <c r="K77" t="s">
        <v>122</v>
      </c>
      <c r="L77">
        <v>1348</v>
      </c>
      <c r="N77">
        <v>1009</v>
      </c>
      <c r="O77" t="s">
        <v>60</v>
      </c>
      <c r="P77" t="s">
        <v>60</v>
      </c>
      <c r="Q77">
        <v>1000</v>
      </c>
      <c r="W77">
        <v>0</v>
      </c>
      <c r="X77">
        <v>-1849320982</v>
      </c>
      <c r="Y77">
        <v>7.0999999999999994E-2</v>
      </c>
      <c r="AA77">
        <v>80789.16</v>
      </c>
      <c r="AB77">
        <v>0</v>
      </c>
      <c r="AC77">
        <v>0</v>
      </c>
      <c r="AD77">
        <v>0</v>
      </c>
      <c r="AE77">
        <v>13287.69</v>
      </c>
      <c r="AF77">
        <v>0</v>
      </c>
      <c r="AG77">
        <v>0</v>
      </c>
      <c r="AH77">
        <v>0</v>
      </c>
      <c r="AI77">
        <v>6.08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3</v>
      </c>
      <c r="AT77">
        <v>7.0999999999999994E-2</v>
      </c>
      <c r="AU77" t="s">
        <v>3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Y77*Source!I49</f>
        <v>2.5772999999999997E-2</v>
      </c>
      <c r="CY77">
        <f t="shared" si="0"/>
        <v>80789.16</v>
      </c>
      <c r="CZ77">
        <f t="shared" si="1"/>
        <v>13287.69</v>
      </c>
      <c r="DA77">
        <f t="shared" si="2"/>
        <v>6.08</v>
      </c>
      <c r="DB77">
        <v>0</v>
      </c>
    </row>
    <row r="78" spans="1:106" x14ac:dyDescent="0.2">
      <c r="A78">
        <f>ROW(Source!A49)</f>
        <v>49</v>
      </c>
      <c r="B78">
        <v>39102310</v>
      </c>
      <c r="C78">
        <v>39102491</v>
      </c>
      <c r="D78">
        <v>36839212</v>
      </c>
      <c r="E78">
        <v>1</v>
      </c>
      <c r="F78">
        <v>1</v>
      </c>
      <c r="G78">
        <v>1</v>
      </c>
      <c r="H78">
        <v>3</v>
      </c>
      <c r="I78" t="s">
        <v>308</v>
      </c>
      <c r="J78" t="s">
        <v>309</v>
      </c>
      <c r="K78" t="s">
        <v>310</v>
      </c>
      <c r="L78">
        <v>1348</v>
      </c>
      <c r="N78">
        <v>1009</v>
      </c>
      <c r="O78" t="s">
        <v>60</v>
      </c>
      <c r="P78" t="s">
        <v>60</v>
      </c>
      <c r="Q78">
        <v>1000</v>
      </c>
      <c r="W78">
        <v>0</v>
      </c>
      <c r="X78">
        <v>-2084827333</v>
      </c>
      <c r="Y78">
        <v>7.5999999999999998E-2</v>
      </c>
      <c r="AA78">
        <v>26107.52</v>
      </c>
      <c r="AB78">
        <v>0</v>
      </c>
      <c r="AC78">
        <v>0</v>
      </c>
      <c r="AD78">
        <v>0</v>
      </c>
      <c r="AE78">
        <v>4294</v>
      </c>
      <c r="AF78">
        <v>0</v>
      </c>
      <c r="AG78">
        <v>0</v>
      </c>
      <c r="AH78">
        <v>0</v>
      </c>
      <c r="AI78">
        <v>6.08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7.5999999999999998E-2</v>
      </c>
      <c r="AU78" t="s">
        <v>3</v>
      </c>
      <c r="AV78">
        <v>0</v>
      </c>
      <c r="AW78">
        <v>2</v>
      </c>
      <c r="AX78">
        <v>39102516</v>
      </c>
      <c r="AY78">
        <v>1</v>
      </c>
      <c r="AZ78">
        <v>0</v>
      </c>
      <c r="BA78">
        <v>73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Y78*Source!I49</f>
        <v>2.7587999999999998E-2</v>
      </c>
      <c r="CY78">
        <f t="shared" si="0"/>
        <v>26107.52</v>
      </c>
      <c r="CZ78">
        <f t="shared" si="1"/>
        <v>4294</v>
      </c>
      <c r="DA78">
        <f t="shared" si="2"/>
        <v>6.08</v>
      </c>
      <c r="DB7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39102374</v>
      </c>
      <c r="C1">
        <v>39102372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3</v>
      </c>
      <c r="AG1">
        <v>3.77</v>
      </c>
      <c r="AH1">
        <v>2</v>
      </c>
      <c r="AI1">
        <v>39102373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39102375</v>
      </c>
      <c r="C2">
        <v>39102372</v>
      </c>
      <c r="D2">
        <v>36799072</v>
      </c>
      <c r="E2">
        <v>17</v>
      </c>
      <c r="F2">
        <v>1</v>
      </c>
      <c r="G2">
        <v>1</v>
      </c>
      <c r="H2">
        <v>3</v>
      </c>
      <c r="I2" t="s">
        <v>326</v>
      </c>
      <c r="J2" t="s">
        <v>3</v>
      </c>
      <c r="K2" t="s">
        <v>327</v>
      </c>
      <c r="L2">
        <v>1348</v>
      </c>
      <c r="N2">
        <v>1009</v>
      </c>
      <c r="O2" t="s">
        <v>60</v>
      </c>
      <c r="P2" t="s">
        <v>60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3</v>
      </c>
      <c r="AG2">
        <v>0.11</v>
      </c>
      <c r="AH2">
        <v>3</v>
      </c>
      <c r="AI2">
        <v>-1</v>
      </c>
      <c r="AJ2" t="s">
        <v>3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39102380</v>
      </c>
      <c r="C3">
        <v>39102376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256</v>
      </c>
      <c r="J3" t="s">
        <v>3</v>
      </c>
      <c r="K3" t="s">
        <v>257</v>
      </c>
      <c r="L3">
        <v>1191</v>
      </c>
      <c r="N3">
        <v>1013</v>
      </c>
      <c r="O3" t="s">
        <v>258</v>
      </c>
      <c r="P3" t="s">
        <v>258</v>
      </c>
      <c r="Q3">
        <v>1</v>
      </c>
      <c r="X3">
        <v>11.39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3</v>
      </c>
      <c r="AG3">
        <v>11.39</v>
      </c>
      <c r="AH3">
        <v>2</v>
      </c>
      <c r="AI3">
        <v>39102377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39102381</v>
      </c>
      <c r="C4">
        <v>39102376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259</v>
      </c>
      <c r="J4" t="s">
        <v>3</v>
      </c>
      <c r="K4" t="s">
        <v>260</v>
      </c>
      <c r="L4">
        <v>1191</v>
      </c>
      <c r="N4">
        <v>1013</v>
      </c>
      <c r="O4" t="s">
        <v>258</v>
      </c>
      <c r="P4" t="s">
        <v>258</v>
      </c>
      <c r="Q4">
        <v>1</v>
      </c>
      <c r="X4">
        <v>0.13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3</v>
      </c>
      <c r="AG4">
        <v>0.13</v>
      </c>
      <c r="AH4">
        <v>2</v>
      </c>
      <c r="AI4">
        <v>39102378</v>
      </c>
      <c r="AJ4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39102382</v>
      </c>
      <c r="C5">
        <v>39102376</v>
      </c>
      <c r="D5">
        <v>36882452</v>
      </c>
      <c r="E5">
        <v>1</v>
      </c>
      <c r="F5">
        <v>1</v>
      </c>
      <c r="G5">
        <v>1</v>
      </c>
      <c r="H5">
        <v>2</v>
      </c>
      <c r="I5" t="s">
        <v>261</v>
      </c>
      <c r="J5" t="s">
        <v>262</v>
      </c>
      <c r="K5" t="s">
        <v>263</v>
      </c>
      <c r="L5">
        <v>1368</v>
      </c>
      <c r="N5">
        <v>1011</v>
      </c>
      <c r="O5" t="s">
        <v>264</v>
      </c>
      <c r="P5" t="s">
        <v>264</v>
      </c>
      <c r="Q5">
        <v>1</v>
      </c>
      <c r="X5">
        <v>0.13</v>
      </c>
      <c r="Y5">
        <v>0</v>
      </c>
      <c r="Z5">
        <v>31.26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0.13</v>
      </c>
      <c r="AH5">
        <v>2</v>
      </c>
      <c r="AI5">
        <v>39102379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39102383</v>
      </c>
      <c r="C6">
        <v>39102376</v>
      </c>
      <c r="D6">
        <v>36799072</v>
      </c>
      <c r="E6">
        <v>17</v>
      </c>
      <c r="F6">
        <v>1</v>
      </c>
      <c r="G6">
        <v>1</v>
      </c>
      <c r="H6">
        <v>3</v>
      </c>
      <c r="I6" t="s">
        <v>326</v>
      </c>
      <c r="J6" t="s">
        <v>3</v>
      </c>
      <c r="K6" t="s">
        <v>327</v>
      </c>
      <c r="L6">
        <v>1348</v>
      </c>
      <c r="N6">
        <v>1009</v>
      </c>
      <c r="O6" t="s">
        <v>60</v>
      </c>
      <c r="P6" t="s">
        <v>60</v>
      </c>
      <c r="Q6">
        <v>1000</v>
      </c>
      <c r="X6">
        <v>0.47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3</v>
      </c>
      <c r="AG6">
        <v>0.47</v>
      </c>
      <c r="AH6">
        <v>3</v>
      </c>
      <c r="AI6">
        <v>-1</v>
      </c>
      <c r="AJ6" t="s">
        <v>3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39102392</v>
      </c>
      <c r="C7">
        <v>39102384</v>
      </c>
      <c r="D7">
        <v>37065248</v>
      </c>
      <c r="E7">
        <v>1</v>
      </c>
      <c r="F7">
        <v>1</v>
      </c>
      <c r="G7">
        <v>1</v>
      </c>
      <c r="H7">
        <v>1</v>
      </c>
      <c r="I7" t="s">
        <v>265</v>
      </c>
      <c r="J7" t="s">
        <v>3</v>
      </c>
      <c r="K7" t="s">
        <v>266</v>
      </c>
      <c r="L7">
        <v>1191</v>
      </c>
      <c r="N7">
        <v>1013</v>
      </c>
      <c r="O7" t="s">
        <v>258</v>
      </c>
      <c r="P7" t="s">
        <v>258</v>
      </c>
      <c r="Q7">
        <v>1</v>
      </c>
      <c r="X7">
        <v>37.67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30</v>
      </c>
      <c r="AG7">
        <v>51.984599999999993</v>
      </c>
      <c r="AH7">
        <v>2</v>
      </c>
      <c r="AI7">
        <v>39102385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39102393</v>
      </c>
      <c r="C8">
        <v>39102384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259</v>
      </c>
      <c r="J8" t="s">
        <v>3</v>
      </c>
      <c r="K8" t="s">
        <v>260</v>
      </c>
      <c r="L8">
        <v>1191</v>
      </c>
      <c r="N8">
        <v>1013</v>
      </c>
      <c r="O8" t="s">
        <v>258</v>
      </c>
      <c r="P8" t="s">
        <v>258</v>
      </c>
      <c r="Q8">
        <v>1</v>
      </c>
      <c r="X8">
        <v>0.17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29</v>
      </c>
      <c r="AG8">
        <v>0.255</v>
      </c>
      <c r="AH8">
        <v>2</v>
      </c>
      <c r="AI8">
        <v>39102386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39102394</v>
      </c>
      <c r="C9">
        <v>39102384</v>
      </c>
      <c r="D9">
        <v>36882448</v>
      </c>
      <c r="E9">
        <v>1</v>
      </c>
      <c r="F9">
        <v>1</v>
      </c>
      <c r="G9">
        <v>1</v>
      </c>
      <c r="H9">
        <v>2</v>
      </c>
      <c r="I9" t="s">
        <v>267</v>
      </c>
      <c r="J9" t="s">
        <v>268</v>
      </c>
      <c r="K9" t="s">
        <v>269</v>
      </c>
      <c r="L9">
        <v>1368</v>
      </c>
      <c r="N9">
        <v>1011</v>
      </c>
      <c r="O9" t="s">
        <v>264</v>
      </c>
      <c r="P9" t="s">
        <v>264</v>
      </c>
      <c r="Q9">
        <v>1</v>
      </c>
      <c r="X9">
        <v>0.13</v>
      </c>
      <c r="Y9">
        <v>0</v>
      </c>
      <c r="Z9">
        <v>27.66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29</v>
      </c>
      <c r="AG9">
        <v>0.19500000000000001</v>
      </c>
      <c r="AH9">
        <v>2</v>
      </c>
      <c r="AI9">
        <v>39102387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39102395</v>
      </c>
      <c r="C10">
        <v>39102384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270</v>
      </c>
      <c r="J10" t="s">
        <v>271</v>
      </c>
      <c r="K10" t="s">
        <v>272</v>
      </c>
      <c r="L10">
        <v>1368</v>
      </c>
      <c r="N10">
        <v>1011</v>
      </c>
      <c r="O10" t="s">
        <v>264</v>
      </c>
      <c r="P10" t="s">
        <v>264</v>
      </c>
      <c r="Q10">
        <v>1</v>
      </c>
      <c r="X10">
        <v>0.04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29</v>
      </c>
      <c r="AG10">
        <v>0.06</v>
      </c>
      <c r="AH10">
        <v>2</v>
      </c>
      <c r="AI10">
        <v>39102388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39102396</v>
      </c>
      <c r="C11">
        <v>39102384</v>
      </c>
      <c r="D11">
        <v>36801792</v>
      </c>
      <c r="E11">
        <v>1</v>
      </c>
      <c r="F11">
        <v>1</v>
      </c>
      <c r="G11">
        <v>1</v>
      </c>
      <c r="H11">
        <v>3</v>
      </c>
      <c r="I11" t="s">
        <v>273</v>
      </c>
      <c r="J11" t="s">
        <v>274</v>
      </c>
      <c r="K11" t="s">
        <v>275</v>
      </c>
      <c r="L11">
        <v>1339</v>
      </c>
      <c r="N11">
        <v>1007</v>
      </c>
      <c r="O11" t="s">
        <v>276</v>
      </c>
      <c r="P11" t="s">
        <v>276</v>
      </c>
      <c r="Q11">
        <v>1</v>
      </c>
      <c r="X11">
        <v>0.17399999999999999</v>
      </c>
      <c r="Y11">
        <v>2.44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0.17399999999999999</v>
      </c>
      <c r="AH11">
        <v>2</v>
      </c>
      <c r="AI11">
        <v>39102389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39102397</v>
      </c>
      <c r="C12">
        <v>39102384</v>
      </c>
      <c r="D12">
        <v>36807412</v>
      </c>
      <c r="E12">
        <v>1</v>
      </c>
      <c r="F12">
        <v>1</v>
      </c>
      <c r="G12">
        <v>1</v>
      </c>
      <c r="H12">
        <v>3</v>
      </c>
      <c r="I12" t="s">
        <v>277</v>
      </c>
      <c r="J12" t="s">
        <v>278</v>
      </c>
      <c r="K12" t="s">
        <v>279</v>
      </c>
      <c r="L12">
        <v>1348</v>
      </c>
      <c r="N12">
        <v>1009</v>
      </c>
      <c r="O12" t="s">
        <v>60</v>
      </c>
      <c r="P12" t="s">
        <v>60</v>
      </c>
      <c r="Q12">
        <v>1000</v>
      </c>
      <c r="X12">
        <v>0.9</v>
      </c>
      <c r="Y12">
        <v>11381.57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0.9</v>
      </c>
      <c r="AH12">
        <v>2</v>
      </c>
      <c r="AI12">
        <v>39102390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39102398</v>
      </c>
      <c r="C13">
        <v>39102384</v>
      </c>
      <c r="D13">
        <v>36837972</v>
      </c>
      <c r="E13">
        <v>1</v>
      </c>
      <c r="F13">
        <v>1</v>
      </c>
      <c r="G13">
        <v>1</v>
      </c>
      <c r="H13">
        <v>3</v>
      </c>
      <c r="I13" t="s">
        <v>280</v>
      </c>
      <c r="J13" t="s">
        <v>281</v>
      </c>
      <c r="K13" t="s">
        <v>282</v>
      </c>
      <c r="L13">
        <v>1346</v>
      </c>
      <c r="N13">
        <v>1009</v>
      </c>
      <c r="O13" t="s">
        <v>65</v>
      </c>
      <c r="P13" t="s">
        <v>65</v>
      </c>
      <c r="Q13">
        <v>1</v>
      </c>
      <c r="X13">
        <v>30</v>
      </c>
      <c r="Y13">
        <v>15.25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30</v>
      </c>
      <c r="AH13">
        <v>2</v>
      </c>
      <c r="AI13">
        <v>39102391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ROW(Source!A27)</f>
        <v>27</v>
      </c>
      <c r="B14">
        <v>39102406</v>
      </c>
      <c r="C14">
        <v>39102399</v>
      </c>
      <c r="D14">
        <v>37065248</v>
      </c>
      <c r="E14">
        <v>1</v>
      </c>
      <c r="F14">
        <v>1</v>
      </c>
      <c r="G14">
        <v>1</v>
      </c>
      <c r="H14">
        <v>1</v>
      </c>
      <c r="I14" t="s">
        <v>265</v>
      </c>
      <c r="J14" t="s">
        <v>3</v>
      </c>
      <c r="K14" t="s">
        <v>266</v>
      </c>
      <c r="L14">
        <v>1191</v>
      </c>
      <c r="N14">
        <v>1013</v>
      </c>
      <c r="O14" t="s">
        <v>258</v>
      </c>
      <c r="P14" t="s">
        <v>258</v>
      </c>
      <c r="Q14">
        <v>1</v>
      </c>
      <c r="X14">
        <v>2.42</v>
      </c>
      <c r="Y14">
        <v>0</v>
      </c>
      <c r="Z14">
        <v>0</v>
      </c>
      <c r="AA14">
        <v>0</v>
      </c>
      <c r="AB14">
        <v>8.5299999999999994</v>
      </c>
      <c r="AC14">
        <v>0</v>
      </c>
      <c r="AD14">
        <v>1</v>
      </c>
      <c r="AE14">
        <v>1</v>
      </c>
      <c r="AF14" t="s">
        <v>42</v>
      </c>
      <c r="AG14">
        <v>6.6791999999999998</v>
      </c>
      <c r="AH14">
        <v>2</v>
      </c>
      <c r="AI14">
        <v>39102400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ROW(Source!A27)</f>
        <v>27</v>
      </c>
      <c r="B15">
        <v>39102407</v>
      </c>
      <c r="C15">
        <v>39102399</v>
      </c>
      <c r="D15">
        <v>37064876</v>
      </c>
      <c r="E15">
        <v>1</v>
      </c>
      <c r="F15">
        <v>1</v>
      </c>
      <c r="G15">
        <v>1</v>
      </c>
      <c r="H15">
        <v>1</v>
      </c>
      <c r="I15" t="s">
        <v>259</v>
      </c>
      <c r="J15" t="s">
        <v>3</v>
      </c>
      <c r="K15" t="s">
        <v>260</v>
      </c>
      <c r="L15">
        <v>1191</v>
      </c>
      <c r="N15">
        <v>1013</v>
      </c>
      <c r="O15" t="s">
        <v>258</v>
      </c>
      <c r="P15" t="s">
        <v>258</v>
      </c>
      <c r="Q15">
        <v>1</v>
      </c>
      <c r="X15">
        <v>0.03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41</v>
      </c>
      <c r="AG15">
        <v>0.09</v>
      </c>
      <c r="AH15">
        <v>2</v>
      </c>
      <c r="AI15">
        <v>39102401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39102408</v>
      </c>
      <c r="C16">
        <v>39102399</v>
      </c>
      <c r="D16">
        <v>36882448</v>
      </c>
      <c r="E16">
        <v>1</v>
      </c>
      <c r="F16">
        <v>1</v>
      </c>
      <c r="G16">
        <v>1</v>
      </c>
      <c r="H16">
        <v>2</v>
      </c>
      <c r="I16" t="s">
        <v>267</v>
      </c>
      <c r="J16" t="s">
        <v>268</v>
      </c>
      <c r="K16" t="s">
        <v>269</v>
      </c>
      <c r="L16">
        <v>1368</v>
      </c>
      <c r="N16">
        <v>1011</v>
      </c>
      <c r="O16" t="s">
        <v>264</v>
      </c>
      <c r="P16" t="s">
        <v>264</v>
      </c>
      <c r="Q16">
        <v>1</v>
      </c>
      <c r="X16">
        <v>0.02</v>
      </c>
      <c r="Y16">
        <v>0</v>
      </c>
      <c r="Z16">
        <v>27.66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41</v>
      </c>
      <c r="AG16">
        <v>0.06</v>
      </c>
      <c r="AH16">
        <v>2</v>
      </c>
      <c r="AI16">
        <v>39102402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39102409</v>
      </c>
      <c r="C17">
        <v>39102399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270</v>
      </c>
      <c r="J17" t="s">
        <v>271</v>
      </c>
      <c r="K17" t="s">
        <v>272</v>
      </c>
      <c r="L17">
        <v>1368</v>
      </c>
      <c r="N17">
        <v>1011</v>
      </c>
      <c r="O17" t="s">
        <v>264</v>
      </c>
      <c r="P17" t="s">
        <v>264</v>
      </c>
      <c r="Q17">
        <v>1</v>
      </c>
      <c r="X17">
        <v>0.01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41</v>
      </c>
      <c r="AG17">
        <v>0.03</v>
      </c>
      <c r="AH17">
        <v>2</v>
      </c>
      <c r="AI17">
        <v>39102403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39102410</v>
      </c>
      <c r="C18">
        <v>39102399</v>
      </c>
      <c r="D18">
        <v>36801792</v>
      </c>
      <c r="E18">
        <v>1</v>
      </c>
      <c r="F18">
        <v>1</v>
      </c>
      <c r="G18">
        <v>1</v>
      </c>
      <c r="H18">
        <v>3</v>
      </c>
      <c r="I18" t="s">
        <v>273</v>
      </c>
      <c r="J18" t="s">
        <v>274</v>
      </c>
      <c r="K18" t="s">
        <v>275</v>
      </c>
      <c r="L18">
        <v>1339</v>
      </c>
      <c r="N18">
        <v>1007</v>
      </c>
      <c r="O18" t="s">
        <v>276</v>
      </c>
      <c r="P18" t="s">
        <v>276</v>
      </c>
      <c r="Q18">
        <v>1</v>
      </c>
      <c r="X18">
        <v>0.03</v>
      </c>
      <c r="Y18">
        <v>2.44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40</v>
      </c>
      <c r="AG18">
        <v>0.06</v>
      </c>
      <c r="AH18">
        <v>2</v>
      </c>
      <c r="AI18">
        <v>39102404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39102411</v>
      </c>
      <c r="C19">
        <v>39102399</v>
      </c>
      <c r="D19">
        <v>36807412</v>
      </c>
      <c r="E19">
        <v>1</v>
      </c>
      <c r="F19">
        <v>1</v>
      </c>
      <c r="G19">
        <v>1</v>
      </c>
      <c r="H19">
        <v>3</v>
      </c>
      <c r="I19" t="s">
        <v>277</v>
      </c>
      <c r="J19" t="s">
        <v>278</v>
      </c>
      <c r="K19" t="s">
        <v>279</v>
      </c>
      <c r="L19">
        <v>1348</v>
      </c>
      <c r="N19">
        <v>1009</v>
      </c>
      <c r="O19" t="s">
        <v>60</v>
      </c>
      <c r="P19" t="s">
        <v>60</v>
      </c>
      <c r="Q19">
        <v>1000</v>
      </c>
      <c r="X19">
        <v>0.18</v>
      </c>
      <c r="Y19">
        <v>11381.57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40</v>
      </c>
      <c r="AG19">
        <v>0.36</v>
      </c>
      <c r="AH19">
        <v>2</v>
      </c>
      <c r="AI19">
        <v>39102405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39102422</v>
      </c>
      <c r="C20">
        <v>39102412</v>
      </c>
      <c r="D20">
        <v>37066837</v>
      </c>
      <c r="E20">
        <v>1</v>
      </c>
      <c r="F20">
        <v>1</v>
      </c>
      <c r="G20">
        <v>1</v>
      </c>
      <c r="H20">
        <v>1</v>
      </c>
      <c r="I20" t="s">
        <v>283</v>
      </c>
      <c r="J20" t="s">
        <v>3</v>
      </c>
      <c r="K20" t="s">
        <v>284</v>
      </c>
      <c r="L20">
        <v>1191</v>
      </c>
      <c r="N20">
        <v>1013</v>
      </c>
      <c r="O20" t="s">
        <v>258</v>
      </c>
      <c r="P20" t="s">
        <v>258</v>
      </c>
      <c r="Q20">
        <v>1</v>
      </c>
      <c r="X20">
        <v>42.4</v>
      </c>
      <c r="Y20">
        <v>0</v>
      </c>
      <c r="Z20">
        <v>0</v>
      </c>
      <c r="AA20">
        <v>0</v>
      </c>
      <c r="AB20">
        <v>8.31</v>
      </c>
      <c r="AC20">
        <v>0</v>
      </c>
      <c r="AD20">
        <v>1</v>
      </c>
      <c r="AE20">
        <v>1</v>
      </c>
      <c r="AF20" t="s">
        <v>30</v>
      </c>
      <c r="AG20">
        <v>58.511999999999993</v>
      </c>
      <c r="AH20">
        <v>2</v>
      </c>
      <c r="AI20">
        <v>39102413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39102423</v>
      </c>
      <c r="C21">
        <v>39102412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259</v>
      </c>
      <c r="J21" t="s">
        <v>3</v>
      </c>
      <c r="K21" t="s">
        <v>260</v>
      </c>
      <c r="L21">
        <v>1191</v>
      </c>
      <c r="N21">
        <v>1013</v>
      </c>
      <c r="O21" t="s">
        <v>258</v>
      </c>
      <c r="P21" t="s">
        <v>258</v>
      </c>
      <c r="Q21">
        <v>1</v>
      </c>
      <c r="X21">
        <v>0.85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29</v>
      </c>
      <c r="AG21">
        <v>1.2749999999999999</v>
      </c>
      <c r="AH21">
        <v>2</v>
      </c>
      <c r="AI21">
        <v>39102414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39102424</v>
      </c>
      <c r="C22">
        <v>39102412</v>
      </c>
      <c r="D22">
        <v>36882452</v>
      </c>
      <c r="E22">
        <v>1</v>
      </c>
      <c r="F22">
        <v>1</v>
      </c>
      <c r="G22">
        <v>1</v>
      </c>
      <c r="H22">
        <v>2</v>
      </c>
      <c r="I22" t="s">
        <v>261</v>
      </c>
      <c r="J22" t="s">
        <v>262</v>
      </c>
      <c r="K22" t="s">
        <v>263</v>
      </c>
      <c r="L22">
        <v>1368</v>
      </c>
      <c r="N22">
        <v>1011</v>
      </c>
      <c r="O22" t="s">
        <v>264</v>
      </c>
      <c r="P22" t="s">
        <v>264</v>
      </c>
      <c r="Q22">
        <v>1</v>
      </c>
      <c r="X22">
        <v>0.35</v>
      </c>
      <c r="Y22">
        <v>0</v>
      </c>
      <c r="Z22">
        <v>31.26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29</v>
      </c>
      <c r="AG22">
        <v>0.52500000000000002</v>
      </c>
      <c r="AH22">
        <v>2</v>
      </c>
      <c r="AI22">
        <v>39102415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39102425</v>
      </c>
      <c r="C23">
        <v>39102412</v>
      </c>
      <c r="D23">
        <v>36883554</v>
      </c>
      <c r="E23">
        <v>1</v>
      </c>
      <c r="F23">
        <v>1</v>
      </c>
      <c r="G23">
        <v>1</v>
      </c>
      <c r="H23">
        <v>2</v>
      </c>
      <c r="I23" t="s">
        <v>270</v>
      </c>
      <c r="J23" t="s">
        <v>271</v>
      </c>
      <c r="K23" t="s">
        <v>272</v>
      </c>
      <c r="L23">
        <v>1368</v>
      </c>
      <c r="N23">
        <v>1011</v>
      </c>
      <c r="O23" t="s">
        <v>264</v>
      </c>
      <c r="P23" t="s">
        <v>264</v>
      </c>
      <c r="Q23">
        <v>1</v>
      </c>
      <c r="X23">
        <v>0.5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29</v>
      </c>
      <c r="AG23">
        <v>0.75</v>
      </c>
      <c r="AH23">
        <v>2</v>
      </c>
      <c r="AI23">
        <v>39102416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ROW(Source!A28)</f>
        <v>28</v>
      </c>
      <c r="B24">
        <v>39102426</v>
      </c>
      <c r="C24">
        <v>39102412</v>
      </c>
      <c r="D24">
        <v>36797243</v>
      </c>
      <c r="E24">
        <v>17</v>
      </c>
      <c r="F24">
        <v>1</v>
      </c>
      <c r="G24">
        <v>1</v>
      </c>
      <c r="H24">
        <v>3</v>
      </c>
      <c r="I24" t="s">
        <v>54</v>
      </c>
      <c r="J24" t="s">
        <v>3</v>
      </c>
      <c r="K24" t="s">
        <v>55</v>
      </c>
      <c r="L24">
        <v>1327</v>
      </c>
      <c r="N24">
        <v>1005</v>
      </c>
      <c r="O24" t="s">
        <v>51</v>
      </c>
      <c r="P24" t="s">
        <v>51</v>
      </c>
      <c r="Q24">
        <v>1</v>
      </c>
      <c r="X24">
        <v>102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3</v>
      </c>
      <c r="AG24">
        <v>102</v>
      </c>
      <c r="AH24">
        <v>2</v>
      </c>
      <c r="AI24">
        <v>39102417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ROW(Source!A28)</f>
        <v>28</v>
      </c>
      <c r="B25">
        <v>39102427</v>
      </c>
      <c r="C25">
        <v>39102412</v>
      </c>
      <c r="D25">
        <v>36805524</v>
      </c>
      <c r="E25">
        <v>1</v>
      </c>
      <c r="F25">
        <v>1</v>
      </c>
      <c r="G25">
        <v>1</v>
      </c>
      <c r="H25">
        <v>3</v>
      </c>
      <c r="I25" t="s">
        <v>285</v>
      </c>
      <c r="J25" t="s">
        <v>286</v>
      </c>
      <c r="K25" t="s">
        <v>287</v>
      </c>
      <c r="L25">
        <v>1346</v>
      </c>
      <c r="N25">
        <v>1009</v>
      </c>
      <c r="O25" t="s">
        <v>65</v>
      </c>
      <c r="P25" t="s">
        <v>65</v>
      </c>
      <c r="Q25">
        <v>1</v>
      </c>
      <c r="X25">
        <v>0.5</v>
      </c>
      <c r="Y25">
        <v>1.82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0.5</v>
      </c>
      <c r="AH25">
        <v>2</v>
      </c>
      <c r="AI25">
        <v>39102418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ROW(Source!A28)</f>
        <v>28</v>
      </c>
      <c r="B26">
        <v>39102428</v>
      </c>
      <c r="C26">
        <v>39102412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X26">
        <v>50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50</v>
      </c>
      <c r="AH26">
        <v>2</v>
      </c>
      <c r="AI26">
        <v>39102419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39102441</v>
      </c>
      <c r="C27">
        <v>39102433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X27">
        <v>9.01</v>
      </c>
      <c r="Y27">
        <v>0</v>
      </c>
      <c r="Z27">
        <v>0</v>
      </c>
      <c r="AA27">
        <v>0</v>
      </c>
      <c r="AB27">
        <v>9.76</v>
      </c>
      <c r="AC27">
        <v>0</v>
      </c>
      <c r="AD27">
        <v>1</v>
      </c>
      <c r="AE27">
        <v>1</v>
      </c>
      <c r="AF27" t="s">
        <v>30</v>
      </c>
      <c r="AG27">
        <v>12.4338</v>
      </c>
      <c r="AH27">
        <v>2</v>
      </c>
      <c r="AI27">
        <v>39102434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39102442</v>
      </c>
      <c r="C28">
        <v>39102433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X28">
        <v>0.04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29</v>
      </c>
      <c r="AG28">
        <v>0.06</v>
      </c>
      <c r="AH28">
        <v>2</v>
      </c>
      <c r="AI28">
        <v>39102435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39102443</v>
      </c>
      <c r="C29">
        <v>39102433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X29">
        <v>5.0000000000000001E-3</v>
      </c>
      <c r="Y29">
        <v>0</v>
      </c>
      <c r="Z29">
        <v>31.26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29</v>
      </c>
      <c r="AG29">
        <v>7.4999999999999997E-3</v>
      </c>
      <c r="AH29">
        <v>2</v>
      </c>
      <c r="AI29">
        <v>39102436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39102444</v>
      </c>
      <c r="C30">
        <v>39102433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X30">
        <v>0.03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29</v>
      </c>
      <c r="AG30">
        <v>4.4999999999999998E-2</v>
      </c>
      <c r="AH30">
        <v>2</v>
      </c>
      <c r="AI30">
        <v>39102437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39102445</v>
      </c>
      <c r="C31">
        <v>39102433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X31">
        <v>101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3</v>
      </c>
      <c r="AG31">
        <v>101</v>
      </c>
      <c r="AH31">
        <v>2</v>
      </c>
      <c r="AI31">
        <v>39102438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39102446</v>
      </c>
      <c r="C32">
        <v>39102433</v>
      </c>
      <c r="D32">
        <v>36838898</v>
      </c>
      <c r="E32">
        <v>1</v>
      </c>
      <c r="F32">
        <v>1</v>
      </c>
      <c r="G32">
        <v>1</v>
      </c>
      <c r="H32">
        <v>3</v>
      </c>
      <c r="I32" t="s">
        <v>290</v>
      </c>
      <c r="J32" t="s">
        <v>291</v>
      </c>
      <c r="K32" t="s">
        <v>292</v>
      </c>
      <c r="L32">
        <v>1346</v>
      </c>
      <c r="N32">
        <v>1009</v>
      </c>
      <c r="O32" t="s">
        <v>65</v>
      </c>
      <c r="P32" t="s">
        <v>65</v>
      </c>
      <c r="Q32">
        <v>1</v>
      </c>
      <c r="X32">
        <v>5.15</v>
      </c>
      <c r="Y32">
        <v>8.36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5.15</v>
      </c>
      <c r="AH32">
        <v>2</v>
      </c>
      <c r="AI32">
        <v>39102439</v>
      </c>
      <c r="AJ32">
        <v>33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39102451</v>
      </c>
      <c r="C33">
        <v>39102449</v>
      </c>
      <c r="D33">
        <v>37065248</v>
      </c>
      <c r="E33">
        <v>1</v>
      </c>
      <c r="F33">
        <v>1</v>
      </c>
      <c r="G33">
        <v>1</v>
      </c>
      <c r="H33">
        <v>1</v>
      </c>
      <c r="I33" t="s">
        <v>265</v>
      </c>
      <c r="J33" t="s">
        <v>3</v>
      </c>
      <c r="K33" t="s">
        <v>266</v>
      </c>
      <c r="L33">
        <v>1191</v>
      </c>
      <c r="N33">
        <v>1013</v>
      </c>
      <c r="O33" t="s">
        <v>258</v>
      </c>
      <c r="P33" t="s">
        <v>258</v>
      </c>
      <c r="Q33">
        <v>1</v>
      </c>
      <c r="X33">
        <v>0.9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30</v>
      </c>
      <c r="AG33">
        <v>1.2419999999999998</v>
      </c>
      <c r="AH33">
        <v>2</v>
      </c>
      <c r="AI33">
        <v>39102450</v>
      </c>
      <c r="AJ33">
        <v>34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39102461</v>
      </c>
      <c r="C34">
        <v>39102452</v>
      </c>
      <c r="D34">
        <v>37066739</v>
      </c>
      <c r="E34">
        <v>1</v>
      </c>
      <c r="F34">
        <v>1</v>
      </c>
      <c r="G34">
        <v>1</v>
      </c>
      <c r="H34">
        <v>1</v>
      </c>
      <c r="I34" t="s">
        <v>293</v>
      </c>
      <c r="J34" t="s">
        <v>3</v>
      </c>
      <c r="K34" t="s">
        <v>294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X34">
        <v>35.83</v>
      </c>
      <c r="Y34">
        <v>0</v>
      </c>
      <c r="Z34">
        <v>0</v>
      </c>
      <c r="AA34">
        <v>0</v>
      </c>
      <c r="AB34">
        <v>8.4600000000000009</v>
      </c>
      <c r="AC34">
        <v>0</v>
      </c>
      <c r="AD34">
        <v>1</v>
      </c>
      <c r="AE34">
        <v>1</v>
      </c>
      <c r="AF34" t="s">
        <v>3</v>
      </c>
      <c r="AG34">
        <v>35.83</v>
      </c>
      <c r="AH34">
        <v>2</v>
      </c>
      <c r="AI34">
        <v>39102453</v>
      </c>
      <c r="AJ34">
        <v>35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ROW(Source!A37)</f>
        <v>37</v>
      </c>
      <c r="B35">
        <v>39102462</v>
      </c>
      <c r="C35">
        <v>39102452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259</v>
      </c>
      <c r="J35" t="s">
        <v>3</v>
      </c>
      <c r="K35" t="s">
        <v>260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X35">
        <v>0.94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</v>
      </c>
      <c r="AG35">
        <v>0.94</v>
      </c>
      <c r="AH35">
        <v>2</v>
      </c>
      <c r="AI35">
        <v>39102454</v>
      </c>
      <c r="AJ35">
        <v>36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ROW(Source!A37)</f>
        <v>37</v>
      </c>
      <c r="B36">
        <v>39102463</v>
      </c>
      <c r="C36">
        <v>39102452</v>
      </c>
      <c r="D36">
        <v>36882383</v>
      </c>
      <c r="E36">
        <v>1</v>
      </c>
      <c r="F36">
        <v>1</v>
      </c>
      <c r="G36">
        <v>1</v>
      </c>
      <c r="H36">
        <v>2</v>
      </c>
      <c r="I36" t="s">
        <v>295</v>
      </c>
      <c r="J36" t="s">
        <v>296</v>
      </c>
      <c r="K36" t="s">
        <v>297</v>
      </c>
      <c r="L36">
        <v>1368</v>
      </c>
      <c r="N36">
        <v>1011</v>
      </c>
      <c r="O36" t="s">
        <v>264</v>
      </c>
      <c r="P36" t="s">
        <v>264</v>
      </c>
      <c r="Q36">
        <v>1</v>
      </c>
      <c r="X36">
        <v>0.02</v>
      </c>
      <c r="Y36">
        <v>0</v>
      </c>
      <c r="Z36">
        <v>89.99</v>
      </c>
      <c r="AA36">
        <v>10.06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0.02</v>
      </c>
      <c r="AH36">
        <v>2</v>
      </c>
      <c r="AI36">
        <v>39102455</v>
      </c>
      <c r="AJ36">
        <v>37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39102464</v>
      </c>
      <c r="C37">
        <v>39102452</v>
      </c>
      <c r="D37">
        <v>36882452</v>
      </c>
      <c r="E37">
        <v>1</v>
      </c>
      <c r="F37">
        <v>1</v>
      </c>
      <c r="G37">
        <v>1</v>
      </c>
      <c r="H37">
        <v>2</v>
      </c>
      <c r="I37" t="s">
        <v>261</v>
      </c>
      <c r="J37" t="s">
        <v>262</v>
      </c>
      <c r="K37" t="s">
        <v>263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X37">
        <v>0.21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0.21</v>
      </c>
      <c r="AH37">
        <v>2</v>
      </c>
      <c r="AI37">
        <v>39102456</v>
      </c>
      <c r="AJ37">
        <v>38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39102465</v>
      </c>
      <c r="C38">
        <v>39102452</v>
      </c>
      <c r="D38">
        <v>36882621</v>
      </c>
      <c r="E38">
        <v>1</v>
      </c>
      <c r="F38">
        <v>1</v>
      </c>
      <c r="G38">
        <v>1</v>
      </c>
      <c r="H38">
        <v>2</v>
      </c>
      <c r="I38" t="s">
        <v>298</v>
      </c>
      <c r="J38" t="s">
        <v>299</v>
      </c>
      <c r="K38" t="s">
        <v>300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X38">
        <v>0.71</v>
      </c>
      <c r="Y38">
        <v>0</v>
      </c>
      <c r="Z38">
        <v>12.39</v>
      </c>
      <c r="AA38">
        <v>10.06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0.71</v>
      </c>
      <c r="AH38">
        <v>2</v>
      </c>
      <c r="AI38">
        <v>39102457</v>
      </c>
      <c r="AJ38">
        <v>39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39102466</v>
      </c>
      <c r="C39">
        <v>39102452</v>
      </c>
      <c r="D39">
        <v>36801792</v>
      </c>
      <c r="E39">
        <v>1</v>
      </c>
      <c r="F39">
        <v>1</v>
      </c>
      <c r="G39">
        <v>1</v>
      </c>
      <c r="H39">
        <v>3</v>
      </c>
      <c r="I39" t="s">
        <v>273</v>
      </c>
      <c r="J39" t="s">
        <v>274</v>
      </c>
      <c r="K39" t="s">
        <v>275</v>
      </c>
      <c r="L39">
        <v>1339</v>
      </c>
      <c r="N39">
        <v>1007</v>
      </c>
      <c r="O39" t="s">
        <v>276</v>
      </c>
      <c r="P39" t="s">
        <v>276</v>
      </c>
      <c r="Q39">
        <v>1</v>
      </c>
      <c r="X39">
        <v>0.51300000000000001</v>
      </c>
      <c r="Y39">
        <v>2.44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0.51300000000000001</v>
      </c>
      <c r="AH39">
        <v>2</v>
      </c>
      <c r="AI39">
        <v>39102458</v>
      </c>
      <c r="AJ39">
        <v>40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39102467</v>
      </c>
      <c r="C40">
        <v>39102452</v>
      </c>
      <c r="D40">
        <v>36797456</v>
      </c>
      <c r="E40">
        <v>17</v>
      </c>
      <c r="F40">
        <v>1</v>
      </c>
      <c r="G40">
        <v>1</v>
      </c>
      <c r="H40">
        <v>3</v>
      </c>
      <c r="I40" t="s">
        <v>95</v>
      </c>
      <c r="J40" t="s">
        <v>3</v>
      </c>
      <c r="K40" t="s">
        <v>96</v>
      </c>
      <c r="L40">
        <v>1348</v>
      </c>
      <c r="N40">
        <v>1009</v>
      </c>
      <c r="O40" t="s">
        <v>60</v>
      </c>
      <c r="P40" t="s">
        <v>60</v>
      </c>
      <c r="Q40">
        <v>1000</v>
      </c>
      <c r="X40">
        <v>0.85499999999999998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0.85499999999999998</v>
      </c>
      <c r="AH40">
        <v>2</v>
      </c>
      <c r="AI40">
        <v>39102459</v>
      </c>
      <c r="AJ40">
        <v>41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39102468</v>
      </c>
      <c r="C41">
        <v>39102452</v>
      </c>
      <c r="D41">
        <v>36797079</v>
      </c>
      <c r="E41">
        <v>17</v>
      </c>
      <c r="F41">
        <v>1</v>
      </c>
      <c r="G41">
        <v>1</v>
      </c>
      <c r="H41">
        <v>3</v>
      </c>
      <c r="I41" t="s">
        <v>108</v>
      </c>
      <c r="J41" t="s">
        <v>3</v>
      </c>
      <c r="K41" t="s">
        <v>109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X41">
        <v>0</v>
      </c>
      <c r="Y41">
        <v>0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  <c r="AF41" t="s">
        <v>3</v>
      </c>
      <c r="AG41">
        <v>0</v>
      </c>
      <c r="AH41">
        <v>3</v>
      </c>
      <c r="AI41">
        <v>-1</v>
      </c>
      <c r="AJ41" t="s">
        <v>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39103066</v>
      </c>
      <c r="C42">
        <v>39103058</v>
      </c>
      <c r="D42">
        <v>37071037</v>
      </c>
      <c r="E42">
        <v>1</v>
      </c>
      <c r="F42">
        <v>1</v>
      </c>
      <c r="G42">
        <v>1</v>
      </c>
      <c r="H42">
        <v>1</v>
      </c>
      <c r="I42" t="s">
        <v>301</v>
      </c>
      <c r="J42" t="s">
        <v>3</v>
      </c>
      <c r="K42" t="s">
        <v>302</v>
      </c>
      <c r="L42">
        <v>1191</v>
      </c>
      <c r="N42">
        <v>1013</v>
      </c>
      <c r="O42" t="s">
        <v>258</v>
      </c>
      <c r="P42" t="s">
        <v>258</v>
      </c>
      <c r="Q42">
        <v>1</v>
      </c>
      <c r="X42">
        <v>6.55</v>
      </c>
      <c r="Y42">
        <v>0</v>
      </c>
      <c r="Z42">
        <v>0</v>
      </c>
      <c r="AA42">
        <v>0</v>
      </c>
      <c r="AB42">
        <v>9.6199999999999992</v>
      </c>
      <c r="AC42">
        <v>0</v>
      </c>
      <c r="AD42">
        <v>1</v>
      </c>
      <c r="AE42">
        <v>1</v>
      </c>
      <c r="AF42" t="s">
        <v>30</v>
      </c>
      <c r="AG42">
        <v>9.0389999999999979</v>
      </c>
      <c r="AH42">
        <v>2</v>
      </c>
      <c r="AI42">
        <v>39103059</v>
      </c>
      <c r="AJ42">
        <v>43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39103067</v>
      </c>
      <c r="C43">
        <v>39103058</v>
      </c>
      <c r="D43">
        <v>37064876</v>
      </c>
      <c r="E43">
        <v>1</v>
      </c>
      <c r="F43">
        <v>1</v>
      </c>
      <c r="G43">
        <v>1</v>
      </c>
      <c r="H43">
        <v>1</v>
      </c>
      <c r="I43" t="s">
        <v>259</v>
      </c>
      <c r="J43" t="s">
        <v>3</v>
      </c>
      <c r="K43" t="s">
        <v>260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X43">
        <v>0.02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29</v>
      </c>
      <c r="AG43">
        <v>0.03</v>
      </c>
      <c r="AH43">
        <v>2</v>
      </c>
      <c r="AI43">
        <v>39103060</v>
      </c>
      <c r="AJ43">
        <v>44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39103068</v>
      </c>
      <c r="C44">
        <v>39103058</v>
      </c>
      <c r="D44">
        <v>36882452</v>
      </c>
      <c r="E44">
        <v>1</v>
      </c>
      <c r="F44">
        <v>1</v>
      </c>
      <c r="G44">
        <v>1</v>
      </c>
      <c r="H44">
        <v>2</v>
      </c>
      <c r="I44" t="s">
        <v>261</v>
      </c>
      <c r="J44" t="s">
        <v>262</v>
      </c>
      <c r="K44" t="s">
        <v>263</v>
      </c>
      <c r="L44">
        <v>1368</v>
      </c>
      <c r="N44">
        <v>1011</v>
      </c>
      <c r="O44" t="s">
        <v>264</v>
      </c>
      <c r="P44" t="s">
        <v>264</v>
      </c>
      <c r="Q44">
        <v>1</v>
      </c>
      <c r="X44">
        <v>0.01</v>
      </c>
      <c r="Y44">
        <v>0</v>
      </c>
      <c r="Z44">
        <v>31.26</v>
      </c>
      <c r="AA44">
        <v>13.5</v>
      </c>
      <c r="AB44">
        <v>0</v>
      </c>
      <c r="AC44">
        <v>0</v>
      </c>
      <c r="AD44">
        <v>1</v>
      </c>
      <c r="AE44">
        <v>0</v>
      </c>
      <c r="AF44" t="s">
        <v>29</v>
      </c>
      <c r="AG44">
        <v>1.4999999999999999E-2</v>
      </c>
      <c r="AH44">
        <v>2</v>
      </c>
      <c r="AI44">
        <v>39103061</v>
      </c>
      <c r="AJ44">
        <v>45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39103069</v>
      </c>
      <c r="C45">
        <v>39103058</v>
      </c>
      <c r="D45">
        <v>36883554</v>
      </c>
      <c r="E45">
        <v>1</v>
      </c>
      <c r="F45">
        <v>1</v>
      </c>
      <c r="G45">
        <v>1</v>
      </c>
      <c r="H45">
        <v>2</v>
      </c>
      <c r="I45" t="s">
        <v>270</v>
      </c>
      <c r="J45" t="s">
        <v>271</v>
      </c>
      <c r="K45" t="s">
        <v>272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X45">
        <v>0.01</v>
      </c>
      <c r="Y45">
        <v>0</v>
      </c>
      <c r="Z45">
        <v>65.709999999999994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29</v>
      </c>
      <c r="AG45">
        <v>1.4999999999999999E-2</v>
      </c>
      <c r="AH45">
        <v>2</v>
      </c>
      <c r="AI45">
        <v>39103062</v>
      </c>
      <c r="AJ45">
        <v>46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39103070</v>
      </c>
      <c r="C46">
        <v>39103058</v>
      </c>
      <c r="D46">
        <v>36805524</v>
      </c>
      <c r="E46">
        <v>1</v>
      </c>
      <c r="F46">
        <v>1</v>
      </c>
      <c r="G46">
        <v>1</v>
      </c>
      <c r="H46">
        <v>3</v>
      </c>
      <c r="I46" t="s">
        <v>285</v>
      </c>
      <c r="J46" t="s">
        <v>286</v>
      </c>
      <c r="K46" t="s">
        <v>287</v>
      </c>
      <c r="L46">
        <v>1346</v>
      </c>
      <c r="N46">
        <v>1009</v>
      </c>
      <c r="O46" t="s">
        <v>65</v>
      </c>
      <c r="P46" t="s">
        <v>65</v>
      </c>
      <c r="Q46">
        <v>1</v>
      </c>
      <c r="X46">
        <v>0.1</v>
      </c>
      <c r="Y46">
        <v>1.82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0.1</v>
      </c>
      <c r="AH46">
        <v>2</v>
      </c>
      <c r="AI46">
        <v>39103063</v>
      </c>
      <c r="AJ46">
        <v>47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39103071</v>
      </c>
      <c r="C47">
        <v>39103058</v>
      </c>
      <c r="D47">
        <v>36797079</v>
      </c>
      <c r="E47">
        <v>17</v>
      </c>
      <c r="F47">
        <v>1</v>
      </c>
      <c r="G47">
        <v>1</v>
      </c>
      <c r="H47">
        <v>3</v>
      </c>
      <c r="I47" t="s">
        <v>108</v>
      </c>
      <c r="J47" t="s">
        <v>3</v>
      </c>
      <c r="K47" t="s">
        <v>109</v>
      </c>
      <c r="L47">
        <v>1348</v>
      </c>
      <c r="N47">
        <v>1009</v>
      </c>
      <c r="O47" t="s">
        <v>60</v>
      </c>
      <c r="P47" t="s">
        <v>60</v>
      </c>
      <c r="Q47">
        <v>1000</v>
      </c>
      <c r="X47">
        <v>1.2999999999999999E-2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1.2999999999999999E-2</v>
      </c>
      <c r="AH47">
        <v>2</v>
      </c>
      <c r="AI47">
        <v>39103065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ROW(Source!A43)</f>
        <v>43</v>
      </c>
      <c r="B48">
        <v>39103082</v>
      </c>
      <c r="C48">
        <v>39103074</v>
      </c>
      <c r="D48">
        <v>37071037</v>
      </c>
      <c r="E48">
        <v>1</v>
      </c>
      <c r="F48">
        <v>1</v>
      </c>
      <c r="G48">
        <v>1</v>
      </c>
      <c r="H48">
        <v>1</v>
      </c>
      <c r="I48" t="s">
        <v>301</v>
      </c>
      <c r="J48" t="s">
        <v>3</v>
      </c>
      <c r="K48" t="s">
        <v>302</v>
      </c>
      <c r="L48">
        <v>1191</v>
      </c>
      <c r="N48">
        <v>1013</v>
      </c>
      <c r="O48" t="s">
        <v>258</v>
      </c>
      <c r="P48" t="s">
        <v>258</v>
      </c>
      <c r="Q48">
        <v>1</v>
      </c>
      <c r="X48">
        <v>8.1</v>
      </c>
      <c r="Y48">
        <v>0</v>
      </c>
      <c r="Z48">
        <v>0</v>
      </c>
      <c r="AA48">
        <v>0</v>
      </c>
      <c r="AB48">
        <v>9.6199999999999992</v>
      </c>
      <c r="AC48">
        <v>0</v>
      </c>
      <c r="AD48">
        <v>1</v>
      </c>
      <c r="AE48">
        <v>1</v>
      </c>
      <c r="AF48" t="s">
        <v>30</v>
      </c>
      <c r="AG48">
        <v>11.177999999999999</v>
      </c>
      <c r="AH48">
        <v>2</v>
      </c>
      <c r="AI48">
        <v>39103075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ROW(Source!A43)</f>
        <v>43</v>
      </c>
      <c r="B49">
        <v>39103083</v>
      </c>
      <c r="C49">
        <v>39103074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259</v>
      </c>
      <c r="J49" t="s">
        <v>3</v>
      </c>
      <c r="K49" t="s">
        <v>260</v>
      </c>
      <c r="L49">
        <v>1191</v>
      </c>
      <c r="N49">
        <v>1013</v>
      </c>
      <c r="O49" t="s">
        <v>258</v>
      </c>
      <c r="P49" t="s">
        <v>258</v>
      </c>
      <c r="Q49">
        <v>1</v>
      </c>
      <c r="X49">
        <v>0.02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29</v>
      </c>
      <c r="AG49">
        <v>0.03</v>
      </c>
      <c r="AH49">
        <v>2</v>
      </c>
      <c r="AI49">
        <v>39103076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ROW(Source!A43)</f>
        <v>43</v>
      </c>
      <c r="B50">
        <v>39103084</v>
      </c>
      <c r="C50">
        <v>39103074</v>
      </c>
      <c r="D50">
        <v>36882452</v>
      </c>
      <c r="E50">
        <v>1</v>
      </c>
      <c r="F50">
        <v>1</v>
      </c>
      <c r="G50">
        <v>1</v>
      </c>
      <c r="H50">
        <v>2</v>
      </c>
      <c r="I50" t="s">
        <v>261</v>
      </c>
      <c r="J50" t="s">
        <v>262</v>
      </c>
      <c r="K50" t="s">
        <v>263</v>
      </c>
      <c r="L50">
        <v>1368</v>
      </c>
      <c r="N50">
        <v>1011</v>
      </c>
      <c r="O50" t="s">
        <v>264</v>
      </c>
      <c r="P50" t="s">
        <v>264</v>
      </c>
      <c r="Q50">
        <v>1</v>
      </c>
      <c r="X50">
        <v>0.01</v>
      </c>
      <c r="Y50">
        <v>0</v>
      </c>
      <c r="Z50">
        <v>31.26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29</v>
      </c>
      <c r="AG50">
        <v>1.4999999999999999E-2</v>
      </c>
      <c r="AH50">
        <v>2</v>
      </c>
      <c r="AI50">
        <v>39103077</v>
      </c>
      <c r="AJ50">
        <v>52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ROW(Source!A43)</f>
        <v>43</v>
      </c>
      <c r="B51">
        <v>39103085</v>
      </c>
      <c r="C51">
        <v>39103074</v>
      </c>
      <c r="D51">
        <v>36883554</v>
      </c>
      <c r="E51">
        <v>1</v>
      </c>
      <c r="F51">
        <v>1</v>
      </c>
      <c r="G51">
        <v>1</v>
      </c>
      <c r="H51">
        <v>2</v>
      </c>
      <c r="I51" t="s">
        <v>270</v>
      </c>
      <c r="J51" t="s">
        <v>271</v>
      </c>
      <c r="K51" t="s">
        <v>272</v>
      </c>
      <c r="L51">
        <v>1368</v>
      </c>
      <c r="N51">
        <v>1011</v>
      </c>
      <c r="O51" t="s">
        <v>264</v>
      </c>
      <c r="P51" t="s">
        <v>264</v>
      </c>
      <c r="Q51">
        <v>1</v>
      </c>
      <c r="X51">
        <v>0.01</v>
      </c>
      <c r="Y51">
        <v>0</v>
      </c>
      <c r="Z51">
        <v>65.709999999999994</v>
      </c>
      <c r="AA51">
        <v>11.6</v>
      </c>
      <c r="AB51">
        <v>0</v>
      </c>
      <c r="AC51">
        <v>0</v>
      </c>
      <c r="AD51">
        <v>1</v>
      </c>
      <c r="AE51">
        <v>0</v>
      </c>
      <c r="AF51" t="s">
        <v>29</v>
      </c>
      <c r="AG51">
        <v>1.4999999999999999E-2</v>
      </c>
      <c r="AH51">
        <v>2</v>
      </c>
      <c r="AI51">
        <v>39103078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ROW(Source!A43)</f>
        <v>43</v>
      </c>
      <c r="B52">
        <v>39103086</v>
      </c>
      <c r="C52">
        <v>39103074</v>
      </c>
      <c r="D52">
        <v>36805524</v>
      </c>
      <c r="E52">
        <v>1</v>
      </c>
      <c r="F52">
        <v>1</v>
      </c>
      <c r="G52">
        <v>1</v>
      </c>
      <c r="H52">
        <v>3</v>
      </c>
      <c r="I52" t="s">
        <v>285</v>
      </c>
      <c r="J52" t="s">
        <v>286</v>
      </c>
      <c r="K52" t="s">
        <v>287</v>
      </c>
      <c r="L52">
        <v>1346</v>
      </c>
      <c r="N52">
        <v>1009</v>
      </c>
      <c r="O52" t="s">
        <v>65</v>
      </c>
      <c r="P52" t="s">
        <v>65</v>
      </c>
      <c r="Q52">
        <v>1</v>
      </c>
      <c r="X52">
        <v>0.1</v>
      </c>
      <c r="Y52">
        <v>1.82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0.1</v>
      </c>
      <c r="AH52">
        <v>2</v>
      </c>
      <c r="AI52">
        <v>39103079</v>
      </c>
      <c r="AJ52">
        <v>54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ROW(Source!A43)</f>
        <v>43</v>
      </c>
      <c r="B53">
        <v>39103087</v>
      </c>
      <c r="C53">
        <v>39103074</v>
      </c>
      <c r="D53">
        <v>36797079</v>
      </c>
      <c r="E53">
        <v>17</v>
      </c>
      <c r="F53">
        <v>1</v>
      </c>
      <c r="G53">
        <v>1</v>
      </c>
      <c r="H53">
        <v>3</v>
      </c>
      <c r="I53" t="s">
        <v>108</v>
      </c>
      <c r="J53" t="s">
        <v>3</v>
      </c>
      <c r="K53" t="s">
        <v>109</v>
      </c>
      <c r="L53">
        <v>1348</v>
      </c>
      <c r="N53">
        <v>1009</v>
      </c>
      <c r="O53" t="s">
        <v>60</v>
      </c>
      <c r="P53" t="s">
        <v>60</v>
      </c>
      <c r="Q53">
        <v>1000</v>
      </c>
      <c r="X53">
        <v>1.2999999999999999E-2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3</v>
      </c>
      <c r="AG53">
        <v>1.2999999999999999E-2</v>
      </c>
      <c r="AH53">
        <v>2</v>
      </c>
      <c r="AI53">
        <v>39103081</v>
      </c>
      <c r="AJ53">
        <v>56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ROW(Source!A46)</f>
        <v>46</v>
      </c>
      <c r="B54">
        <v>39102481</v>
      </c>
      <c r="C54">
        <v>39102471</v>
      </c>
      <c r="D54">
        <v>37070090</v>
      </c>
      <c r="E54">
        <v>1</v>
      </c>
      <c r="F54">
        <v>1</v>
      </c>
      <c r="G54">
        <v>1</v>
      </c>
      <c r="H54">
        <v>1</v>
      </c>
      <c r="I54" t="s">
        <v>303</v>
      </c>
      <c r="J54" t="s">
        <v>3</v>
      </c>
      <c r="K54" t="s">
        <v>304</v>
      </c>
      <c r="L54">
        <v>1191</v>
      </c>
      <c r="N54">
        <v>1013</v>
      </c>
      <c r="O54" t="s">
        <v>258</v>
      </c>
      <c r="P54" t="s">
        <v>258</v>
      </c>
      <c r="Q54">
        <v>1</v>
      </c>
      <c r="X54">
        <v>42.9</v>
      </c>
      <c r="Y54">
        <v>0</v>
      </c>
      <c r="Z54">
        <v>0</v>
      </c>
      <c r="AA54">
        <v>0</v>
      </c>
      <c r="AB54">
        <v>8.9700000000000006</v>
      </c>
      <c r="AC54">
        <v>0</v>
      </c>
      <c r="AD54">
        <v>1</v>
      </c>
      <c r="AE54">
        <v>1</v>
      </c>
      <c r="AF54" t="s">
        <v>30</v>
      </c>
      <c r="AG54">
        <v>59.201999999999991</v>
      </c>
      <c r="AH54">
        <v>2</v>
      </c>
      <c r="AI54">
        <v>39102472</v>
      </c>
      <c r="AJ54">
        <v>57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ROW(Source!A46)</f>
        <v>46</v>
      </c>
      <c r="B55">
        <v>39102482</v>
      </c>
      <c r="C55">
        <v>39102471</v>
      </c>
      <c r="D55">
        <v>37064876</v>
      </c>
      <c r="E55">
        <v>1</v>
      </c>
      <c r="F55">
        <v>1</v>
      </c>
      <c r="G55">
        <v>1</v>
      </c>
      <c r="H55">
        <v>1</v>
      </c>
      <c r="I55" t="s">
        <v>259</v>
      </c>
      <c r="J55" t="s">
        <v>3</v>
      </c>
      <c r="K55" t="s">
        <v>260</v>
      </c>
      <c r="L55">
        <v>1191</v>
      </c>
      <c r="N55">
        <v>1013</v>
      </c>
      <c r="O55" t="s">
        <v>258</v>
      </c>
      <c r="P55" t="s">
        <v>258</v>
      </c>
      <c r="Q55">
        <v>1</v>
      </c>
      <c r="X55">
        <v>0.17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29</v>
      </c>
      <c r="AG55">
        <v>0.255</v>
      </c>
      <c r="AH55">
        <v>2</v>
      </c>
      <c r="AI55">
        <v>39102473</v>
      </c>
      <c r="AJ55">
        <v>58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ROW(Source!A46)</f>
        <v>46</v>
      </c>
      <c r="B56">
        <v>39102483</v>
      </c>
      <c r="C56">
        <v>39102471</v>
      </c>
      <c r="D56">
        <v>36882452</v>
      </c>
      <c r="E56">
        <v>1</v>
      </c>
      <c r="F56">
        <v>1</v>
      </c>
      <c r="G56">
        <v>1</v>
      </c>
      <c r="H56">
        <v>2</v>
      </c>
      <c r="I56" t="s">
        <v>261</v>
      </c>
      <c r="J56" t="s">
        <v>262</v>
      </c>
      <c r="K56" t="s">
        <v>263</v>
      </c>
      <c r="L56">
        <v>1368</v>
      </c>
      <c r="N56">
        <v>1011</v>
      </c>
      <c r="O56" t="s">
        <v>264</v>
      </c>
      <c r="P56" t="s">
        <v>264</v>
      </c>
      <c r="Q56">
        <v>1</v>
      </c>
      <c r="X56">
        <v>0.02</v>
      </c>
      <c r="Y56">
        <v>0</v>
      </c>
      <c r="Z56">
        <v>31.26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29</v>
      </c>
      <c r="AG56">
        <v>0.03</v>
      </c>
      <c r="AH56">
        <v>2</v>
      </c>
      <c r="AI56">
        <v>39102474</v>
      </c>
      <c r="AJ56">
        <v>59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ROW(Source!A46)</f>
        <v>46</v>
      </c>
      <c r="B57">
        <v>39102484</v>
      </c>
      <c r="C57">
        <v>39102471</v>
      </c>
      <c r="D57">
        <v>36883554</v>
      </c>
      <c r="E57">
        <v>1</v>
      </c>
      <c r="F57">
        <v>1</v>
      </c>
      <c r="G57">
        <v>1</v>
      </c>
      <c r="H57">
        <v>2</v>
      </c>
      <c r="I57" t="s">
        <v>270</v>
      </c>
      <c r="J57" t="s">
        <v>271</v>
      </c>
      <c r="K57" t="s">
        <v>272</v>
      </c>
      <c r="L57">
        <v>1368</v>
      </c>
      <c r="N57">
        <v>1011</v>
      </c>
      <c r="O57" t="s">
        <v>264</v>
      </c>
      <c r="P57" t="s">
        <v>264</v>
      </c>
      <c r="Q57">
        <v>1</v>
      </c>
      <c r="X57">
        <v>0.15</v>
      </c>
      <c r="Y57">
        <v>0</v>
      </c>
      <c r="Z57">
        <v>65.709999999999994</v>
      </c>
      <c r="AA57">
        <v>11.6</v>
      </c>
      <c r="AB57">
        <v>0</v>
      </c>
      <c r="AC57">
        <v>0</v>
      </c>
      <c r="AD57">
        <v>1</v>
      </c>
      <c r="AE57">
        <v>0</v>
      </c>
      <c r="AF57" t="s">
        <v>29</v>
      </c>
      <c r="AG57">
        <v>0.22499999999999998</v>
      </c>
      <c r="AH57">
        <v>2</v>
      </c>
      <c r="AI57">
        <v>39102475</v>
      </c>
      <c r="AJ57">
        <v>60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ROW(Source!A46)</f>
        <v>46</v>
      </c>
      <c r="B58">
        <v>39102485</v>
      </c>
      <c r="C58">
        <v>39102471</v>
      </c>
      <c r="D58">
        <v>36805188</v>
      </c>
      <c r="E58">
        <v>1</v>
      </c>
      <c r="F58">
        <v>1</v>
      </c>
      <c r="G58">
        <v>1</v>
      </c>
      <c r="H58">
        <v>3</v>
      </c>
      <c r="I58" t="s">
        <v>305</v>
      </c>
      <c r="J58" t="s">
        <v>306</v>
      </c>
      <c r="K58" t="s">
        <v>307</v>
      </c>
      <c r="L58">
        <v>1327</v>
      </c>
      <c r="N58">
        <v>1005</v>
      </c>
      <c r="O58" t="s">
        <v>51</v>
      </c>
      <c r="P58" t="s">
        <v>51</v>
      </c>
      <c r="Q58">
        <v>1</v>
      </c>
      <c r="X58">
        <v>0.84</v>
      </c>
      <c r="Y58">
        <v>72.319999999999993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0.84</v>
      </c>
      <c r="AH58">
        <v>2</v>
      </c>
      <c r="AI58">
        <v>39102476</v>
      </c>
      <c r="AJ58">
        <v>61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39102486</v>
      </c>
      <c r="C59">
        <v>39102471</v>
      </c>
      <c r="D59">
        <v>36805524</v>
      </c>
      <c r="E59">
        <v>1</v>
      </c>
      <c r="F59">
        <v>1</v>
      </c>
      <c r="G59">
        <v>1</v>
      </c>
      <c r="H59">
        <v>3</v>
      </c>
      <c r="I59" t="s">
        <v>285</v>
      </c>
      <c r="J59" t="s">
        <v>286</v>
      </c>
      <c r="K59" t="s">
        <v>287</v>
      </c>
      <c r="L59">
        <v>1346</v>
      </c>
      <c r="N59">
        <v>1009</v>
      </c>
      <c r="O59" t="s">
        <v>65</v>
      </c>
      <c r="P59" t="s">
        <v>65</v>
      </c>
      <c r="Q59">
        <v>1</v>
      </c>
      <c r="X59">
        <v>0.31</v>
      </c>
      <c r="Y59">
        <v>1.82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0.31</v>
      </c>
      <c r="AH59">
        <v>2</v>
      </c>
      <c r="AI59">
        <v>39102477</v>
      </c>
      <c r="AJ59">
        <v>62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39102487</v>
      </c>
      <c r="C60">
        <v>39102471</v>
      </c>
      <c r="D60">
        <v>36797561</v>
      </c>
      <c r="E60">
        <v>17</v>
      </c>
      <c r="F60">
        <v>1</v>
      </c>
      <c r="G60">
        <v>1</v>
      </c>
      <c r="H60">
        <v>3</v>
      </c>
      <c r="I60" t="s">
        <v>125</v>
      </c>
      <c r="J60" t="s">
        <v>3</v>
      </c>
      <c r="K60" t="s">
        <v>126</v>
      </c>
      <c r="L60">
        <v>1348</v>
      </c>
      <c r="N60">
        <v>1009</v>
      </c>
      <c r="O60" t="s">
        <v>60</v>
      </c>
      <c r="P60" t="s">
        <v>60</v>
      </c>
      <c r="Q60">
        <v>1000</v>
      </c>
      <c r="X60">
        <v>6.3E-2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3</v>
      </c>
      <c r="AG60">
        <v>6.3E-2</v>
      </c>
      <c r="AH60">
        <v>2</v>
      </c>
      <c r="AI60">
        <v>39102478</v>
      </c>
      <c r="AJ60">
        <v>63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39102488</v>
      </c>
      <c r="C61">
        <v>39102471</v>
      </c>
      <c r="D61">
        <v>36839212</v>
      </c>
      <c r="E61">
        <v>1</v>
      </c>
      <c r="F61">
        <v>1</v>
      </c>
      <c r="G61">
        <v>1</v>
      </c>
      <c r="H61">
        <v>3</v>
      </c>
      <c r="I61" t="s">
        <v>308</v>
      </c>
      <c r="J61" t="s">
        <v>309</v>
      </c>
      <c r="K61" t="s">
        <v>310</v>
      </c>
      <c r="L61">
        <v>1348</v>
      </c>
      <c r="N61">
        <v>1009</v>
      </c>
      <c r="O61" t="s">
        <v>60</v>
      </c>
      <c r="P61" t="s">
        <v>60</v>
      </c>
      <c r="Q61">
        <v>1000</v>
      </c>
      <c r="X61">
        <v>5.0999999999999997E-2</v>
      </c>
      <c r="Y61">
        <v>4294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5.0999999999999997E-2</v>
      </c>
      <c r="AH61">
        <v>2</v>
      </c>
      <c r="AI61">
        <v>39102479</v>
      </c>
      <c r="AJ61">
        <v>65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ROW(Source!A49)</f>
        <v>49</v>
      </c>
      <c r="B62">
        <v>39102505</v>
      </c>
      <c r="C62">
        <v>39102491</v>
      </c>
      <c r="D62">
        <v>37069580</v>
      </c>
      <c r="E62">
        <v>1</v>
      </c>
      <c r="F62">
        <v>1</v>
      </c>
      <c r="G62">
        <v>1</v>
      </c>
      <c r="H62">
        <v>1</v>
      </c>
      <c r="I62" t="s">
        <v>311</v>
      </c>
      <c r="J62" t="s">
        <v>3</v>
      </c>
      <c r="K62" t="s">
        <v>312</v>
      </c>
      <c r="L62">
        <v>1191</v>
      </c>
      <c r="N62">
        <v>1013</v>
      </c>
      <c r="O62" t="s">
        <v>258</v>
      </c>
      <c r="P62" t="s">
        <v>258</v>
      </c>
      <c r="Q62">
        <v>1</v>
      </c>
      <c r="X62">
        <v>33.78</v>
      </c>
      <c r="Y62">
        <v>0</v>
      </c>
      <c r="Z62">
        <v>0</v>
      </c>
      <c r="AA62">
        <v>0</v>
      </c>
      <c r="AB62">
        <v>8.64</v>
      </c>
      <c r="AC62">
        <v>0</v>
      </c>
      <c r="AD62">
        <v>1</v>
      </c>
      <c r="AE62">
        <v>1</v>
      </c>
      <c r="AF62" t="s">
        <v>3</v>
      </c>
      <c r="AG62">
        <v>33.78</v>
      </c>
      <c r="AH62">
        <v>2</v>
      </c>
      <c r="AI62">
        <v>39102492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ROW(Source!A49)</f>
        <v>49</v>
      </c>
      <c r="B63">
        <v>39102506</v>
      </c>
      <c r="C63">
        <v>39102491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259</v>
      </c>
      <c r="J63" t="s">
        <v>3</v>
      </c>
      <c r="K63" t="s">
        <v>260</v>
      </c>
      <c r="L63">
        <v>1191</v>
      </c>
      <c r="N63">
        <v>1013</v>
      </c>
      <c r="O63" t="s">
        <v>258</v>
      </c>
      <c r="P63" t="s">
        <v>258</v>
      </c>
      <c r="Q63">
        <v>1</v>
      </c>
      <c r="X63">
        <v>0.16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3</v>
      </c>
      <c r="AG63">
        <v>0.16</v>
      </c>
      <c r="AH63">
        <v>2</v>
      </c>
      <c r="AI63">
        <v>39102493</v>
      </c>
      <c r="AJ63">
        <v>67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ROW(Source!A49)</f>
        <v>49</v>
      </c>
      <c r="B64">
        <v>39102507</v>
      </c>
      <c r="C64">
        <v>39102491</v>
      </c>
      <c r="D64">
        <v>36882452</v>
      </c>
      <c r="E64">
        <v>1</v>
      </c>
      <c r="F64">
        <v>1</v>
      </c>
      <c r="G64">
        <v>1</v>
      </c>
      <c r="H64">
        <v>2</v>
      </c>
      <c r="I64" t="s">
        <v>261</v>
      </c>
      <c r="J64" t="s">
        <v>262</v>
      </c>
      <c r="K64" t="s">
        <v>263</v>
      </c>
      <c r="L64">
        <v>1368</v>
      </c>
      <c r="N64">
        <v>1011</v>
      </c>
      <c r="O64" t="s">
        <v>264</v>
      </c>
      <c r="P64" t="s">
        <v>264</v>
      </c>
      <c r="Q64">
        <v>1</v>
      </c>
      <c r="X64">
        <v>0.1</v>
      </c>
      <c r="Y64">
        <v>0</v>
      </c>
      <c r="Z64">
        <v>31.26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0.1</v>
      </c>
      <c r="AH64">
        <v>2</v>
      </c>
      <c r="AI64">
        <v>39102494</v>
      </c>
      <c r="AJ64">
        <v>68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ROW(Source!A49)</f>
        <v>49</v>
      </c>
      <c r="B65">
        <v>39102508</v>
      </c>
      <c r="C65">
        <v>39102491</v>
      </c>
      <c r="D65">
        <v>36883554</v>
      </c>
      <c r="E65">
        <v>1</v>
      </c>
      <c r="F65">
        <v>1</v>
      </c>
      <c r="G65">
        <v>1</v>
      </c>
      <c r="H65">
        <v>2</v>
      </c>
      <c r="I65" t="s">
        <v>270</v>
      </c>
      <c r="J65" t="s">
        <v>271</v>
      </c>
      <c r="K65" t="s">
        <v>272</v>
      </c>
      <c r="L65">
        <v>1368</v>
      </c>
      <c r="N65">
        <v>1011</v>
      </c>
      <c r="O65" t="s">
        <v>264</v>
      </c>
      <c r="P65" t="s">
        <v>264</v>
      </c>
      <c r="Q65">
        <v>1</v>
      </c>
      <c r="X65">
        <v>0.06</v>
      </c>
      <c r="Y65">
        <v>0</v>
      </c>
      <c r="Z65">
        <v>65.709999999999994</v>
      </c>
      <c r="AA65">
        <v>11.6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0.06</v>
      </c>
      <c r="AH65">
        <v>2</v>
      </c>
      <c r="AI65">
        <v>39102495</v>
      </c>
      <c r="AJ65">
        <v>69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ROW(Source!A49)</f>
        <v>49</v>
      </c>
      <c r="B66">
        <v>39102509</v>
      </c>
      <c r="C66">
        <v>39102491</v>
      </c>
      <c r="D66">
        <v>36801792</v>
      </c>
      <c r="E66">
        <v>1</v>
      </c>
      <c r="F66">
        <v>1</v>
      </c>
      <c r="G66">
        <v>1</v>
      </c>
      <c r="H66">
        <v>3</v>
      </c>
      <c r="I66" t="s">
        <v>273</v>
      </c>
      <c r="J66" t="s">
        <v>274</v>
      </c>
      <c r="K66" t="s">
        <v>275</v>
      </c>
      <c r="L66">
        <v>1339</v>
      </c>
      <c r="N66">
        <v>1007</v>
      </c>
      <c r="O66" t="s">
        <v>276</v>
      </c>
      <c r="P66" t="s">
        <v>276</v>
      </c>
      <c r="Q66">
        <v>1</v>
      </c>
      <c r="X66">
        <v>0.24</v>
      </c>
      <c r="Y66">
        <v>2.44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0.24</v>
      </c>
      <c r="AH66">
        <v>2</v>
      </c>
      <c r="AI66">
        <v>39102496</v>
      </c>
      <c r="AJ66">
        <v>70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ROW(Source!A49)</f>
        <v>49</v>
      </c>
      <c r="B67">
        <v>39102510</v>
      </c>
      <c r="C67">
        <v>39102491</v>
      </c>
      <c r="D67">
        <v>36802272</v>
      </c>
      <c r="E67">
        <v>1</v>
      </c>
      <c r="F67">
        <v>1</v>
      </c>
      <c r="G67">
        <v>1</v>
      </c>
      <c r="H67">
        <v>3</v>
      </c>
      <c r="I67" t="s">
        <v>313</v>
      </c>
      <c r="J67" t="s">
        <v>314</v>
      </c>
      <c r="K67" t="s">
        <v>315</v>
      </c>
      <c r="L67">
        <v>1354</v>
      </c>
      <c r="N67">
        <v>1010</v>
      </c>
      <c r="O67" t="s">
        <v>316</v>
      </c>
      <c r="P67" t="s">
        <v>316</v>
      </c>
      <c r="Q67">
        <v>1</v>
      </c>
      <c r="X67">
        <v>5.0999999999999996</v>
      </c>
      <c r="Y67">
        <v>4.5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5.0999999999999996</v>
      </c>
      <c r="AH67">
        <v>2</v>
      </c>
      <c r="AI67">
        <v>39102497</v>
      </c>
      <c r="AJ67">
        <v>71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ROW(Source!A49)</f>
        <v>49</v>
      </c>
      <c r="B68">
        <v>39102511</v>
      </c>
      <c r="C68">
        <v>39102491</v>
      </c>
      <c r="D68">
        <v>36802521</v>
      </c>
      <c r="E68">
        <v>1</v>
      </c>
      <c r="F68">
        <v>1</v>
      </c>
      <c r="G68">
        <v>1</v>
      </c>
      <c r="H68">
        <v>3</v>
      </c>
      <c r="I68" t="s">
        <v>317</v>
      </c>
      <c r="J68" t="s">
        <v>318</v>
      </c>
      <c r="K68" t="s">
        <v>319</v>
      </c>
      <c r="L68">
        <v>1348</v>
      </c>
      <c r="N68">
        <v>1009</v>
      </c>
      <c r="O68" t="s">
        <v>60</v>
      </c>
      <c r="P68" t="s">
        <v>60</v>
      </c>
      <c r="Q68">
        <v>1000</v>
      </c>
      <c r="X68">
        <v>2.5499999999999998E-2</v>
      </c>
      <c r="Y68">
        <v>586.47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2.5499999999999998E-2</v>
      </c>
      <c r="AH68">
        <v>2</v>
      </c>
      <c r="AI68">
        <v>39102498</v>
      </c>
      <c r="AJ68">
        <v>72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ROW(Source!A49)</f>
        <v>49</v>
      </c>
      <c r="B69">
        <v>39102512</v>
      </c>
      <c r="C69">
        <v>39102491</v>
      </c>
      <c r="D69">
        <v>36805188</v>
      </c>
      <c r="E69">
        <v>1</v>
      </c>
      <c r="F69">
        <v>1</v>
      </c>
      <c r="G69">
        <v>1</v>
      </c>
      <c r="H69">
        <v>3</v>
      </c>
      <c r="I69" t="s">
        <v>305</v>
      </c>
      <c r="J69" t="s">
        <v>306</v>
      </c>
      <c r="K69" t="s">
        <v>307</v>
      </c>
      <c r="L69">
        <v>1327</v>
      </c>
      <c r="N69">
        <v>1005</v>
      </c>
      <c r="O69" t="s">
        <v>51</v>
      </c>
      <c r="P69" t="s">
        <v>51</v>
      </c>
      <c r="Q69">
        <v>1</v>
      </c>
      <c r="X69">
        <v>1.6</v>
      </c>
      <c r="Y69">
        <v>72.319999999999993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1.6</v>
      </c>
      <c r="AH69">
        <v>2</v>
      </c>
      <c r="AI69">
        <v>39102499</v>
      </c>
      <c r="AJ69">
        <v>73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ROW(Source!A49)</f>
        <v>49</v>
      </c>
      <c r="B70">
        <v>39102513</v>
      </c>
      <c r="C70">
        <v>39102491</v>
      </c>
      <c r="D70">
        <v>36806413</v>
      </c>
      <c r="E70">
        <v>1</v>
      </c>
      <c r="F70">
        <v>1</v>
      </c>
      <c r="G70">
        <v>1</v>
      </c>
      <c r="H70">
        <v>3</v>
      </c>
      <c r="I70" t="s">
        <v>320</v>
      </c>
      <c r="J70" t="s">
        <v>321</v>
      </c>
      <c r="K70" t="s">
        <v>322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X70">
        <v>4.4000000000000003E-3</v>
      </c>
      <c r="Y70">
        <v>74.58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4.4000000000000003E-3</v>
      </c>
      <c r="AH70">
        <v>2</v>
      </c>
      <c r="AI70">
        <v>39102500</v>
      </c>
      <c r="AJ70">
        <v>74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ROW(Source!A49)</f>
        <v>49</v>
      </c>
      <c r="B71">
        <v>39102514</v>
      </c>
      <c r="C71">
        <v>39102491</v>
      </c>
      <c r="D71">
        <v>36836983</v>
      </c>
      <c r="E71">
        <v>1</v>
      </c>
      <c r="F71">
        <v>1</v>
      </c>
      <c r="G71">
        <v>1</v>
      </c>
      <c r="H71">
        <v>3</v>
      </c>
      <c r="I71" t="s">
        <v>323</v>
      </c>
      <c r="J71" t="s">
        <v>324</v>
      </c>
      <c r="K71" t="s">
        <v>325</v>
      </c>
      <c r="L71">
        <v>1346</v>
      </c>
      <c r="N71">
        <v>1009</v>
      </c>
      <c r="O71" t="s">
        <v>65</v>
      </c>
      <c r="P71" t="s">
        <v>65</v>
      </c>
      <c r="Q71">
        <v>1</v>
      </c>
      <c r="X71">
        <v>4.0199999999999996</v>
      </c>
      <c r="Y71">
        <v>8.09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4.0199999999999996</v>
      </c>
      <c r="AH71">
        <v>2</v>
      </c>
      <c r="AI71">
        <v>39102501</v>
      </c>
      <c r="AJ71">
        <v>75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ROW(Source!A49)</f>
        <v>49</v>
      </c>
      <c r="B72">
        <v>39102515</v>
      </c>
      <c r="C72">
        <v>39102491</v>
      </c>
      <c r="D72">
        <v>36797561</v>
      </c>
      <c r="E72">
        <v>17</v>
      </c>
      <c r="F72">
        <v>1</v>
      </c>
      <c r="G72">
        <v>1</v>
      </c>
      <c r="H72">
        <v>3</v>
      </c>
      <c r="I72" t="s">
        <v>125</v>
      </c>
      <c r="J72" t="s">
        <v>3</v>
      </c>
      <c r="K72" t="s">
        <v>126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X72">
        <v>7.0999999999999994E-2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3</v>
      </c>
      <c r="AG72">
        <v>7.0999999999999994E-2</v>
      </c>
      <c r="AH72">
        <v>2</v>
      </c>
      <c r="AI72">
        <v>39102502</v>
      </c>
      <c r="AJ72">
        <v>76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ROW(Source!A49)</f>
        <v>49</v>
      </c>
      <c r="B73">
        <v>39102516</v>
      </c>
      <c r="C73">
        <v>39102491</v>
      </c>
      <c r="D73">
        <v>36839212</v>
      </c>
      <c r="E73">
        <v>1</v>
      </c>
      <c r="F73">
        <v>1</v>
      </c>
      <c r="G73">
        <v>1</v>
      </c>
      <c r="H73">
        <v>3</v>
      </c>
      <c r="I73" t="s">
        <v>308</v>
      </c>
      <c r="J73" t="s">
        <v>309</v>
      </c>
      <c r="K73" t="s">
        <v>310</v>
      </c>
      <c r="L73">
        <v>1348</v>
      </c>
      <c r="N73">
        <v>1009</v>
      </c>
      <c r="O73" t="s">
        <v>60</v>
      </c>
      <c r="P73" t="s">
        <v>60</v>
      </c>
      <c r="Q73">
        <v>1000</v>
      </c>
      <c r="X73">
        <v>7.5999999999999998E-2</v>
      </c>
      <c r="Y73">
        <v>4294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7.5999999999999998E-2</v>
      </c>
      <c r="AH73">
        <v>2</v>
      </c>
      <c r="AI73">
        <v>39102503</v>
      </c>
      <c r="AJ73">
        <v>78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2018-02-19T09:48:21Z</cp:lastPrinted>
  <dcterms:created xsi:type="dcterms:W3CDTF">2018-02-19T09:46:41Z</dcterms:created>
  <dcterms:modified xsi:type="dcterms:W3CDTF">2018-07-18T13:30:40Z</dcterms:modified>
</cp:coreProperties>
</file>