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80" windowHeight="1170"/>
  </bookViews>
  <sheets>
    <sheet name="Смета 12 гр. по ФЕР" sheetId="5" r:id="rId1"/>
    <sheet name="Акт КС-2 c НР и СП" sheetId="6" r:id="rId2"/>
    <sheet name="Source" sheetId="1" r:id="rId3"/>
    <sheet name="SourceObSm" sheetId="2" r:id="rId4"/>
    <sheet name="SmtRes" sheetId="3" r:id="rId5"/>
    <sheet name="EtalonRes" sheetId="4" r:id="rId6"/>
  </sheets>
  <definedNames>
    <definedName name="_xlnm.Print_Titles" localSheetId="1">'Акт КС-2 c НР и СП'!$35:$35</definedName>
    <definedName name="_xlnm.Print_Titles" localSheetId="0">'Смета 12 гр. по ФЕР'!$26:$26</definedName>
    <definedName name="_xlnm.Print_Area" localSheetId="1">'Акт КС-2 c НР и СП'!$A$1:$H$660</definedName>
    <definedName name="_xlnm.Print_Area" localSheetId="0">'Смета 12 гр. по ФЕР'!$A$1:$L$557</definedName>
  </definedNames>
  <calcPr calcId="145621"/>
</workbook>
</file>

<file path=xl/calcChain.xml><?xml version="1.0" encoding="utf-8"?>
<calcChain xmlns="http://schemas.openxmlformats.org/spreadsheetml/2006/main">
  <c r="G655" i="6" l="1"/>
  <c r="G650" i="6"/>
  <c r="C655" i="6"/>
  <c r="C650" i="6"/>
  <c r="C647" i="6"/>
  <c r="C646" i="6"/>
  <c r="C645" i="6"/>
  <c r="F635" i="6"/>
  <c r="F634" i="6"/>
  <c r="D633" i="6"/>
  <c r="D632" i="6"/>
  <c r="D631" i="6"/>
  <c r="D630" i="6"/>
  <c r="F629" i="6"/>
  <c r="E629" i="6"/>
  <c r="C629" i="6"/>
  <c r="D629" i="6"/>
  <c r="B629" i="6"/>
  <c r="D628" i="6"/>
  <c r="E627" i="6"/>
  <c r="C627" i="6"/>
  <c r="D627" i="6"/>
  <c r="B627" i="6"/>
  <c r="F625" i="6"/>
  <c r="F624" i="6"/>
  <c r="D623" i="6"/>
  <c r="D622" i="6"/>
  <c r="D621" i="6"/>
  <c r="D620" i="6"/>
  <c r="E619" i="6"/>
  <c r="C619" i="6"/>
  <c r="D619" i="6"/>
  <c r="B619" i="6"/>
  <c r="D618" i="6"/>
  <c r="E617" i="6"/>
  <c r="C617" i="6"/>
  <c r="D617" i="6"/>
  <c r="B617" i="6"/>
  <c r="F615" i="6"/>
  <c r="F614" i="6"/>
  <c r="D613" i="6"/>
  <c r="D612" i="6"/>
  <c r="D611" i="6"/>
  <c r="D610" i="6"/>
  <c r="F609" i="6"/>
  <c r="E609" i="6"/>
  <c r="C609" i="6"/>
  <c r="D609" i="6"/>
  <c r="B609" i="6"/>
  <c r="D608" i="6"/>
  <c r="E607" i="6"/>
  <c r="C607" i="6"/>
  <c r="D607" i="6"/>
  <c r="B607" i="6"/>
  <c r="F605" i="6"/>
  <c r="F604" i="6"/>
  <c r="D603" i="6"/>
  <c r="D602" i="6"/>
  <c r="D601" i="6"/>
  <c r="D600" i="6"/>
  <c r="E599" i="6"/>
  <c r="C599" i="6"/>
  <c r="D599" i="6"/>
  <c r="B599" i="6"/>
  <c r="D598" i="6"/>
  <c r="E597" i="6"/>
  <c r="C597" i="6"/>
  <c r="D597" i="6"/>
  <c r="B597" i="6"/>
  <c r="F595" i="6"/>
  <c r="F594" i="6"/>
  <c r="D593" i="6"/>
  <c r="D592" i="6"/>
  <c r="D591" i="6"/>
  <c r="D590" i="6"/>
  <c r="F589" i="6"/>
  <c r="E589" i="6"/>
  <c r="C589" i="6"/>
  <c r="D589" i="6"/>
  <c r="B589" i="6"/>
  <c r="F587" i="6"/>
  <c r="F586" i="6"/>
  <c r="D585" i="6"/>
  <c r="D584" i="6"/>
  <c r="D583" i="6"/>
  <c r="D582" i="6"/>
  <c r="F581" i="6"/>
  <c r="E581" i="6"/>
  <c r="C581" i="6"/>
  <c r="D581" i="6"/>
  <c r="B581" i="6"/>
  <c r="A580" i="6"/>
  <c r="C578" i="6"/>
  <c r="C577" i="6"/>
  <c r="C576" i="6"/>
  <c r="F570" i="6"/>
  <c r="F569" i="6"/>
  <c r="D568" i="6"/>
  <c r="F567" i="6"/>
  <c r="E567" i="6"/>
  <c r="C567" i="6"/>
  <c r="D567" i="6"/>
  <c r="B567" i="6"/>
  <c r="F565" i="6"/>
  <c r="F564" i="6"/>
  <c r="D563" i="6"/>
  <c r="F562" i="6"/>
  <c r="E562" i="6"/>
  <c r="C562" i="6"/>
  <c r="D562" i="6"/>
  <c r="B562" i="6"/>
  <c r="F560" i="6"/>
  <c r="F559" i="6"/>
  <c r="D558" i="6"/>
  <c r="F557" i="6"/>
  <c r="E557" i="6"/>
  <c r="C557" i="6"/>
  <c r="D557" i="6"/>
  <c r="B557" i="6"/>
  <c r="F555" i="6"/>
  <c r="F554" i="6"/>
  <c r="D553" i="6"/>
  <c r="F552" i="6"/>
  <c r="E552" i="6"/>
  <c r="C552" i="6"/>
  <c r="D552" i="6"/>
  <c r="B552" i="6"/>
  <c r="D551" i="6"/>
  <c r="E550" i="6"/>
  <c r="C550" i="6"/>
  <c r="D550" i="6"/>
  <c r="B550" i="6"/>
  <c r="F548" i="6"/>
  <c r="F547" i="6"/>
  <c r="D546" i="6"/>
  <c r="D545" i="6"/>
  <c r="D544" i="6"/>
  <c r="D543" i="6"/>
  <c r="E542" i="6"/>
  <c r="C542" i="6"/>
  <c r="D542" i="6"/>
  <c r="B542" i="6"/>
  <c r="D541" i="6"/>
  <c r="E540" i="6"/>
  <c r="C540" i="6"/>
  <c r="D540" i="6"/>
  <c r="B540" i="6"/>
  <c r="D539" i="6"/>
  <c r="E538" i="6"/>
  <c r="C538" i="6"/>
  <c r="D538" i="6"/>
  <c r="B538" i="6"/>
  <c r="D537" i="6"/>
  <c r="E536" i="6"/>
  <c r="C536" i="6"/>
  <c r="D536" i="6"/>
  <c r="B536" i="6"/>
  <c r="D535" i="6"/>
  <c r="E534" i="6"/>
  <c r="C534" i="6"/>
  <c r="D534" i="6"/>
  <c r="B534" i="6"/>
  <c r="D533" i="6"/>
  <c r="E532" i="6"/>
  <c r="C532" i="6"/>
  <c r="D532" i="6"/>
  <c r="B532" i="6"/>
  <c r="F530" i="6"/>
  <c r="F529" i="6"/>
  <c r="D528" i="6"/>
  <c r="D527" i="6"/>
  <c r="D526" i="6"/>
  <c r="D525" i="6"/>
  <c r="F524" i="6"/>
  <c r="E524" i="6"/>
  <c r="C524" i="6"/>
  <c r="D524" i="6"/>
  <c r="B524" i="6"/>
  <c r="D523" i="6"/>
  <c r="E522" i="6"/>
  <c r="C522" i="6"/>
  <c r="D522" i="6"/>
  <c r="B522" i="6"/>
  <c r="F520" i="6"/>
  <c r="F519" i="6"/>
  <c r="D518" i="6"/>
  <c r="D517" i="6"/>
  <c r="D516" i="6"/>
  <c r="D515" i="6"/>
  <c r="F514" i="6"/>
  <c r="E514" i="6"/>
  <c r="C514" i="6"/>
  <c r="D514" i="6"/>
  <c r="B514" i="6"/>
  <c r="D513" i="6"/>
  <c r="E512" i="6"/>
  <c r="C512" i="6"/>
  <c r="D512" i="6"/>
  <c r="B512" i="6"/>
  <c r="D511" i="6"/>
  <c r="E510" i="6"/>
  <c r="C510" i="6"/>
  <c r="D510" i="6"/>
  <c r="B510" i="6"/>
  <c r="F508" i="6"/>
  <c r="F507" i="6"/>
  <c r="D506" i="6"/>
  <c r="D505" i="6"/>
  <c r="D504" i="6"/>
  <c r="D503" i="6"/>
  <c r="E502" i="6"/>
  <c r="C502" i="6"/>
  <c r="D502" i="6"/>
  <c r="B502" i="6"/>
  <c r="D501" i="6"/>
  <c r="E500" i="6"/>
  <c r="C500" i="6"/>
  <c r="D500" i="6"/>
  <c r="B500" i="6"/>
  <c r="F498" i="6"/>
  <c r="F497" i="6"/>
  <c r="D496" i="6"/>
  <c r="D495" i="6"/>
  <c r="D494" i="6"/>
  <c r="D493" i="6"/>
  <c r="E492" i="6"/>
  <c r="C492" i="6"/>
  <c r="D492" i="6"/>
  <c r="B492" i="6"/>
  <c r="D491" i="6"/>
  <c r="E490" i="6"/>
  <c r="C490" i="6"/>
  <c r="D490" i="6"/>
  <c r="B490" i="6"/>
  <c r="F488" i="6"/>
  <c r="F487" i="6"/>
  <c r="D486" i="6"/>
  <c r="D485" i="6"/>
  <c r="D484" i="6"/>
  <c r="D483" i="6"/>
  <c r="F482" i="6"/>
  <c r="E482" i="6"/>
  <c r="C482" i="6"/>
  <c r="D482" i="6"/>
  <c r="B482" i="6"/>
  <c r="D481" i="6"/>
  <c r="E480" i="6"/>
  <c r="C480" i="6"/>
  <c r="D480" i="6"/>
  <c r="B480" i="6"/>
  <c r="F478" i="6"/>
  <c r="F477" i="6"/>
  <c r="D476" i="6"/>
  <c r="D475" i="6"/>
  <c r="D474" i="6"/>
  <c r="D473" i="6"/>
  <c r="F472" i="6"/>
  <c r="E472" i="6"/>
  <c r="C472" i="6"/>
  <c r="D472" i="6"/>
  <c r="B472" i="6"/>
  <c r="D471" i="6"/>
  <c r="E470" i="6"/>
  <c r="C470" i="6"/>
  <c r="D470" i="6"/>
  <c r="B470" i="6"/>
  <c r="F468" i="6"/>
  <c r="F467" i="6"/>
  <c r="D466" i="6"/>
  <c r="D465" i="6"/>
  <c r="D464" i="6"/>
  <c r="D463" i="6"/>
  <c r="F462" i="6"/>
  <c r="E462" i="6"/>
  <c r="C462" i="6"/>
  <c r="D462" i="6"/>
  <c r="B462" i="6"/>
  <c r="D461" i="6"/>
  <c r="E460" i="6"/>
  <c r="C460" i="6"/>
  <c r="D460" i="6"/>
  <c r="B460" i="6"/>
  <c r="F458" i="6"/>
  <c r="F457" i="6"/>
  <c r="D456" i="6"/>
  <c r="D455" i="6"/>
  <c r="D454" i="6"/>
  <c r="D453" i="6"/>
  <c r="E452" i="6"/>
  <c r="C452" i="6"/>
  <c r="D452" i="6"/>
  <c r="B452" i="6"/>
  <c r="D451" i="6"/>
  <c r="E450" i="6"/>
  <c r="C450" i="6"/>
  <c r="D450" i="6"/>
  <c r="B450" i="6"/>
  <c r="F448" i="6"/>
  <c r="F447" i="6"/>
  <c r="D446" i="6"/>
  <c r="D445" i="6"/>
  <c r="D444" i="6"/>
  <c r="D443" i="6"/>
  <c r="F442" i="6"/>
  <c r="E442" i="6"/>
  <c r="C442" i="6"/>
  <c r="D442" i="6"/>
  <c r="B442" i="6"/>
  <c r="D441" i="6"/>
  <c r="E440" i="6"/>
  <c r="C440" i="6"/>
  <c r="D440" i="6"/>
  <c r="B440" i="6"/>
  <c r="F438" i="6"/>
  <c r="F437" i="6"/>
  <c r="D436" i="6"/>
  <c r="D435" i="6"/>
  <c r="D434" i="6"/>
  <c r="D433" i="6"/>
  <c r="E432" i="6"/>
  <c r="C432" i="6"/>
  <c r="D432" i="6"/>
  <c r="B432" i="6"/>
  <c r="F430" i="6"/>
  <c r="F429" i="6"/>
  <c r="D428" i="6"/>
  <c r="D427" i="6"/>
  <c r="D426" i="6"/>
  <c r="D425" i="6"/>
  <c r="F424" i="6"/>
  <c r="E424" i="6"/>
  <c r="C424" i="6"/>
  <c r="D424" i="6"/>
  <c r="B424" i="6"/>
  <c r="F422" i="6"/>
  <c r="F421" i="6"/>
  <c r="D420" i="6"/>
  <c r="D419" i="6"/>
  <c r="D418" i="6"/>
  <c r="D417" i="6"/>
  <c r="F416" i="6"/>
  <c r="E416" i="6"/>
  <c r="C416" i="6"/>
  <c r="D416" i="6"/>
  <c r="B416" i="6"/>
  <c r="F414" i="6"/>
  <c r="F413" i="6"/>
  <c r="D412" i="6"/>
  <c r="D411" i="6"/>
  <c r="D410" i="6"/>
  <c r="D409" i="6"/>
  <c r="F408" i="6"/>
  <c r="E408" i="6"/>
  <c r="C408" i="6"/>
  <c r="D408" i="6"/>
  <c r="B408" i="6"/>
  <c r="F406" i="6"/>
  <c r="F405" i="6"/>
  <c r="D404" i="6"/>
  <c r="D403" i="6"/>
  <c r="D402" i="6"/>
  <c r="D401" i="6"/>
  <c r="F400" i="6"/>
  <c r="E400" i="6"/>
  <c r="C400" i="6"/>
  <c r="D400" i="6"/>
  <c r="B400" i="6"/>
  <c r="F398" i="6"/>
  <c r="F397" i="6"/>
  <c r="D396" i="6"/>
  <c r="D395" i="6"/>
  <c r="D394" i="6"/>
  <c r="D393" i="6"/>
  <c r="E392" i="6"/>
  <c r="C392" i="6"/>
  <c r="D392" i="6"/>
  <c r="B392" i="6"/>
  <c r="F390" i="6"/>
  <c r="F389" i="6"/>
  <c r="D388" i="6"/>
  <c r="D387" i="6"/>
  <c r="D386" i="6"/>
  <c r="D385" i="6"/>
  <c r="E384" i="6"/>
  <c r="C384" i="6"/>
  <c r="D384" i="6"/>
  <c r="B384" i="6"/>
  <c r="F382" i="6"/>
  <c r="F381" i="6"/>
  <c r="D380" i="6"/>
  <c r="D379" i="6"/>
  <c r="D378" i="6"/>
  <c r="D377" i="6"/>
  <c r="F376" i="6"/>
  <c r="E376" i="6"/>
  <c r="C376" i="6"/>
  <c r="D376" i="6"/>
  <c r="B376" i="6"/>
  <c r="A375" i="6"/>
  <c r="F368" i="6"/>
  <c r="F367" i="6"/>
  <c r="D366" i="6"/>
  <c r="D365" i="6"/>
  <c r="D364" i="6"/>
  <c r="D363" i="6"/>
  <c r="E362" i="6"/>
  <c r="C362" i="6"/>
  <c r="D362" i="6"/>
  <c r="B362" i="6"/>
  <c r="D361" i="6"/>
  <c r="E360" i="6"/>
  <c r="C360" i="6"/>
  <c r="D360" i="6"/>
  <c r="B360" i="6"/>
  <c r="H358" i="6"/>
  <c r="G358" i="6"/>
  <c r="F357" i="6"/>
  <c r="H356" i="6"/>
  <c r="G356" i="6"/>
  <c r="F355" i="6"/>
  <c r="D354" i="6"/>
  <c r="D353" i="6"/>
  <c r="D352" i="6"/>
  <c r="D351" i="6"/>
  <c r="F350" i="6"/>
  <c r="E350" i="6"/>
  <c r="C350" i="6"/>
  <c r="D350" i="6"/>
  <c r="B350" i="6"/>
  <c r="D349" i="6"/>
  <c r="E348" i="6"/>
  <c r="C348" i="6"/>
  <c r="D348" i="6"/>
  <c r="B348" i="6"/>
  <c r="D347" i="6"/>
  <c r="E346" i="6"/>
  <c r="C346" i="6"/>
  <c r="D346" i="6"/>
  <c r="B346" i="6"/>
  <c r="H344" i="6"/>
  <c r="G344" i="6"/>
  <c r="F343" i="6"/>
  <c r="H342" i="6"/>
  <c r="G342" i="6"/>
  <c r="F341" i="6"/>
  <c r="D340" i="6"/>
  <c r="D339" i="6"/>
  <c r="D338" i="6"/>
  <c r="D337" i="6"/>
  <c r="F336" i="6"/>
  <c r="E336" i="6"/>
  <c r="C336" i="6"/>
  <c r="D336" i="6"/>
  <c r="B336" i="6"/>
  <c r="D335" i="6"/>
  <c r="E334" i="6"/>
  <c r="C334" i="6"/>
  <c r="D334" i="6"/>
  <c r="B334" i="6"/>
  <c r="D333" i="6"/>
  <c r="E332" i="6"/>
  <c r="C332" i="6"/>
  <c r="D332" i="6"/>
  <c r="B332" i="6"/>
  <c r="H330" i="6"/>
  <c r="G330" i="6"/>
  <c r="F329" i="6"/>
  <c r="H328" i="6"/>
  <c r="G328" i="6"/>
  <c r="F327" i="6"/>
  <c r="D326" i="6"/>
  <c r="D325" i="6"/>
  <c r="D324" i="6"/>
  <c r="D323" i="6"/>
  <c r="F322" i="6"/>
  <c r="E322" i="6"/>
  <c r="C322" i="6"/>
  <c r="D322" i="6"/>
  <c r="B322" i="6"/>
  <c r="F320" i="6"/>
  <c r="F319" i="6"/>
  <c r="D318" i="6"/>
  <c r="D317" i="6"/>
  <c r="D316" i="6"/>
  <c r="D315" i="6"/>
  <c r="F314" i="6"/>
  <c r="E314" i="6"/>
  <c r="C314" i="6"/>
  <c r="D314" i="6"/>
  <c r="B314" i="6"/>
  <c r="A313" i="6"/>
  <c r="D307" i="6"/>
  <c r="F306" i="6"/>
  <c r="E306" i="6"/>
  <c r="C306" i="6"/>
  <c r="D306" i="6"/>
  <c r="B306" i="6"/>
  <c r="D305" i="6"/>
  <c r="F304" i="6"/>
  <c r="E304" i="6"/>
  <c r="C304" i="6"/>
  <c r="D304" i="6"/>
  <c r="B304" i="6"/>
  <c r="F302" i="6"/>
  <c r="F301" i="6"/>
  <c r="D300" i="6"/>
  <c r="D299" i="6"/>
  <c r="D298" i="6"/>
  <c r="D297" i="6"/>
  <c r="F296" i="6"/>
  <c r="E296" i="6"/>
  <c r="C296" i="6"/>
  <c r="D296" i="6"/>
  <c r="B296" i="6"/>
  <c r="D295" i="6"/>
  <c r="E294" i="6"/>
  <c r="C294" i="6"/>
  <c r="D294" i="6"/>
  <c r="B294" i="6"/>
  <c r="F292" i="6"/>
  <c r="F291" i="6"/>
  <c r="D290" i="6"/>
  <c r="D289" i="6"/>
  <c r="D288" i="6"/>
  <c r="D287" i="6"/>
  <c r="F286" i="6"/>
  <c r="E286" i="6"/>
  <c r="C286" i="6"/>
  <c r="D286" i="6"/>
  <c r="B286" i="6"/>
  <c r="D285" i="6"/>
  <c r="E284" i="6"/>
  <c r="C284" i="6"/>
  <c r="D284" i="6"/>
  <c r="B284" i="6"/>
  <c r="H282" i="6"/>
  <c r="G282" i="6"/>
  <c r="F281" i="6"/>
  <c r="H280" i="6"/>
  <c r="G280" i="6"/>
  <c r="F279" i="6"/>
  <c r="D278" i="6"/>
  <c r="D277" i="6"/>
  <c r="D276" i="6"/>
  <c r="D275" i="6"/>
  <c r="E274" i="6"/>
  <c r="C274" i="6"/>
  <c r="D274" i="6"/>
  <c r="B274" i="6"/>
  <c r="H272" i="6"/>
  <c r="G272" i="6"/>
  <c r="F271" i="6"/>
  <c r="H270" i="6"/>
  <c r="G270" i="6"/>
  <c r="F269" i="6"/>
  <c r="D268" i="6"/>
  <c r="D267" i="6"/>
  <c r="D266" i="6"/>
  <c r="D265" i="6"/>
  <c r="E264" i="6"/>
  <c r="C264" i="6"/>
  <c r="D264" i="6"/>
  <c r="B264" i="6"/>
  <c r="H262" i="6"/>
  <c r="G262" i="6"/>
  <c r="F261" i="6"/>
  <c r="H260" i="6"/>
  <c r="G260" i="6"/>
  <c r="F259" i="6"/>
  <c r="D258" i="6"/>
  <c r="D257" i="6"/>
  <c r="D256" i="6"/>
  <c r="D255" i="6"/>
  <c r="E254" i="6"/>
  <c r="C254" i="6"/>
  <c r="D254" i="6"/>
  <c r="B254" i="6"/>
  <c r="H252" i="6"/>
  <c r="G252" i="6"/>
  <c r="F251" i="6"/>
  <c r="H250" i="6"/>
  <c r="G250" i="6"/>
  <c r="F249" i="6"/>
  <c r="D248" i="6"/>
  <c r="D247" i="6"/>
  <c r="D246" i="6"/>
  <c r="D245" i="6"/>
  <c r="E244" i="6"/>
  <c r="C244" i="6"/>
  <c r="D244" i="6"/>
  <c r="B244" i="6"/>
  <c r="D243" i="6"/>
  <c r="E242" i="6"/>
  <c r="C242" i="6"/>
  <c r="D242" i="6"/>
  <c r="B242" i="6"/>
  <c r="D241" i="6"/>
  <c r="E240" i="6"/>
  <c r="C240" i="6"/>
  <c r="D240" i="6"/>
  <c r="B240" i="6"/>
  <c r="H238" i="6"/>
  <c r="G238" i="6"/>
  <c r="F237" i="6"/>
  <c r="H236" i="6"/>
  <c r="G236" i="6"/>
  <c r="F235" i="6"/>
  <c r="D234" i="6"/>
  <c r="D233" i="6"/>
  <c r="D232" i="6"/>
  <c r="D231" i="6"/>
  <c r="F230" i="6"/>
  <c r="E230" i="6"/>
  <c r="C230" i="6"/>
  <c r="D230" i="6"/>
  <c r="B230" i="6"/>
  <c r="D229" i="6"/>
  <c r="E228" i="6"/>
  <c r="C228" i="6"/>
  <c r="D228" i="6"/>
  <c r="B228" i="6"/>
  <c r="D227" i="6"/>
  <c r="E226" i="6"/>
  <c r="C226" i="6"/>
  <c r="D226" i="6"/>
  <c r="B226" i="6"/>
  <c r="H224" i="6"/>
  <c r="G224" i="6"/>
  <c r="F223" i="6"/>
  <c r="H222" i="6"/>
  <c r="G222" i="6"/>
  <c r="F221" i="6"/>
  <c r="D220" i="6"/>
  <c r="D219" i="6"/>
  <c r="D218" i="6"/>
  <c r="D217" i="6"/>
  <c r="F216" i="6"/>
  <c r="E216" i="6"/>
  <c r="C216" i="6"/>
  <c r="D216" i="6"/>
  <c r="B216" i="6"/>
  <c r="D215" i="6"/>
  <c r="E214" i="6"/>
  <c r="C214" i="6"/>
  <c r="D214" i="6"/>
  <c r="B214" i="6"/>
  <c r="D213" i="6"/>
  <c r="E212" i="6"/>
  <c r="C212" i="6"/>
  <c r="D212" i="6"/>
  <c r="B212" i="6"/>
  <c r="F210" i="6"/>
  <c r="F209" i="6"/>
  <c r="D208" i="6"/>
  <c r="D207" i="6"/>
  <c r="D206" i="6"/>
  <c r="D205" i="6"/>
  <c r="F204" i="6"/>
  <c r="E204" i="6"/>
  <c r="C204" i="6"/>
  <c r="D204" i="6"/>
  <c r="B204" i="6"/>
  <c r="H202" i="6"/>
  <c r="G202" i="6"/>
  <c r="F201" i="6"/>
  <c r="H200" i="6"/>
  <c r="G200" i="6"/>
  <c r="F199" i="6"/>
  <c r="D198" i="6"/>
  <c r="D197" i="6"/>
  <c r="D196" i="6"/>
  <c r="D195" i="6"/>
  <c r="F194" i="6"/>
  <c r="E194" i="6"/>
  <c r="C194" i="6"/>
  <c r="D194" i="6"/>
  <c r="B194" i="6"/>
  <c r="H192" i="6"/>
  <c r="G192" i="6"/>
  <c r="F191" i="6"/>
  <c r="H190" i="6"/>
  <c r="G190" i="6"/>
  <c r="F189" i="6"/>
  <c r="D188" i="6"/>
  <c r="D187" i="6"/>
  <c r="D186" i="6"/>
  <c r="D185" i="6"/>
  <c r="F184" i="6"/>
  <c r="E184" i="6"/>
  <c r="C184" i="6"/>
  <c r="D184" i="6"/>
  <c r="B184" i="6"/>
  <c r="D183" i="6"/>
  <c r="E182" i="6"/>
  <c r="C182" i="6"/>
  <c r="D182" i="6"/>
  <c r="B182" i="6"/>
  <c r="D181" i="6"/>
  <c r="E180" i="6"/>
  <c r="C180" i="6"/>
  <c r="D180" i="6"/>
  <c r="B180" i="6"/>
  <c r="D179" i="6"/>
  <c r="E178" i="6"/>
  <c r="C178" i="6"/>
  <c r="D178" i="6"/>
  <c r="B178" i="6"/>
  <c r="H176" i="6"/>
  <c r="G176" i="6"/>
  <c r="F175" i="6"/>
  <c r="H174" i="6"/>
  <c r="G174" i="6"/>
  <c r="F173" i="6"/>
  <c r="D172" i="6"/>
  <c r="D171" i="6"/>
  <c r="D170" i="6"/>
  <c r="D169" i="6"/>
  <c r="E168" i="6"/>
  <c r="C168" i="6"/>
  <c r="D168" i="6"/>
  <c r="B168" i="6"/>
  <c r="D167" i="6"/>
  <c r="E166" i="6"/>
  <c r="C166" i="6"/>
  <c r="D166" i="6"/>
  <c r="B166" i="6"/>
  <c r="D165" i="6"/>
  <c r="E164" i="6"/>
  <c r="C164" i="6"/>
  <c r="D164" i="6"/>
  <c r="B164" i="6"/>
  <c r="D163" i="6"/>
  <c r="E162" i="6"/>
  <c r="C162" i="6"/>
  <c r="D162" i="6"/>
  <c r="B162" i="6"/>
  <c r="D161" i="6"/>
  <c r="E160" i="6"/>
  <c r="C160" i="6"/>
  <c r="D160" i="6"/>
  <c r="B160" i="6"/>
  <c r="D159" i="6"/>
  <c r="E158" i="6"/>
  <c r="C158" i="6"/>
  <c r="D158" i="6"/>
  <c r="B158" i="6"/>
  <c r="D157" i="6"/>
  <c r="E156" i="6"/>
  <c r="C156" i="6"/>
  <c r="D156" i="6"/>
  <c r="B156" i="6"/>
  <c r="D155" i="6"/>
  <c r="E154" i="6"/>
  <c r="C154" i="6"/>
  <c r="D154" i="6"/>
  <c r="B154" i="6"/>
  <c r="D153" i="6"/>
  <c r="E152" i="6"/>
  <c r="C152" i="6"/>
  <c r="D152" i="6"/>
  <c r="B152" i="6"/>
  <c r="D151" i="6"/>
  <c r="E150" i="6"/>
  <c r="C150" i="6"/>
  <c r="D150" i="6"/>
  <c r="B150" i="6"/>
  <c r="D149" i="6"/>
  <c r="E148" i="6"/>
  <c r="C148" i="6"/>
  <c r="D148" i="6"/>
  <c r="B148" i="6"/>
  <c r="D147" i="6"/>
  <c r="E146" i="6"/>
  <c r="C146" i="6"/>
  <c r="D146" i="6"/>
  <c r="B146" i="6"/>
  <c r="D145" i="6"/>
  <c r="E144" i="6"/>
  <c r="C144" i="6"/>
  <c r="D144" i="6"/>
  <c r="B144" i="6"/>
  <c r="H142" i="6"/>
  <c r="G142" i="6"/>
  <c r="F141" i="6"/>
  <c r="H140" i="6"/>
  <c r="G140" i="6"/>
  <c r="F139" i="6"/>
  <c r="D138" i="6"/>
  <c r="D137" i="6"/>
  <c r="D136" i="6"/>
  <c r="D135" i="6"/>
  <c r="F134" i="6"/>
  <c r="E134" i="6"/>
  <c r="C134" i="6"/>
  <c r="D134" i="6"/>
  <c r="B134" i="6"/>
  <c r="D133" i="6"/>
  <c r="E132" i="6"/>
  <c r="C132" i="6"/>
  <c r="D132" i="6"/>
  <c r="B132" i="6"/>
  <c r="D131" i="6"/>
  <c r="E130" i="6"/>
  <c r="C130" i="6"/>
  <c r="D130" i="6"/>
  <c r="B130" i="6"/>
  <c r="D129" i="6"/>
  <c r="E128" i="6"/>
  <c r="C128" i="6"/>
  <c r="D128" i="6"/>
  <c r="B128" i="6"/>
  <c r="D127" i="6"/>
  <c r="E126" i="6"/>
  <c r="C126" i="6"/>
  <c r="D126" i="6"/>
  <c r="B126" i="6"/>
  <c r="H124" i="6"/>
  <c r="G124" i="6"/>
  <c r="F123" i="6"/>
  <c r="H122" i="6"/>
  <c r="G122" i="6"/>
  <c r="F121" i="6"/>
  <c r="D120" i="6"/>
  <c r="D119" i="6"/>
  <c r="D118" i="6"/>
  <c r="D117" i="6"/>
  <c r="F116" i="6"/>
  <c r="E116" i="6"/>
  <c r="C116" i="6"/>
  <c r="D116" i="6"/>
  <c r="B116" i="6"/>
  <c r="H114" i="6"/>
  <c r="G114" i="6"/>
  <c r="F113" i="6"/>
  <c r="H112" i="6"/>
  <c r="G112" i="6"/>
  <c r="F111" i="6"/>
  <c r="D110" i="6"/>
  <c r="D109" i="6"/>
  <c r="D108" i="6"/>
  <c r="D107" i="6"/>
  <c r="F106" i="6"/>
  <c r="E106" i="6"/>
  <c r="C106" i="6"/>
  <c r="D106" i="6"/>
  <c r="B106" i="6"/>
  <c r="H104" i="6"/>
  <c r="G104" i="6"/>
  <c r="F103" i="6"/>
  <c r="H102" i="6"/>
  <c r="G102" i="6"/>
  <c r="F101" i="6"/>
  <c r="D100" i="6"/>
  <c r="D99" i="6"/>
  <c r="D98" i="6"/>
  <c r="D97" i="6"/>
  <c r="F96" i="6"/>
  <c r="E96" i="6"/>
  <c r="C96" i="6"/>
  <c r="D96" i="6"/>
  <c r="B96" i="6"/>
  <c r="H94" i="6"/>
  <c r="G94" i="6"/>
  <c r="F93" i="6"/>
  <c r="H92" i="6"/>
  <c r="G92" i="6"/>
  <c r="F91" i="6"/>
  <c r="D90" i="6"/>
  <c r="D89" i="6"/>
  <c r="D88" i="6"/>
  <c r="D87" i="6"/>
  <c r="F86" i="6"/>
  <c r="E86" i="6"/>
  <c r="C86" i="6"/>
  <c r="D86" i="6"/>
  <c r="B86" i="6"/>
  <c r="D85" i="6"/>
  <c r="E84" i="6"/>
  <c r="C84" i="6"/>
  <c r="D84" i="6"/>
  <c r="B84" i="6"/>
  <c r="D83" i="6"/>
  <c r="E82" i="6"/>
  <c r="C82" i="6"/>
  <c r="D82" i="6"/>
  <c r="B82" i="6"/>
  <c r="F80" i="6"/>
  <c r="F79" i="6"/>
  <c r="D78" i="6"/>
  <c r="D77" i="6"/>
  <c r="D76" i="6"/>
  <c r="D75" i="6"/>
  <c r="F74" i="6"/>
  <c r="E74" i="6"/>
  <c r="C74" i="6"/>
  <c r="D74" i="6"/>
  <c r="B74" i="6"/>
  <c r="H72" i="6"/>
  <c r="G72" i="6"/>
  <c r="F71" i="6"/>
  <c r="H70" i="6"/>
  <c r="G70" i="6"/>
  <c r="F69" i="6"/>
  <c r="D68" i="6"/>
  <c r="D67" i="6"/>
  <c r="D66" i="6"/>
  <c r="D65" i="6"/>
  <c r="F64" i="6"/>
  <c r="E64" i="6"/>
  <c r="C64" i="6"/>
  <c r="D64" i="6"/>
  <c r="B64" i="6"/>
  <c r="D63" i="6"/>
  <c r="E62" i="6"/>
  <c r="C62" i="6"/>
  <c r="D62" i="6"/>
  <c r="B62" i="6"/>
  <c r="F60" i="6"/>
  <c r="F59" i="6"/>
  <c r="D58" i="6"/>
  <c r="D57" i="6"/>
  <c r="D56" i="6"/>
  <c r="D55" i="6"/>
  <c r="F54" i="6"/>
  <c r="E54" i="6"/>
  <c r="C54" i="6"/>
  <c r="D54" i="6"/>
  <c r="B54" i="6"/>
  <c r="F52" i="6"/>
  <c r="F51" i="6"/>
  <c r="D50" i="6"/>
  <c r="D49" i="6"/>
  <c r="D48" i="6"/>
  <c r="D47" i="6"/>
  <c r="F46" i="6"/>
  <c r="E46" i="6"/>
  <c r="C46" i="6"/>
  <c r="D46" i="6"/>
  <c r="B46" i="6"/>
  <c r="F44" i="6"/>
  <c r="F43" i="6"/>
  <c r="D42" i="6"/>
  <c r="D41" i="6"/>
  <c r="D40" i="6"/>
  <c r="D39" i="6"/>
  <c r="F38" i="6"/>
  <c r="E38" i="6"/>
  <c r="C38" i="6"/>
  <c r="D38" i="6"/>
  <c r="B38" i="6"/>
  <c r="A37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AD10" i="5"/>
  <c r="C555" i="5"/>
  <c r="C554" i="5"/>
  <c r="C553" i="5"/>
  <c r="Z550" i="5"/>
  <c r="Y550" i="5"/>
  <c r="W550" i="5"/>
  <c r="G549" i="5"/>
  <c r="E549" i="5"/>
  <c r="J548" i="5"/>
  <c r="E548" i="5"/>
  <c r="J547" i="5"/>
  <c r="E547" i="5"/>
  <c r="J546" i="5"/>
  <c r="G546" i="5"/>
  <c r="F546" i="5"/>
  <c r="J545" i="5"/>
  <c r="G545" i="5"/>
  <c r="F545" i="5"/>
  <c r="F544" i="5"/>
  <c r="E544" i="5"/>
  <c r="D544" i="5"/>
  <c r="I544" i="5"/>
  <c r="C544" i="5"/>
  <c r="B544" i="5"/>
  <c r="A544" i="5"/>
  <c r="Z543" i="5"/>
  <c r="Y543" i="5"/>
  <c r="W543" i="5"/>
  <c r="J542" i="5"/>
  <c r="Z542" i="5"/>
  <c r="Y542" i="5"/>
  <c r="W542" i="5"/>
  <c r="F542" i="5"/>
  <c r="D542" i="5"/>
  <c r="C542" i="5"/>
  <c r="B542" i="5"/>
  <c r="A542" i="5"/>
  <c r="G541" i="5"/>
  <c r="E541" i="5"/>
  <c r="J540" i="5"/>
  <c r="E540" i="5"/>
  <c r="J539" i="5"/>
  <c r="E539" i="5"/>
  <c r="J538" i="5"/>
  <c r="G538" i="5"/>
  <c r="F538" i="5"/>
  <c r="J537" i="5"/>
  <c r="G537" i="5"/>
  <c r="F537" i="5"/>
  <c r="J536" i="5"/>
  <c r="G536" i="5"/>
  <c r="F536" i="5"/>
  <c r="J535" i="5"/>
  <c r="G535" i="5"/>
  <c r="F535" i="5"/>
  <c r="F533" i="5"/>
  <c r="D533" i="5"/>
  <c r="I533" i="5"/>
  <c r="C533" i="5"/>
  <c r="B533" i="5"/>
  <c r="A533" i="5"/>
  <c r="Z532" i="5"/>
  <c r="Y532" i="5"/>
  <c r="W532" i="5"/>
  <c r="J531" i="5"/>
  <c r="Z531" i="5"/>
  <c r="Y531" i="5"/>
  <c r="W531" i="5"/>
  <c r="F531" i="5"/>
  <c r="D531" i="5"/>
  <c r="C531" i="5"/>
  <c r="B531" i="5"/>
  <c r="A531" i="5"/>
  <c r="G530" i="5"/>
  <c r="E530" i="5"/>
  <c r="J529" i="5"/>
  <c r="E529" i="5"/>
  <c r="J528" i="5"/>
  <c r="E528" i="5"/>
  <c r="J527" i="5"/>
  <c r="G527" i="5"/>
  <c r="F527" i="5"/>
  <c r="J526" i="5"/>
  <c r="G526" i="5"/>
  <c r="F526" i="5"/>
  <c r="F525" i="5"/>
  <c r="E525" i="5"/>
  <c r="D525" i="5"/>
  <c r="I525" i="5"/>
  <c r="C525" i="5"/>
  <c r="B525" i="5"/>
  <c r="A525" i="5"/>
  <c r="Z524" i="5"/>
  <c r="Y524" i="5"/>
  <c r="W524" i="5"/>
  <c r="J523" i="5"/>
  <c r="Z523" i="5"/>
  <c r="Y523" i="5"/>
  <c r="W523" i="5"/>
  <c r="F523" i="5"/>
  <c r="D523" i="5"/>
  <c r="C523" i="5"/>
  <c r="B523" i="5"/>
  <c r="A523" i="5"/>
  <c r="G522" i="5"/>
  <c r="E522" i="5"/>
  <c r="J521" i="5"/>
  <c r="E521" i="5"/>
  <c r="J520" i="5"/>
  <c r="E520" i="5"/>
  <c r="J519" i="5"/>
  <c r="G519" i="5"/>
  <c r="F519" i="5"/>
  <c r="J518" i="5"/>
  <c r="G518" i="5"/>
  <c r="F518" i="5"/>
  <c r="F516" i="5"/>
  <c r="D516" i="5"/>
  <c r="I516" i="5"/>
  <c r="C516" i="5"/>
  <c r="B516" i="5"/>
  <c r="A516" i="5"/>
  <c r="Z515" i="5"/>
  <c r="Y515" i="5"/>
  <c r="W515" i="5"/>
  <c r="J514" i="5"/>
  <c r="Z514" i="5"/>
  <c r="Y514" i="5"/>
  <c r="W514" i="5"/>
  <c r="F514" i="5"/>
  <c r="D514" i="5"/>
  <c r="C514" i="5"/>
  <c r="B514" i="5"/>
  <c r="A514" i="5"/>
  <c r="G513" i="5"/>
  <c r="E513" i="5"/>
  <c r="J512" i="5"/>
  <c r="E512" i="5"/>
  <c r="J511" i="5"/>
  <c r="E511" i="5"/>
  <c r="J510" i="5"/>
  <c r="G510" i="5"/>
  <c r="F510" i="5"/>
  <c r="J509" i="5"/>
  <c r="G509" i="5"/>
  <c r="F509" i="5"/>
  <c r="F508" i="5"/>
  <c r="E508" i="5"/>
  <c r="D508" i="5"/>
  <c r="I508" i="5"/>
  <c r="C508" i="5"/>
  <c r="B508" i="5"/>
  <c r="A508" i="5"/>
  <c r="Z507" i="5"/>
  <c r="Y507" i="5"/>
  <c r="W507" i="5"/>
  <c r="G506" i="5"/>
  <c r="E506" i="5"/>
  <c r="J505" i="5"/>
  <c r="E505" i="5"/>
  <c r="J504" i="5"/>
  <c r="E504" i="5"/>
  <c r="J503" i="5"/>
  <c r="G503" i="5"/>
  <c r="F503" i="5"/>
  <c r="F502" i="5"/>
  <c r="E502" i="5"/>
  <c r="D502" i="5"/>
  <c r="I502" i="5"/>
  <c r="C502" i="5"/>
  <c r="B502" i="5"/>
  <c r="A502" i="5"/>
  <c r="A501" i="5"/>
  <c r="Y497" i="5"/>
  <c r="X497" i="5"/>
  <c r="W497" i="5"/>
  <c r="G496" i="5"/>
  <c r="E496" i="5"/>
  <c r="J495" i="5"/>
  <c r="E495" i="5"/>
  <c r="J494" i="5"/>
  <c r="E494" i="5"/>
  <c r="J493" i="5"/>
  <c r="G493" i="5"/>
  <c r="F493" i="5"/>
  <c r="F492" i="5"/>
  <c r="E492" i="5"/>
  <c r="D492" i="5"/>
  <c r="I492" i="5"/>
  <c r="C492" i="5"/>
  <c r="B492" i="5"/>
  <c r="A492" i="5"/>
  <c r="Y491" i="5"/>
  <c r="X491" i="5"/>
  <c r="W491" i="5"/>
  <c r="G490" i="5"/>
  <c r="E490" i="5"/>
  <c r="J489" i="5"/>
  <c r="E489" i="5"/>
  <c r="J488" i="5"/>
  <c r="E488" i="5"/>
  <c r="J487" i="5"/>
  <c r="G487" i="5"/>
  <c r="F487" i="5"/>
  <c r="F486" i="5"/>
  <c r="E486" i="5"/>
  <c r="D486" i="5"/>
  <c r="I486" i="5"/>
  <c r="C486" i="5"/>
  <c r="B486" i="5"/>
  <c r="A486" i="5"/>
  <c r="Y485" i="5"/>
  <c r="X485" i="5"/>
  <c r="W485" i="5"/>
  <c r="G484" i="5"/>
  <c r="E484" i="5"/>
  <c r="J483" i="5"/>
  <c r="E483" i="5"/>
  <c r="J482" i="5"/>
  <c r="E482" i="5"/>
  <c r="J481" i="5"/>
  <c r="G481" i="5"/>
  <c r="F481" i="5"/>
  <c r="F480" i="5"/>
  <c r="E480" i="5"/>
  <c r="D480" i="5"/>
  <c r="I480" i="5"/>
  <c r="C480" i="5"/>
  <c r="B480" i="5"/>
  <c r="A480" i="5"/>
  <c r="Y479" i="5"/>
  <c r="X479" i="5"/>
  <c r="W479" i="5"/>
  <c r="G478" i="5"/>
  <c r="E478" i="5"/>
  <c r="J477" i="5"/>
  <c r="E477" i="5"/>
  <c r="J476" i="5"/>
  <c r="E476" i="5"/>
  <c r="J475" i="5"/>
  <c r="G475" i="5"/>
  <c r="F475" i="5"/>
  <c r="F474" i="5"/>
  <c r="E474" i="5"/>
  <c r="D474" i="5"/>
  <c r="I474" i="5"/>
  <c r="C474" i="5"/>
  <c r="B474" i="5"/>
  <c r="A474" i="5"/>
  <c r="Z473" i="5"/>
  <c r="Y473" i="5"/>
  <c r="W473" i="5"/>
  <c r="J472" i="5"/>
  <c r="Z472" i="5"/>
  <c r="Y472" i="5"/>
  <c r="W472" i="5"/>
  <c r="F472" i="5"/>
  <c r="D472" i="5"/>
  <c r="C472" i="5"/>
  <c r="B472" i="5"/>
  <c r="A472" i="5"/>
  <c r="G471" i="5"/>
  <c r="E471" i="5"/>
  <c r="J470" i="5"/>
  <c r="E470" i="5"/>
  <c r="J469" i="5"/>
  <c r="E469" i="5"/>
  <c r="J468" i="5"/>
  <c r="G468" i="5"/>
  <c r="F468" i="5"/>
  <c r="J467" i="5"/>
  <c r="G467" i="5"/>
  <c r="F467" i="5"/>
  <c r="J466" i="5"/>
  <c r="G466" i="5"/>
  <c r="F466" i="5"/>
  <c r="J465" i="5"/>
  <c r="G465" i="5"/>
  <c r="F465" i="5"/>
  <c r="F463" i="5"/>
  <c r="D463" i="5"/>
  <c r="I463" i="5"/>
  <c r="C463" i="5"/>
  <c r="B463" i="5"/>
  <c r="A463" i="5"/>
  <c r="Z462" i="5"/>
  <c r="Y462" i="5"/>
  <c r="W462" i="5"/>
  <c r="J461" i="5"/>
  <c r="Z461" i="5"/>
  <c r="Y461" i="5"/>
  <c r="W461" i="5"/>
  <c r="F461" i="5"/>
  <c r="D461" i="5"/>
  <c r="C461" i="5"/>
  <c r="B461" i="5"/>
  <c r="A461" i="5"/>
  <c r="J460" i="5"/>
  <c r="Z460" i="5"/>
  <c r="Y460" i="5"/>
  <c r="W460" i="5"/>
  <c r="F460" i="5"/>
  <c r="D460" i="5"/>
  <c r="C460" i="5"/>
  <c r="B460" i="5"/>
  <c r="A460" i="5"/>
  <c r="J459" i="5"/>
  <c r="Z459" i="5"/>
  <c r="Y459" i="5"/>
  <c r="W459" i="5"/>
  <c r="F459" i="5"/>
  <c r="D459" i="5"/>
  <c r="C459" i="5"/>
  <c r="B459" i="5"/>
  <c r="A459" i="5"/>
  <c r="J458" i="5"/>
  <c r="Z458" i="5"/>
  <c r="Y458" i="5"/>
  <c r="W458" i="5"/>
  <c r="F458" i="5"/>
  <c r="D458" i="5"/>
  <c r="C458" i="5"/>
  <c r="B458" i="5"/>
  <c r="A458" i="5"/>
  <c r="J457" i="5"/>
  <c r="Z457" i="5"/>
  <c r="Y457" i="5"/>
  <c r="W457" i="5"/>
  <c r="F457" i="5"/>
  <c r="D457" i="5"/>
  <c r="C457" i="5"/>
  <c r="B457" i="5"/>
  <c r="A457" i="5"/>
  <c r="G456" i="5"/>
  <c r="E456" i="5"/>
  <c r="J455" i="5"/>
  <c r="E455" i="5"/>
  <c r="J454" i="5"/>
  <c r="E454" i="5"/>
  <c r="J453" i="5"/>
  <c r="G453" i="5"/>
  <c r="F453" i="5"/>
  <c r="J452" i="5"/>
  <c r="G452" i="5"/>
  <c r="F452" i="5"/>
  <c r="J451" i="5"/>
  <c r="G451" i="5"/>
  <c r="F451" i="5"/>
  <c r="F450" i="5"/>
  <c r="E450" i="5"/>
  <c r="D450" i="5"/>
  <c r="I450" i="5"/>
  <c r="C450" i="5"/>
  <c r="B450" i="5"/>
  <c r="A450" i="5"/>
  <c r="Z449" i="5"/>
  <c r="Y449" i="5"/>
  <c r="W449" i="5"/>
  <c r="J448" i="5"/>
  <c r="Z448" i="5"/>
  <c r="Y448" i="5"/>
  <c r="W448" i="5"/>
  <c r="F448" i="5"/>
  <c r="D448" i="5"/>
  <c r="C448" i="5"/>
  <c r="B448" i="5"/>
  <c r="A448" i="5"/>
  <c r="G447" i="5"/>
  <c r="E447" i="5"/>
  <c r="J446" i="5"/>
  <c r="E446" i="5"/>
  <c r="J445" i="5"/>
  <c r="E445" i="5"/>
  <c r="J444" i="5"/>
  <c r="G444" i="5"/>
  <c r="F444" i="5"/>
  <c r="J443" i="5"/>
  <c r="G443" i="5"/>
  <c r="F443" i="5"/>
  <c r="J442" i="5"/>
  <c r="G442" i="5"/>
  <c r="F442" i="5"/>
  <c r="J441" i="5"/>
  <c r="G441" i="5"/>
  <c r="F441" i="5"/>
  <c r="F440" i="5"/>
  <c r="E440" i="5"/>
  <c r="D440" i="5"/>
  <c r="I440" i="5"/>
  <c r="C440" i="5"/>
  <c r="B440" i="5"/>
  <c r="A440" i="5"/>
  <c r="Z439" i="5"/>
  <c r="Y439" i="5"/>
  <c r="W439" i="5"/>
  <c r="J438" i="5"/>
  <c r="Z438" i="5"/>
  <c r="Y438" i="5"/>
  <c r="W438" i="5"/>
  <c r="F438" i="5"/>
  <c r="D438" i="5"/>
  <c r="C438" i="5"/>
  <c r="B438" i="5"/>
  <c r="A438" i="5"/>
  <c r="J437" i="5"/>
  <c r="Z437" i="5"/>
  <c r="Y437" i="5"/>
  <c r="W437" i="5"/>
  <c r="F437" i="5"/>
  <c r="D437" i="5"/>
  <c r="C437" i="5"/>
  <c r="B437" i="5"/>
  <c r="A437" i="5"/>
  <c r="G436" i="5"/>
  <c r="E436" i="5"/>
  <c r="J435" i="5"/>
  <c r="E435" i="5"/>
  <c r="J434" i="5"/>
  <c r="E434" i="5"/>
  <c r="J433" i="5"/>
  <c r="G433" i="5"/>
  <c r="F433" i="5"/>
  <c r="J432" i="5"/>
  <c r="G432" i="5"/>
  <c r="F432" i="5"/>
  <c r="J431" i="5"/>
  <c r="G431" i="5"/>
  <c r="F431" i="5"/>
  <c r="J430" i="5"/>
  <c r="G430" i="5"/>
  <c r="F430" i="5"/>
  <c r="F428" i="5"/>
  <c r="D428" i="5"/>
  <c r="I428" i="5"/>
  <c r="C428" i="5"/>
  <c r="B428" i="5"/>
  <c r="A428" i="5"/>
  <c r="Z427" i="5"/>
  <c r="Y427" i="5"/>
  <c r="W427" i="5"/>
  <c r="J426" i="5"/>
  <c r="Z426" i="5"/>
  <c r="Y426" i="5"/>
  <c r="W426" i="5"/>
  <c r="F426" i="5"/>
  <c r="D426" i="5"/>
  <c r="C426" i="5"/>
  <c r="B426" i="5"/>
  <c r="A426" i="5"/>
  <c r="G425" i="5"/>
  <c r="E425" i="5"/>
  <c r="J424" i="5"/>
  <c r="E424" i="5"/>
  <c r="J423" i="5"/>
  <c r="E423" i="5"/>
  <c r="J422" i="5"/>
  <c r="G422" i="5"/>
  <c r="F422" i="5"/>
  <c r="J421" i="5"/>
  <c r="G421" i="5"/>
  <c r="F421" i="5"/>
  <c r="J420" i="5"/>
  <c r="G420" i="5"/>
  <c r="F420" i="5"/>
  <c r="J419" i="5"/>
  <c r="G419" i="5"/>
  <c r="F419" i="5"/>
  <c r="F417" i="5"/>
  <c r="D417" i="5"/>
  <c r="I417" i="5"/>
  <c r="C417" i="5"/>
  <c r="B417" i="5"/>
  <c r="A417" i="5"/>
  <c r="Z416" i="5"/>
  <c r="Y416" i="5"/>
  <c r="W416" i="5"/>
  <c r="J415" i="5"/>
  <c r="Z415" i="5"/>
  <c r="Y415" i="5"/>
  <c r="W415" i="5"/>
  <c r="F415" i="5"/>
  <c r="D415" i="5"/>
  <c r="C415" i="5"/>
  <c r="B415" i="5"/>
  <c r="A415" i="5"/>
  <c r="G414" i="5"/>
  <c r="E414" i="5"/>
  <c r="J413" i="5"/>
  <c r="E413" i="5"/>
  <c r="J412" i="5"/>
  <c r="E412" i="5"/>
  <c r="J411" i="5"/>
  <c r="G411" i="5"/>
  <c r="F411" i="5"/>
  <c r="J410" i="5"/>
  <c r="G410" i="5"/>
  <c r="F410" i="5"/>
  <c r="J409" i="5"/>
  <c r="G409" i="5"/>
  <c r="F409" i="5"/>
  <c r="J408" i="5"/>
  <c r="G408" i="5"/>
  <c r="F408" i="5"/>
  <c r="F407" i="5"/>
  <c r="E407" i="5"/>
  <c r="D407" i="5"/>
  <c r="I407" i="5"/>
  <c r="C407" i="5"/>
  <c r="B407" i="5"/>
  <c r="A407" i="5"/>
  <c r="Z406" i="5"/>
  <c r="Y406" i="5"/>
  <c r="W406" i="5"/>
  <c r="J405" i="5"/>
  <c r="Z405" i="5"/>
  <c r="Y405" i="5"/>
  <c r="W405" i="5"/>
  <c r="F405" i="5"/>
  <c r="D405" i="5"/>
  <c r="C405" i="5"/>
  <c r="B405" i="5"/>
  <c r="A405" i="5"/>
  <c r="G404" i="5"/>
  <c r="E404" i="5"/>
  <c r="J403" i="5"/>
  <c r="E403" i="5"/>
  <c r="J402" i="5"/>
  <c r="E402" i="5"/>
  <c r="J401" i="5"/>
  <c r="G401" i="5"/>
  <c r="F401" i="5"/>
  <c r="J400" i="5"/>
  <c r="G400" i="5"/>
  <c r="F400" i="5"/>
  <c r="J399" i="5"/>
  <c r="G399" i="5"/>
  <c r="F399" i="5"/>
  <c r="J398" i="5"/>
  <c r="G398" i="5"/>
  <c r="F398" i="5"/>
  <c r="F397" i="5"/>
  <c r="E397" i="5"/>
  <c r="D397" i="5"/>
  <c r="I397" i="5"/>
  <c r="C397" i="5"/>
  <c r="B397" i="5"/>
  <c r="A397" i="5"/>
  <c r="Z396" i="5"/>
  <c r="Y396" i="5"/>
  <c r="W396" i="5"/>
  <c r="J395" i="5"/>
  <c r="Z395" i="5"/>
  <c r="Y395" i="5"/>
  <c r="W395" i="5"/>
  <c r="F395" i="5"/>
  <c r="D395" i="5"/>
  <c r="C395" i="5"/>
  <c r="B395" i="5"/>
  <c r="A395" i="5"/>
  <c r="G394" i="5"/>
  <c r="E394" i="5"/>
  <c r="J393" i="5"/>
  <c r="E393" i="5"/>
  <c r="J392" i="5"/>
  <c r="E392" i="5"/>
  <c r="J391" i="5"/>
  <c r="G391" i="5"/>
  <c r="F391" i="5"/>
  <c r="J390" i="5"/>
  <c r="G390" i="5"/>
  <c r="F390" i="5"/>
  <c r="F389" i="5"/>
  <c r="E389" i="5"/>
  <c r="D389" i="5"/>
  <c r="I389" i="5"/>
  <c r="C389" i="5"/>
  <c r="B389" i="5"/>
  <c r="A389" i="5"/>
  <c r="Z388" i="5"/>
  <c r="Y388" i="5"/>
  <c r="W388" i="5"/>
  <c r="J387" i="5"/>
  <c r="Z387" i="5"/>
  <c r="Y387" i="5"/>
  <c r="W387" i="5"/>
  <c r="F387" i="5"/>
  <c r="D387" i="5"/>
  <c r="C387" i="5"/>
  <c r="B387" i="5"/>
  <c r="A387" i="5"/>
  <c r="G386" i="5"/>
  <c r="E386" i="5"/>
  <c r="J385" i="5"/>
  <c r="E385" i="5"/>
  <c r="J384" i="5"/>
  <c r="E384" i="5"/>
  <c r="J383" i="5"/>
  <c r="G383" i="5"/>
  <c r="F383" i="5"/>
  <c r="J382" i="5"/>
  <c r="G382" i="5"/>
  <c r="F382" i="5"/>
  <c r="J381" i="5"/>
  <c r="G381" i="5"/>
  <c r="F381" i="5"/>
  <c r="J380" i="5"/>
  <c r="G380" i="5"/>
  <c r="F380" i="5"/>
  <c r="F378" i="5"/>
  <c r="D378" i="5"/>
  <c r="I378" i="5"/>
  <c r="C378" i="5"/>
  <c r="B378" i="5"/>
  <c r="A378" i="5"/>
  <c r="Z377" i="5"/>
  <c r="Y377" i="5"/>
  <c r="W377" i="5"/>
  <c r="J376" i="5"/>
  <c r="Z376" i="5"/>
  <c r="Y376" i="5"/>
  <c r="W376" i="5"/>
  <c r="F376" i="5"/>
  <c r="D376" i="5"/>
  <c r="C376" i="5"/>
  <c r="B376" i="5"/>
  <c r="A376" i="5"/>
  <c r="G375" i="5"/>
  <c r="E375" i="5"/>
  <c r="J374" i="5"/>
  <c r="E374" i="5"/>
  <c r="J373" i="5"/>
  <c r="E373" i="5"/>
  <c r="J372" i="5"/>
  <c r="G372" i="5"/>
  <c r="F372" i="5"/>
  <c r="J371" i="5"/>
  <c r="G371" i="5"/>
  <c r="F371" i="5"/>
  <c r="F370" i="5"/>
  <c r="E370" i="5"/>
  <c r="D370" i="5"/>
  <c r="I370" i="5"/>
  <c r="C370" i="5"/>
  <c r="B370" i="5"/>
  <c r="A370" i="5"/>
  <c r="Z369" i="5"/>
  <c r="Y369" i="5"/>
  <c r="W369" i="5"/>
  <c r="J368" i="5"/>
  <c r="Z368" i="5"/>
  <c r="Y368" i="5"/>
  <c r="W368" i="5"/>
  <c r="F368" i="5"/>
  <c r="D368" i="5"/>
  <c r="C368" i="5"/>
  <c r="B368" i="5"/>
  <c r="A368" i="5"/>
  <c r="G367" i="5"/>
  <c r="E367" i="5"/>
  <c r="J366" i="5"/>
  <c r="E366" i="5"/>
  <c r="J365" i="5"/>
  <c r="E365" i="5"/>
  <c r="J364" i="5"/>
  <c r="G364" i="5"/>
  <c r="F364" i="5"/>
  <c r="J363" i="5"/>
  <c r="G363" i="5"/>
  <c r="F363" i="5"/>
  <c r="J362" i="5"/>
  <c r="G362" i="5"/>
  <c r="F362" i="5"/>
  <c r="J361" i="5"/>
  <c r="G361" i="5"/>
  <c r="F361" i="5"/>
  <c r="F359" i="5"/>
  <c r="D359" i="5"/>
  <c r="I359" i="5"/>
  <c r="C359" i="5"/>
  <c r="B359" i="5"/>
  <c r="A359" i="5"/>
  <c r="Z358" i="5"/>
  <c r="Y358" i="5"/>
  <c r="X358" i="5"/>
  <c r="G357" i="5"/>
  <c r="E357" i="5"/>
  <c r="J356" i="5"/>
  <c r="E356" i="5"/>
  <c r="J355" i="5"/>
  <c r="E355" i="5"/>
  <c r="J354" i="5"/>
  <c r="G354" i="5"/>
  <c r="F354" i="5"/>
  <c r="F353" i="5"/>
  <c r="E353" i="5"/>
  <c r="D353" i="5"/>
  <c r="I353" i="5"/>
  <c r="C353" i="5"/>
  <c r="B353" i="5"/>
  <c r="A353" i="5"/>
  <c r="Z352" i="5"/>
  <c r="Y352" i="5"/>
  <c r="X352" i="5"/>
  <c r="G351" i="5"/>
  <c r="E351" i="5"/>
  <c r="J350" i="5"/>
  <c r="E350" i="5"/>
  <c r="J349" i="5"/>
  <c r="E349" i="5"/>
  <c r="J348" i="5"/>
  <c r="G348" i="5"/>
  <c r="F348" i="5"/>
  <c r="F347" i="5"/>
  <c r="E347" i="5"/>
  <c r="D347" i="5"/>
  <c r="I347" i="5"/>
  <c r="C347" i="5"/>
  <c r="B347" i="5"/>
  <c r="A347" i="5"/>
  <c r="Z346" i="5"/>
  <c r="Y346" i="5"/>
  <c r="W346" i="5"/>
  <c r="G345" i="5"/>
  <c r="E345" i="5"/>
  <c r="J344" i="5"/>
  <c r="E344" i="5"/>
  <c r="J343" i="5"/>
  <c r="E343" i="5"/>
  <c r="J342" i="5"/>
  <c r="G342" i="5"/>
  <c r="F342" i="5"/>
  <c r="J341" i="5"/>
  <c r="G341" i="5"/>
  <c r="F341" i="5"/>
  <c r="J340" i="5"/>
  <c r="G340" i="5"/>
  <c r="F340" i="5"/>
  <c r="F339" i="5"/>
  <c r="E339" i="5"/>
  <c r="D339" i="5"/>
  <c r="I339" i="5"/>
  <c r="C339" i="5"/>
  <c r="B339" i="5"/>
  <c r="A339" i="5"/>
  <c r="Z338" i="5"/>
  <c r="Y338" i="5"/>
  <c r="W338" i="5"/>
  <c r="G337" i="5"/>
  <c r="E337" i="5"/>
  <c r="J336" i="5"/>
  <c r="E336" i="5"/>
  <c r="J335" i="5"/>
  <c r="E335" i="5"/>
  <c r="J334" i="5"/>
  <c r="G334" i="5"/>
  <c r="F334" i="5"/>
  <c r="J333" i="5"/>
  <c r="G333" i="5"/>
  <c r="F333" i="5"/>
  <c r="F332" i="5"/>
  <c r="E332" i="5"/>
  <c r="D332" i="5"/>
  <c r="I332" i="5"/>
  <c r="C332" i="5"/>
  <c r="B332" i="5"/>
  <c r="A332" i="5"/>
  <c r="Z331" i="5"/>
  <c r="Y331" i="5"/>
  <c r="W331" i="5"/>
  <c r="G330" i="5"/>
  <c r="E330" i="5"/>
  <c r="J329" i="5"/>
  <c r="E329" i="5"/>
  <c r="J328" i="5"/>
  <c r="E328" i="5"/>
  <c r="J327" i="5"/>
  <c r="G327" i="5"/>
  <c r="F327" i="5"/>
  <c r="J326" i="5"/>
  <c r="G326" i="5"/>
  <c r="F326" i="5"/>
  <c r="J325" i="5"/>
  <c r="G325" i="5"/>
  <c r="F325" i="5"/>
  <c r="F323" i="5"/>
  <c r="D323" i="5"/>
  <c r="I323" i="5"/>
  <c r="C323" i="5"/>
  <c r="B323" i="5"/>
  <c r="A323" i="5"/>
  <c r="Z322" i="5"/>
  <c r="Y322" i="5"/>
  <c r="W322" i="5"/>
  <c r="G321" i="5"/>
  <c r="E321" i="5"/>
  <c r="J320" i="5"/>
  <c r="E320" i="5"/>
  <c r="J319" i="5"/>
  <c r="E319" i="5"/>
  <c r="J318" i="5"/>
  <c r="G318" i="5"/>
  <c r="F318" i="5"/>
  <c r="J317" i="5"/>
  <c r="G317" i="5"/>
  <c r="F317" i="5"/>
  <c r="J316" i="5"/>
  <c r="G316" i="5"/>
  <c r="F316" i="5"/>
  <c r="F314" i="5"/>
  <c r="D314" i="5"/>
  <c r="I314" i="5"/>
  <c r="C314" i="5"/>
  <c r="B314" i="5"/>
  <c r="A314" i="5"/>
  <c r="Z313" i="5"/>
  <c r="Y313" i="5"/>
  <c r="X313" i="5"/>
  <c r="G312" i="5"/>
  <c r="E312" i="5"/>
  <c r="J311" i="5"/>
  <c r="E311" i="5"/>
  <c r="J310" i="5"/>
  <c r="E310" i="5"/>
  <c r="J309" i="5"/>
  <c r="G309" i="5"/>
  <c r="F309" i="5"/>
  <c r="J308" i="5"/>
  <c r="G308" i="5"/>
  <c r="F308" i="5"/>
  <c r="J307" i="5"/>
  <c r="G307" i="5"/>
  <c r="F307" i="5"/>
  <c r="F306" i="5"/>
  <c r="E306" i="5"/>
  <c r="D306" i="5"/>
  <c r="I306" i="5"/>
  <c r="C306" i="5"/>
  <c r="B306" i="5"/>
  <c r="A306" i="5"/>
  <c r="A305" i="5"/>
  <c r="Z299" i="5"/>
  <c r="Y299" i="5"/>
  <c r="X299" i="5"/>
  <c r="G298" i="5"/>
  <c r="E298" i="5"/>
  <c r="J297" i="5"/>
  <c r="E297" i="5"/>
  <c r="J296" i="5"/>
  <c r="E296" i="5"/>
  <c r="J295" i="5"/>
  <c r="G295" i="5"/>
  <c r="F295" i="5"/>
  <c r="F293" i="5"/>
  <c r="D293" i="5"/>
  <c r="I293" i="5"/>
  <c r="C293" i="5"/>
  <c r="B293" i="5"/>
  <c r="A293" i="5"/>
  <c r="Z292" i="5"/>
  <c r="Y292" i="5"/>
  <c r="X292" i="5"/>
  <c r="J291" i="5"/>
  <c r="Z291" i="5"/>
  <c r="Y291" i="5"/>
  <c r="X291" i="5"/>
  <c r="F291" i="5"/>
  <c r="D291" i="5"/>
  <c r="C291" i="5"/>
  <c r="B291" i="5"/>
  <c r="A291" i="5"/>
  <c r="G290" i="5"/>
  <c r="E290" i="5"/>
  <c r="J289" i="5"/>
  <c r="F289" i="5"/>
  <c r="E289" i="5"/>
  <c r="J288" i="5"/>
  <c r="F288" i="5"/>
  <c r="E288" i="5"/>
  <c r="J287" i="5"/>
  <c r="G287" i="5"/>
  <c r="F287" i="5"/>
  <c r="J286" i="5"/>
  <c r="G286" i="5"/>
  <c r="F286" i="5"/>
  <c r="J285" i="5"/>
  <c r="G285" i="5"/>
  <c r="F285" i="5"/>
  <c r="J284" i="5"/>
  <c r="G284" i="5"/>
  <c r="F284" i="5"/>
  <c r="F283" i="5"/>
  <c r="E283" i="5"/>
  <c r="D283" i="5"/>
  <c r="I283" i="5"/>
  <c r="C283" i="5"/>
  <c r="B283" i="5"/>
  <c r="A283" i="5"/>
  <c r="Z282" i="5"/>
  <c r="Y282" i="5"/>
  <c r="X282" i="5"/>
  <c r="J281" i="5"/>
  <c r="Z281" i="5"/>
  <c r="Y281" i="5"/>
  <c r="X281" i="5"/>
  <c r="F281" i="5"/>
  <c r="D281" i="5"/>
  <c r="C281" i="5"/>
  <c r="B281" i="5"/>
  <c r="A281" i="5"/>
  <c r="J280" i="5"/>
  <c r="Z280" i="5"/>
  <c r="Y280" i="5"/>
  <c r="X280" i="5"/>
  <c r="F280" i="5"/>
  <c r="D280" i="5"/>
  <c r="C280" i="5"/>
  <c r="B280" i="5"/>
  <c r="A280" i="5"/>
  <c r="G279" i="5"/>
  <c r="E279" i="5"/>
  <c r="J278" i="5"/>
  <c r="F278" i="5"/>
  <c r="E278" i="5"/>
  <c r="J277" i="5"/>
  <c r="F277" i="5"/>
  <c r="E277" i="5"/>
  <c r="J276" i="5"/>
  <c r="G276" i="5"/>
  <c r="F276" i="5"/>
  <c r="J275" i="5"/>
  <c r="G275" i="5"/>
  <c r="F275" i="5"/>
  <c r="J274" i="5"/>
  <c r="G274" i="5"/>
  <c r="F274" i="5"/>
  <c r="J273" i="5"/>
  <c r="G273" i="5"/>
  <c r="F273" i="5"/>
  <c r="F272" i="5"/>
  <c r="E272" i="5"/>
  <c r="D272" i="5"/>
  <c r="I272" i="5"/>
  <c r="C272" i="5"/>
  <c r="B272" i="5"/>
  <c r="A272" i="5"/>
  <c r="Z271" i="5"/>
  <c r="Y271" i="5"/>
  <c r="X271" i="5"/>
  <c r="J270" i="5"/>
  <c r="Z270" i="5"/>
  <c r="Y270" i="5"/>
  <c r="X270" i="5"/>
  <c r="F270" i="5"/>
  <c r="D270" i="5"/>
  <c r="C270" i="5"/>
  <c r="B270" i="5"/>
  <c r="A270" i="5"/>
  <c r="J269" i="5"/>
  <c r="Z269" i="5"/>
  <c r="Y269" i="5"/>
  <c r="X269" i="5"/>
  <c r="F269" i="5"/>
  <c r="D269" i="5"/>
  <c r="C269" i="5"/>
  <c r="B269" i="5"/>
  <c r="A269" i="5"/>
  <c r="G268" i="5"/>
  <c r="E268" i="5"/>
  <c r="J267" i="5"/>
  <c r="F267" i="5"/>
  <c r="E267" i="5"/>
  <c r="J266" i="5"/>
  <c r="F266" i="5"/>
  <c r="E266" i="5"/>
  <c r="J265" i="5"/>
  <c r="G265" i="5"/>
  <c r="F265" i="5"/>
  <c r="J264" i="5"/>
  <c r="G264" i="5"/>
  <c r="F264" i="5"/>
  <c r="J263" i="5"/>
  <c r="G263" i="5"/>
  <c r="F263" i="5"/>
  <c r="J262" i="5"/>
  <c r="G262" i="5"/>
  <c r="F262" i="5"/>
  <c r="F261" i="5"/>
  <c r="E261" i="5"/>
  <c r="D261" i="5"/>
  <c r="I261" i="5"/>
  <c r="C261" i="5"/>
  <c r="B261" i="5"/>
  <c r="A261" i="5"/>
  <c r="Z260" i="5"/>
  <c r="Y260" i="5"/>
  <c r="X260" i="5"/>
  <c r="G259" i="5"/>
  <c r="E259" i="5"/>
  <c r="J258" i="5"/>
  <c r="E258" i="5"/>
  <c r="J257" i="5"/>
  <c r="E257" i="5"/>
  <c r="J256" i="5"/>
  <c r="G256" i="5"/>
  <c r="F256" i="5"/>
  <c r="J255" i="5"/>
  <c r="G255" i="5"/>
  <c r="F255" i="5"/>
  <c r="J254" i="5"/>
  <c r="G254" i="5"/>
  <c r="F254" i="5"/>
  <c r="F253" i="5"/>
  <c r="E253" i="5"/>
  <c r="D253" i="5"/>
  <c r="I253" i="5"/>
  <c r="C253" i="5"/>
  <c r="B253" i="5"/>
  <c r="A253" i="5"/>
  <c r="A252" i="5"/>
  <c r="Z246" i="5"/>
  <c r="Y246" i="5"/>
  <c r="X246" i="5"/>
  <c r="J245" i="5"/>
  <c r="G245" i="5"/>
  <c r="F245" i="5"/>
  <c r="U245" i="5"/>
  <c r="S245" i="5"/>
  <c r="E245" i="5"/>
  <c r="D245" i="5"/>
  <c r="I245" i="5"/>
  <c r="C245" i="5"/>
  <c r="B245" i="5"/>
  <c r="A245" i="5"/>
  <c r="Z244" i="5"/>
  <c r="Y244" i="5"/>
  <c r="X244" i="5"/>
  <c r="J243" i="5"/>
  <c r="G243" i="5"/>
  <c r="F243" i="5"/>
  <c r="U243" i="5"/>
  <c r="S243" i="5"/>
  <c r="E243" i="5"/>
  <c r="D243" i="5"/>
  <c r="I243" i="5"/>
  <c r="C243" i="5"/>
  <c r="B243" i="5"/>
  <c r="A243" i="5"/>
  <c r="Z242" i="5"/>
  <c r="Y242" i="5"/>
  <c r="X242" i="5"/>
  <c r="G241" i="5"/>
  <c r="E241" i="5"/>
  <c r="J240" i="5"/>
  <c r="E240" i="5"/>
  <c r="J239" i="5"/>
  <c r="E239" i="5"/>
  <c r="J238" i="5"/>
  <c r="G238" i="5"/>
  <c r="F238" i="5"/>
  <c r="J237" i="5"/>
  <c r="G237" i="5"/>
  <c r="F237" i="5"/>
  <c r="F236" i="5"/>
  <c r="E236" i="5"/>
  <c r="D236" i="5"/>
  <c r="I236" i="5"/>
  <c r="C236" i="5"/>
  <c r="B236" i="5"/>
  <c r="A236" i="5"/>
  <c r="Z235" i="5"/>
  <c r="Y235" i="5"/>
  <c r="X235" i="5"/>
  <c r="J234" i="5"/>
  <c r="Z234" i="5"/>
  <c r="Y234" i="5"/>
  <c r="X234" i="5"/>
  <c r="F234" i="5"/>
  <c r="D234" i="5"/>
  <c r="C234" i="5"/>
  <c r="B234" i="5"/>
  <c r="A234" i="5"/>
  <c r="G233" i="5"/>
  <c r="E233" i="5"/>
  <c r="J232" i="5"/>
  <c r="E232" i="5"/>
  <c r="J231" i="5"/>
  <c r="E231" i="5"/>
  <c r="J230" i="5"/>
  <c r="G230" i="5"/>
  <c r="F230" i="5"/>
  <c r="J229" i="5"/>
  <c r="G229" i="5"/>
  <c r="F229" i="5"/>
  <c r="J228" i="5"/>
  <c r="G228" i="5"/>
  <c r="F228" i="5"/>
  <c r="J227" i="5"/>
  <c r="G227" i="5"/>
  <c r="F227" i="5"/>
  <c r="F226" i="5"/>
  <c r="E226" i="5"/>
  <c r="D226" i="5"/>
  <c r="I226" i="5"/>
  <c r="C226" i="5"/>
  <c r="B226" i="5"/>
  <c r="A226" i="5"/>
  <c r="Z225" i="5"/>
  <c r="Y225" i="5"/>
  <c r="X225" i="5"/>
  <c r="J224" i="5"/>
  <c r="Z224" i="5"/>
  <c r="Y224" i="5"/>
  <c r="X224" i="5"/>
  <c r="F224" i="5"/>
  <c r="D224" i="5"/>
  <c r="C224" i="5"/>
  <c r="B224" i="5"/>
  <c r="A224" i="5"/>
  <c r="G223" i="5"/>
  <c r="E223" i="5"/>
  <c r="J222" i="5"/>
  <c r="F222" i="5"/>
  <c r="E222" i="5"/>
  <c r="J221" i="5"/>
  <c r="F221" i="5"/>
  <c r="E221" i="5"/>
  <c r="J220" i="5"/>
  <c r="G220" i="5"/>
  <c r="F220" i="5"/>
  <c r="J219" i="5"/>
  <c r="G219" i="5"/>
  <c r="F219" i="5"/>
  <c r="F217" i="5"/>
  <c r="D217" i="5"/>
  <c r="I217" i="5"/>
  <c r="C217" i="5"/>
  <c r="B217" i="5"/>
  <c r="A217" i="5"/>
  <c r="Z216" i="5"/>
  <c r="Y216" i="5"/>
  <c r="X216" i="5"/>
  <c r="G215" i="5"/>
  <c r="E215" i="5"/>
  <c r="J214" i="5"/>
  <c r="F214" i="5"/>
  <c r="E214" i="5"/>
  <c r="J213" i="5"/>
  <c r="F213" i="5"/>
  <c r="E213" i="5"/>
  <c r="J212" i="5"/>
  <c r="G212" i="5"/>
  <c r="F212" i="5"/>
  <c r="F210" i="5"/>
  <c r="D210" i="5"/>
  <c r="I210" i="5"/>
  <c r="C210" i="5"/>
  <c r="B210" i="5"/>
  <c r="A210" i="5"/>
  <c r="Z209" i="5"/>
  <c r="Y209" i="5"/>
  <c r="X209" i="5"/>
  <c r="G208" i="5"/>
  <c r="E208" i="5"/>
  <c r="J207" i="5"/>
  <c r="F207" i="5"/>
  <c r="E207" i="5"/>
  <c r="J206" i="5"/>
  <c r="F206" i="5"/>
  <c r="E206" i="5"/>
  <c r="J205" i="5"/>
  <c r="G205" i="5"/>
  <c r="F205" i="5"/>
  <c r="J204" i="5"/>
  <c r="G204" i="5"/>
  <c r="F204" i="5"/>
  <c r="J203" i="5"/>
  <c r="G203" i="5"/>
  <c r="F203" i="5"/>
  <c r="F201" i="5"/>
  <c r="D201" i="5"/>
  <c r="I201" i="5"/>
  <c r="C201" i="5"/>
  <c r="B201" i="5"/>
  <c r="A201" i="5"/>
  <c r="Z200" i="5"/>
  <c r="Y200" i="5"/>
  <c r="X200" i="5"/>
  <c r="G199" i="5"/>
  <c r="E199" i="5"/>
  <c r="J198" i="5"/>
  <c r="F198" i="5"/>
  <c r="E198" i="5"/>
  <c r="J197" i="5"/>
  <c r="F197" i="5"/>
  <c r="E197" i="5"/>
  <c r="J196" i="5"/>
  <c r="G196" i="5"/>
  <c r="F196" i="5"/>
  <c r="J195" i="5"/>
  <c r="G195" i="5"/>
  <c r="F195" i="5"/>
  <c r="J194" i="5"/>
  <c r="G194" i="5"/>
  <c r="F194" i="5"/>
  <c r="F192" i="5"/>
  <c r="D192" i="5"/>
  <c r="I192" i="5"/>
  <c r="C192" i="5"/>
  <c r="B192" i="5"/>
  <c r="A192" i="5"/>
  <c r="Z191" i="5"/>
  <c r="Y191" i="5"/>
  <c r="X191" i="5"/>
  <c r="J190" i="5"/>
  <c r="Z190" i="5"/>
  <c r="Y190" i="5"/>
  <c r="X190" i="5"/>
  <c r="F190" i="5"/>
  <c r="D190" i="5"/>
  <c r="C190" i="5"/>
  <c r="B190" i="5"/>
  <c r="A190" i="5"/>
  <c r="J189" i="5"/>
  <c r="Z189" i="5"/>
  <c r="Y189" i="5"/>
  <c r="X189" i="5"/>
  <c r="F189" i="5"/>
  <c r="D189" i="5"/>
  <c r="C189" i="5"/>
  <c r="B189" i="5"/>
  <c r="A189" i="5"/>
  <c r="G188" i="5"/>
  <c r="E188" i="5"/>
  <c r="J187" i="5"/>
  <c r="F187" i="5"/>
  <c r="E187" i="5"/>
  <c r="J186" i="5"/>
  <c r="F186" i="5"/>
  <c r="E186" i="5"/>
  <c r="J185" i="5"/>
  <c r="G185" i="5"/>
  <c r="F185" i="5"/>
  <c r="J184" i="5"/>
  <c r="G184" i="5"/>
  <c r="F184" i="5"/>
  <c r="J183" i="5"/>
  <c r="G183" i="5"/>
  <c r="F183" i="5"/>
  <c r="J182" i="5"/>
  <c r="G182" i="5"/>
  <c r="F182" i="5"/>
  <c r="F181" i="5"/>
  <c r="E181" i="5"/>
  <c r="D181" i="5"/>
  <c r="I181" i="5"/>
  <c r="C181" i="5"/>
  <c r="B181" i="5"/>
  <c r="A181" i="5"/>
  <c r="Z180" i="5"/>
  <c r="Y180" i="5"/>
  <c r="X180" i="5"/>
  <c r="J179" i="5"/>
  <c r="Z179" i="5"/>
  <c r="Y179" i="5"/>
  <c r="X179" i="5"/>
  <c r="F179" i="5"/>
  <c r="D179" i="5"/>
  <c r="C179" i="5"/>
  <c r="B179" i="5"/>
  <c r="A179" i="5"/>
  <c r="J178" i="5"/>
  <c r="Z178" i="5"/>
  <c r="Y178" i="5"/>
  <c r="X178" i="5"/>
  <c r="F178" i="5"/>
  <c r="D178" i="5"/>
  <c r="C178" i="5"/>
  <c r="B178" i="5"/>
  <c r="A178" i="5"/>
  <c r="G177" i="5"/>
  <c r="E177" i="5"/>
  <c r="J176" i="5"/>
  <c r="F176" i="5"/>
  <c r="E176" i="5"/>
  <c r="J175" i="5"/>
  <c r="F175" i="5"/>
  <c r="E175" i="5"/>
  <c r="J174" i="5"/>
  <c r="G174" i="5"/>
  <c r="F174" i="5"/>
  <c r="J173" i="5"/>
  <c r="G173" i="5"/>
  <c r="F173" i="5"/>
  <c r="J172" i="5"/>
  <c r="G172" i="5"/>
  <c r="F172" i="5"/>
  <c r="J171" i="5"/>
  <c r="G171" i="5"/>
  <c r="F171" i="5"/>
  <c r="F170" i="5"/>
  <c r="E170" i="5"/>
  <c r="D170" i="5"/>
  <c r="I170" i="5"/>
  <c r="C170" i="5"/>
  <c r="B170" i="5"/>
  <c r="A170" i="5"/>
  <c r="Z169" i="5"/>
  <c r="Y169" i="5"/>
  <c r="X169" i="5"/>
  <c r="J168" i="5"/>
  <c r="Z168" i="5"/>
  <c r="Y168" i="5"/>
  <c r="X168" i="5"/>
  <c r="F168" i="5"/>
  <c r="D168" i="5"/>
  <c r="C168" i="5"/>
  <c r="B168" i="5"/>
  <c r="A168" i="5"/>
  <c r="J167" i="5"/>
  <c r="Z167" i="5"/>
  <c r="Y167" i="5"/>
  <c r="X167" i="5"/>
  <c r="F167" i="5"/>
  <c r="D167" i="5"/>
  <c r="C167" i="5"/>
  <c r="B167" i="5"/>
  <c r="A167" i="5"/>
  <c r="G166" i="5"/>
  <c r="E166" i="5"/>
  <c r="J165" i="5"/>
  <c r="E165" i="5"/>
  <c r="J164" i="5"/>
  <c r="E164" i="5"/>
  <c r="J163" i="5"/>
  <c r="G163" i="5"/>
  <c r="F163" i="5"/>
  <c r="J162" i="5"/>
  <c r="G162" i="5"/>
  <c r="F162" i="5"/>
  <c r="J161" i="5"/>
  <c r="G161" i="5"/>
  <c r="F161" i="5"/>
  <c r="J160" i="5"/>
  <c r="G160" i="5"/>
  <c r="F160" i="5"/>
  <c r="F159" i="5"/>
  <c r="E159" i="5"/>
  <c r="D159" i="5"/>
  <c r="I159" i="5"/>
  <c r="C159" i="5"/>
  <c r="B159" i="5"/>
  <c r="A159" i="5"/>
  <c r="Z158" i="5"/>
  <c r="Y158" i="5"/>
  <c r="X158" i="5"/>
  <c r="G157" i="5"/>
  <c r="E157" i="5"/>
  <c r="J156" i="5"/>
  <c r="F156" i="5"/>
  <c r="E156" i="5"/>
  <c r="J155" i="5"/>
  <c r="F155" i="5"/>
  <c r="E155" i="5"/>
  <c r="J154" i="5"/>
  <c r="G154" i="5"/>
  <c r="F154" i="5"/>
  <c r="J153" i="5"/>
  <c r="G153" i="5"/>
  <c r="F153" i="5"/>
  <c r="J152" i="5"/>
  <c r="G152" i="5"/>
  <c r="F152" i="5"/>
  <c r="J151" i="5"/>
  <c r="G151" i="5"/>
  <c r="F151" i="5"/>
  <c r="F150" i="5"/>
  <c r="E150" i="5"/>
  <c r="D150" i="5"/>
  <c r="I150" i="5"/>
  <c r="C150" i="5"/>
  <c r="B150" i="5"/>
  <c r="A150" i="5"/>
  <c r="Z149" i="5"/>
  <c r="Y149" i="5"/>
  <c r="X149" i="5"/>
  <c r="G148" i="5"/>
  <c r="E148" i="5"/>
  <c r="J147" i="5"/>
  <c r="F147" i="5"/>
  <c r="E147" i="5"/>
  <c r="J146" i="5"/>
  <c r="F146" i="5"/>
  <c r="E146" i="5"/>
  <c r="J145" i="5"/>
  <c r="G145" i="5"/>
  <c r="F145" i="5"/>
  <c r="J144" i="5"/>
  <c r="G144" i="5"/>
  <c r="F144" i="5"/>
  <c r="J143" i="5"/>
  <c r="G143" i="5"/>
  <c r="F143" i="5"/>
  <c r="J142" i="5"/>
  <c r="G142" i="5"/>
  <c r="F142" i="5"/>
  <c r="F141" i="5"/>
  <c r="E141" i="5"/>
  <c r="D141" i="5"/>
  <c r="I141" i="5"/>
  <c r="C141" i="5"/>
  <c r="B141" i="5"/>
  <c r="A141" i="5"/>
  <c r="Z140" i="5"/>
  <c r="Y140" i="5"/>
  <c r="X140" i="5"/>
  <c r="J139" i="5"/>
  <c r="Z139" i="5"/>
  <c r="Y139" i="5"/>
  <c r="X139" i="5"/>
  <c r="F139" i="5"/>
  <c r="D139" i="5"/>
  <c r="C139" i="5"/>
  <c r="B139" i="5"/>
  <c r="A139" i="5"/>
  <c r="J138" i="5"/>
  <c r="Z138" i="5"/>
  <c r="Y138" i="5"/>
  <c r="X138" i="5"/>
  <c r="F138" i="5"/>
  <c r="D138" i="5"/>
  <c r="C138" i="5"/>
  <c r="B138" i="5"/>
  <c r="A138" i="5"/>
  <c r="J137" i="5"/>
  <c r="Z137" i="5"/>
  <c r="Y137" i="5"/>
  <c r="X137" i="5"/>
  <c r="F137" i="5"/>
  <c r="D137" i="5"/>
  <c r="C137" i="5"/>
  <c r="B137" i="5"/>
  <c r="A137" i="5"/>
  <c r="G136" i="5"/>
  <c r="E136" i="5"/>
  <c r="J135" i="5"/>
  <c r="F135" i="5"/>
  <c r="E135" i="5"/>
  <c r="J134" i="5"/>
  <c r="F134" i="5"/>
  <c r="E134" i="5"/>
  <c r="J133" i="5"/>
  <c r="G133" i="5"/>
  <c r="F133" i="5"/>
  <c r="J132" i="5"/>
  <c r="G132" i="5"/>
  <c r="F132" i="5"/>
  <c r="F130" i="5"/>
  <c r="D130" i="5"/>
  <c r="I130" i="5"/>
  <c r="C130" i="5"/>
  <c r="B130" i="5"/>
  <c r="A130" i="5"/>
  <c r="Z129" i="5"/>
  <c r="Y129" i="5"/>
  <c r="X129" i="5"/>
  <c r="J128" i="5"/>
  <c r="Z128" i="5"/>
  <c r="Y128" i="5"/>
  <c r="X128" i="5"/>
  <c r="F128" i="5"/>
  <c r="D128" i="5"/>
  <c r="C128" i="5"/>
  <c r="B128" i="5"/>
  <c r="A128" i="5"/>
  <c r="J127" i="5"/>
  <c r="Z127" i="5"/>
  <c r="Y127" i="5"/>
  <c r="X127" i="5"/>
  <c r="F127" i="5"/>
  <c r="D127" i="5"/>
  <c r="C127" i="5"/>
  <c r="B127" i="5"/>
  <c r="A127" i="5"/>
  <c r="J126" i="5"/>
  <c r="Z126" i="5"/>
  <c r="Y126" i="5"/>
  <c r="X126" i="5"/>
  <c r="F126" i="5"/>
  <c r="D126" i="5"/>
  <c r="C126" i="5"/>
  <c r="B126" i="5"/>
  <c r="A126" i="5"/>
  <c r="J125" i="5"/>
  <c r="Z125" i="5"/>
  <c r="Y125" i="5"/>
  <c r="X125" i="5"/>
  <c r="F125" i="5"/>
  <c r="D125" i="5"/>
  <c r="C125" i="5"/>
  <c r="B125" i="5"/>
  <c r="A125" i="5"/>
  <c r="J124" i="5"/>
  <c r="Z124" i="5"/>
  <c r="Y124" i="5"/>
  <c r="X124" i="5"/>
  <c r="F124" i="5"/>
  <c r="D124" i="5"/>
  <c r="C124" i="5"/>
  <c r="B124" i="5"/>
  <c r="A124" i="5"/>
  <c r="J123" i="5"/>
  <c r="Z123" i="5"/>
  <c r="Y123" i="5"/>
  <c r="X123" i="5"/>
  <c r="F123" i="5"/>
  <c r="D123" i="5"/>
  <c r="C123" i="5"/>
  <c r="B123" i="5"/>
  <c r="A123" i="5"/>
  <c r="J122" i="5"/>
  <c r="Z122" i="5"/>
  <c r="Y122" i="5"/>
  <c r="X122" i="5"/>
  <c r="F122" i="5"/>
  <c r="D122" i="5"/>
  <c r="C122" i="5"/>
  <c r="B122" i="5"/>
  <c r="A122" i="5"/>
  <c r="J121" i="5"/>
  <c r="Z121" i="5"/>
  <c r="Y121" i="5"/>
  <c r="X121" i="5"/>
  <c r="F121" i="5"/>
  <c r="D121" i="5"/>
  <c r="C121" i="5"/>
  <c r="B121" i="5"/>
  <c r="A121" i="5"/>
  <c r="J120" i="5"/>
  <c r="Z120" i="5"/>
  <c r="Y120" i="5"/>
  <c r="X120" i="5"/>
  <c r="F120" i="5"/>
  <c r="D120" i="5"/>
  <c r="C120" i="5"/>
  <c r="B120" i="5"/>
  <c r="A120" i="5"/>
  <c r="J119" i="5"/>
  <c r="Z119" i="5"/>
  <c r="Y119" i="5"/>
  <c r="X119" i="5"/>
  <c r="F119" i="5"/>
  <c r="D119" i="5"/>
  <c r="C119" i="5"/>
  <c r="B119" i="5"/>
  <c r="A119" i="5"/>
  <c r="J118" i="5"/>
  <c r="Z118" i="5"/>
  <c r="Y118" i="5"/>
  <c r="X118" i="5"/>
  <c r="F118" i="5"/>
  <c r="D118" i="5"/>
  <c r="C118" i="5"/>
  <c r="B118" i="5"/>
  <c r="A118" i="5"/>
  <c r="J117" i="5"/>
  <c r="Z117" i="5"/>
  <c r="Y117" i="5"/>
  <c r="X117" i="5"/>
  <c r="F117" i="5"/>
  <c r="D117" i="5"/>
  <c r="C117" i="5"/>
  <c r="B117" i="5"/>
  <c r="A117" i="5"/>
  <c r="G116" i="5"/>
  <c r="E116" i="5"/>
  <c r="J115" i="5"/>
  <c r="F115" i="5"/>
  <c r="E115" i="5"/>
  <c r="J114" i="5"/>
  <c r="F114" i="5"/>
  <c r="E114" i="5"/>
  <c r="J113" i="5"/>
  <c r="G113" i="5"/>
  <c r="F113" i="5"/>
  <c r="J112" i="5"/>
  <c r="G112" i="5"/>
  <c r="F112" i="5"/>
  <c r="J111" i="5"/>
  <c r="G111" i="5"/>
  <c r="F111" i="5"/>
  <c r="J110" i="5"/>
  <c r="G110" i="5"/>
  <c r="F110" i="5"/>
  <c r="F109" i="5"/>
  <c r="E109" i="5"/>
  <c r="D109" i="5"/>
  <c r="I109" i="5"/>
  <c r="C109" i="5"/>
  <c r="B109" i="5"/>
  <c r="A109" i="5"/>
  <c r="Z108" i="5"/>
  <c r="Y108" i="5"/>
  <c r="X108" i="5"/>
  <c r="J107" i="5"/>
  <c r="Z107" i="5"/>
  <c r="Y107" i="5"/>
  <c r="X107" i="5"/>
  <c r="F107" i="5"/>
  <c r="D107" i="5"/>
  <c r="C107" i="5"/>
  <c r="B107" i="5"/>
  <c r="A107" i="5"/>
  <c r="J106" i="5"/>
  <c r="Z106" i="5"/>
  <c r="Y106" i="5"/>
  <c r="X106" i="5"/>
  <c r="F106" i="5"/>
  <c r="D106" i="5"/>
  <c r="C106" i="5"/>
  <c r="B106" i="5"/>
  <c r="A106" i="5"/>
  <c r="J105" i="5"/>
  <c r="Z105" i="5"/>
  <c r="Y105" i="5"/>
  <c r="X105" i="5"/>
  <c r="F105" i="5"/>
  <c r="D105" i="5"/>
  <c r="C105" i="5"/>
  <c r="B105" i="5"/>
  <c r="A105" i="5"/>
  <c r="J104" i="5"/>
  <c r="Z104" i="5"/>
  <c r="Y104" i="5"/>
  <c r="X104" i="5"/>
  <c r="F104" i="5"/>
  <c r="D104" i="5"/>
  <c r="C104" i="5"/>
  <c r="B104" i="5"/>
  <c r="A104" i="5"/>
  <c r="G103" i="5"/>
  <c r="E103" i="5"/>
  <c r="J102" i="5"/>
  <c r="F102" i="5"/>
  <c r="E102" i="5"/>
  <c r="J101" i="5"/>
  <c r="F101" i="5"/>
  <c r="E101" i="5"/>
  <c r="J100" i="5"/>
  <c r="G100" i="5"/>
  <c r="F100" i="5"/>
  <c r="J99" i="5"/>
  <c r="G99" i="5"/>
  <c r="F99" i="5"/>
  <c r="J98" i="5"/>
  <c r="G98" i="5"/>
  <c r="F98" i="5"/>
  <c r="J97" i="5"/>
  <c r="G97" i="5"/>
  <c r="F97" i="5"/>
  <c r="F96" i="5"/>
  <c r="E96" i="5"/>
  <c r="D96" i="5"/>
  <c r="I96" i="5"/>
  <c r="C96" i="5"/>
  <c r="B96" i="5"/>
  <c r="A96" i="5"/>
  <c r="Z95" i="5"/>
  <c r="Y95" i="5"/>
  <c r="X95" i="5"/>
  <c r="G94" i="5"/>
  <c r="E94" i="5"/>
  <c r="J93" i="5"/>
  <c r="F93" i="5"/>
  <c r="E93" i="5"/>
  <c r="J92" i="5"/>
  <c r="F92" i="5"/>
  <c r="E92" i="5"/>
  <c r="J91" i="5"/>
  <c r="G91" i="5"/>
  <c r="F91" i="5"/>
  <c r="J90" i="5"/>
  <c r="G90" i="5"/>
  <c r="F90" i="5"/>
  <c r="J89" i="5"/>
  <c r="G89" i="5"/>
  <c r="F89" i="5"/>
  <c r="J88" i="5"/>
  <c r="G88" i="5"/>
  <c r="F88" i="5"/>
  <c r="F87" i="5"/>
  <c r="E87" i="5"/>
  <c r="D87" i="5"/>
  <c r="I87" i="5"/>
  <c r="C87" i="5"/>
  <c r="B87" i="5"/>
  <c r="A87" i="5"/>
  <c r="Z86" i="5"/>
  <c r="Y86" i="5"/>
  <c r="X86" i="5"/>
  <c r="G85" i="5"/>
  <c r="E85" i="5"/>
  <c r="J84" i="5"/>
  <c r="F84" i="5"/>
  <c r="E84" i="5"/>
  <c r="J83" i="5"/>
  <c r="F83" i="5"/>
  <c r="E83" i="5"/>
  <c r="J82" i="5"/>
  <c r="G82" i="5"/>
  <c r="F82" i="5"/>
  <c r="J81" i="5"/>
  <c r="G81" i="5"/>
  <c r="F81" i="5"/>
  <c r="J80" i="5"/>
  <c r="G80" i="5"/>
  <c r="F80" i="5"/>
  <c r="J79" i="5"/>
  <c r="G79" i="5"/>
  <c r="F79" i="5"/>
  <c r="F78" i="5"/>
  <c r="E78" i="5"/>
  <c r="D78" i="5"/>
  <c r="I78" i="5"/>
  <c r="C78" i="5"/>
  <c r="B78" i="5"/>
  <c r="A78" i="5"/>
  <c r="Z77" i="5"/>
  <c r="Y77" i="5"/>
  <c r="X77" i="5"/>
  <c r="G76" i="5"/>
  <c r="E76" i="5"/>
  <c r="J75" i="5"/>
  <c r="F75" i="5"/>
  <c r="E75" i="5"/>
  <c r="J74" i="5"/>
  <c r="F74" i="5"/>
  <c r="E74" i="5"/>
  <c r="J73" i="5"/>
  <c r="G73" i="5"/>
  <c r="F73" i="5"/>
  <c r="J72" i="5"/>
  <c r="G72" i="5"/>
  <c r="F72" i="5"/>
  <c r="J71" i="5"/>
  <c r="G71" i="5"/>
  <c r="F71" i="5"/>
  <c r="J70" i="5"/>
  <c r="G70" i="5"/>
  <c r="F70" i="5"/>
  <c r="F69" i="5"/>
  <c r="E69" i="5"/>
  <c r="D69" i="5"/>
  <c r="I69" i="5"/>
  <c r="C69" i="5"/>
  <c r="B69" i="5"/>
  <c r="A69" i="5"/>
  <c r="Z68" i="5"/>
  <c r="Y68" i="5"/>
  <c r="X68" i="5"/>
  <c r="J67" i="5"/>
  <c r="Z67" i="5"/>
  <c r="Y67" i="5"/>
  <c r="X67" i="5"/>
  <c r="F67" i="5"/>
  <c r="D67" i="5"/>
  <c r="C67" i="5"/>
  <c r="B67" i="5"/>
  <c r="A67" i="5"/>
  <c r="J66" i="5"/>
  <c r="Z66" i="5"/>
  <c r="Y66" i="5"/>
  <c r="X66" i="5"/>
  <c r="F66" i="5"/>
  <c r="D66" i="5"/>
  <c r="C66" i="5"/>
  <c r="B66" i="5"/>
  <c r="A66" i="5"/>
  <c r="G65" i="5"/>
  <c r="E65" i="5"/>
  <c r="J64" i="5"/>
  <c r="E64" i="5"/>
  <c r="J63" i="5"/>
  <c r="E63" i="5"/>
  <c r="J62" i="5"/>
  <c r="G62" i="5"/>
  <c r="F62" i="5"/>
  <c r="J61" i="5"/>
  <c r="G61" i="5"/>
  <c r="F61" i="5"/>
  <c r="J60" i="5"/>
  <c r="G60" i="5"/>
  <c r="F60" i="5"/>
  <c r="F59" i="5"/>
  <c r="E59" i="5"/>
  <c r="D59" i="5"/>
  <c r="I59" i="5"/>
  <c r="C59" i="5"/>
  <c r="B59" i="5"/>
  <c r="A59" i="5"/>
  <c r="Z58" i="5"/>
  <c r="Y58" i="5"/>
  <c r="X58" i="5"/>
  <c r="G57" i="5"/>
  <c r="E57" i="5"/>
  <c r="J56" i="5"/>
  <c r="F56" i="5"/>
  <c r="E56" i="5"/>
  <c r="J55" i="5"/>
  <c r="F55" i="5"/>
  <c r="E55" i="5"/>
  <c r="J54" i="5"/>
  <c r="G54" i="5"/>
  <c r="F54" i="5"/>
  <c r="F53" i="5"/>
  <c r="E53" i="5"/>
  <c r="D53" i="5"/>
  <c r="I53" i="5"/>
  <c r="C53" i="5"/>
  <c r="B53" i="5"/>
  <c r="A53" i="5"/>
  <c r="Z52" i="5"/>
  <c r="Y52" i="5"/>
  <c r="X52" i="5"/>
  <c r="J51" i="5"/>
  <c r="Z51" i="5"/>
  <c r="Y51" i="5"/>
  <c r="X51" i="5"/>
  <c r="F51" i="5"/>
  <c r="D51" i="5"/>
  <c r="C51" i="5"/>
  <c r="B51" i="5"/>
  <c r="A51" i="5"/>
  <c r="G50" i="5"/>
  <c r="E50" i="5"/>
  <c r="J49" i="5"/>
  <c r="E49" i="5"/>
  <c r="J48" i="5"/>
  <c r="E48" i="5"/>
  <c r="J47" i="5"/>
  <c r="G47" i="5"/>
  <c r="F47" i="5"/>
  <c r="J46" i="5"/>
  <c r="G46" i="5"/>
  <c r="F46" i="5"/>
  <c r="J45" i="5"/>
  <c r="G45" i="5"/>
  <c r="F45" i="5"/>
  <c r="J44" i="5"/>
  <c r="G44" i="5"/>
  <c r="F44" i="5"/>
  <c r="F43" i="5"/>
  <c r="E43" i="5"/>
  <c r="D43" i="5"/>
  <c r="I43" i="5"/>
  <c r="C43" i="5"/>
  <c r="B43" i="5"/>
  <c r="A43" i="5"/>
  <c r="Z42" i="5"/>
  <c r="Y42" i="5"/>
  <c r="X42" i="5"/>
  <c r="G41" i="5"/>
  <c r="E41" i="5"/>
  <c r="J40" i="5"/>
  <c r="E40" i="5"/>
  <c r="J39" i="5"/>
  <c r="E39" i="5"/>
  <c r="J38" i="5"/>
  <c r="G38" i="5"/>
  <c r="F38" i="5"/>
  <c r="J37" i="5"/>
  <c r="G37" i="5"/>
  <c r="F37" i="5"/>
  <c r="J36" i="5"/>
  <c r="G36" i="5"/>
  <c r="F36" i="5"/>
  <c r="F35" i="5"/>
  <c r="E35" i="5"/>
  <c r="D35" i="5"/>
  <c r="I35" i="5"/>
  <c r="C35" i="5"/>
  <c r="B35" i="5"/>
  <c r="A35" i="5"/>
  <c r="Z34" i="5"/>
  <c r="Y34" i="5"/>
  <c r="X34" i="5"/>
  <c r="G33" i="5"/>
  <c r="E33" i="5"/>
  <c r="J32" i="5"/>
  <c r="E32" i="5"/>
  <c r="J31" i="5"/>
  <c r="E31" i="5"/>
  <c r="J30" i="5"/>
  <c r="G30" i="5"/>
  <c r="F30" i="5"/>
  <c r="F29" i="5"/>
  <c r="E29" i="5"/>
  <c r="D29" i="5"/>
  <c r="I29" i="5"/>
  <c r="C29" i="5"/>
  <c r="B29" i="5"/>
  <c r="A29" i="5"/>
  <c r="A28" i="5"/>
  <c r="B10" i="5"/>
  <c r="B8" i="5"/>
  <c r="A1" i="5"/>
  <c r="G19" i="5" l="1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1" i="3"/>
  <c r="CX1" i="3"/>
  <c r="CY1" i="3"/>
  <c r="CZ1" i="3"/>
  <c r="DA1" i="3"/>
  <c r="A2" i="3"/>
  <c r="CX2" i="3"/>
  <c r="CY2" i="3"/>
  <c r="CZ2" i="3"/>
  <c r="DA2" i="3"/>
  <c r="A3" i="3"/>
  <c r="CX3" i="3"/>
  <c r="CY3" i="3"/>
  <c r="CZ3" i="3"/>
  <c r="DA3" i="3"/>
  <c r="A4" i="3"/>
  <c r="CX4" i="3"/>
  <c r="CY4" i="3"/>
  <c r="CZ4" i="3"/>
  <c r="DA4" i="3"/>
  <c r="A5" i="3"/>
  <c r="CX5" i="3"/>
  <c r="CY5" i="3"/>
  <c r="CZ5" i="3"/>
  <c r="DA5" i="3"/>
  <c r="A6" i="3"/>
  <c r="CX6" i="3"/>
  <c r="CY6" i="3"/>
  <c r="CZ6" i="3"/>
  <c r="DA6" i="3"/>
  <c r="A7" i="3"/>
  <c r="CX7" i="3"/>
  <c r="CY7" i="3"/>
  <c r="CZ7" i="3"/>
  <c r="DA7" i="3"/>
  <c r="A8" i="3"/>
  <c r="CX8" i="3"/>
  <c r="CY8" i="3"/>
  <c r="CZ8" i="3"/>
  <c r="DA8" i="3"/>
  <c r="A9" i="3"/>
  <c r="CX9" i="3"/>
  <c r="CY9" i="3"/>
  <c r="CZ9" i="3"/>
  <c r="DA9" i="3"/>
  <c r="A10" i="3"/>
  <c r="CX10" i="3"/>
  <c r="CY10" i="3"/>
  <c r="CZ10" i="3"/>
  <c r="DA10" i="3"/>
  <c r="A11" i="3"/>
  <c r="CX11" i="3"/>
  <c r="CY11" i="3"/>
  <c r="CZ11" i="3"/>
  <c r="DA11" i="3"/>
  <c r="A12" i="3"/>
  <c r="CX12" i="3"/>
  <c r="CY12" i="3"/>
  <c r="CZ12" i="3"/>
  <c r="DA12" i="3"/>
  <c r="A13" i="3"/>
  <c r="CX13" i="3"/>
  <c r="CY13" i="3"/>
  <c r="CZ13" i="3"/>
  <c r="DA13" i="3"/>
  <c r="A14" i="3"/>
  <c r="CX14" i="3"/>
  <c r="CY14" i="3"/>
  <c r="CZ14" i="3"/>
  <c r="DA14" i="3"/>
  <c r="A15" i="3"/>
  <c r="CX15" i="3"/>
  <c r="CY15" i="3"/>
  <c r="CZ15" i="3"/>
  <c r="DA15" i="3"/>
  <c r="A16" i="3"/>
  <c r="CX16" i="3"/>
  <c r="CY16" i="3"/>
  <c r="CZ16" i="3"/>
  <c r="DA16" i="3"/>
  <c r="A17" i="3"/>
  <c r="CX17" i="3"/>
  <c r="CY17" i="3"/>
  <c r="CZ17" i="3"/>
  <c r="DA17" i="3"/>
  <c r="A18" i="3"/>
  <c r="CX18" i="3"/>
  <c r="CY18" i="3"/>
  <c r="CZ18" i="3"/>
  <c r="DA18" i="3"/>
  <c r="A19" i="3"/>
  <c r="CX19" i="3"/>
  <c r="CY19" i="3"/>
  <c r="CZ19" i="3"/>
  <c r="DA19" i="3"/>
  <c r="A20" i="3"/>
  <c r="CX20" i="3"/>
  <c r="CY20" i="3"/>
  <c r="CZ20" i="3"/>
  <c r="DA20" i="3"/>
  <c r="A21" i="3"/>
  <c r="CX21" i="3"/>
  <c r="CY21" i="3"/>
  <c r="CZ21" i="3"/>
  <c r="DA21" i="3"/>
  <c r="A22" i="3"/>
  <c r="CX22" i="3"/>
  <c r="CY22" i="3"/>
  <c r="CZ22" i="3"/>
  <c r="DA22" i="3"/>
  <c r="A23" i="3"/>
  <c r="CX23" i="3"/>
  <c r="CY23" i="3"/>
  <c r="CZ23" i="3"/>
  <c r="DA23" i="3"/>
  <c r="A24" i="3"/>
  <c r="CX24" i="3"/>
  <c r="CY24" i="3"/>
  <c r="CZ24" i="3"/>
  <c r="DA24" i="3"/>
  <c r="A25" i="3"/>
  <c r="CX25" i="3"/>
  <c r="CY25" i="3"/>
  <c r="CZ25" i="3"/>
  <c r="DA25" i="3"/>
  <c r="A26" i="3"/>
  <c r="CX26" i="3"/>
  <c r="CY26" i="3"/>
  <c r="CZ26" i="3"/>
  <c r="DA26" i="3"/>
  <c r="A27" i="3"/>
  <c r="CX27" i="3"/>
  <c r="CY27" i="3"/>
  <c r="CZ27" i="3"/>
  <c r="DA27" i="3"/>
  <c r="A28" i="3"/>
  <c r="CX28" i="3"/>
  <c r="CY28" i="3"/>
  <c r="CZ28" i="3"/>
  <c r="DA28" i="3"/>
  <c r="A29" i="3"/>
  <c r="CX29" i="3"/>
  <c r="CY29" i="3"/>
  <c r="CZ29" i="3"/>
  <c r="DA29" i="3"/>
  <c r="A30" i="3"/>
  <c r="CX30" i="3"/>
  <c r="CY30" i="3"/>
  <c r="CZ30" i="3"/>
  <c r="DA30" i="3"/>
  <c r="A31" i="3"/>
  <c r="CX31" i="3"/>
  <c r="CY31" i="3"/>
  <c r="CZ31" i="3"/>
  <c r="DA31" i="3"/>
  <c r="A32" i="3"/>
  <c r="CX32" i="3"/>
  <c r="CY32" i="3"/>
  <c r="CZ32" i="3"/>
  <c r="DA32" i="3"/>
  <c r="A33" i="3"/>
  <c r="CX33" i="3"/>
  <c r="CY33" i="3"/>
  <c r="CZ33" i="3"/>
  <c r="DA33" i="3"/>
  <c r="A34" i="3"/>
  <c r="CX34" i="3"/>
  <c r="CY34" i="3"/>
  <c r="CZ34" i="3"/>
  <c r="DA34" i="3"/>
  <c r="A35" i="3"/>
  <c r="CX35" i="3"/>
  <c r="CY35" i="3"/>
  <c r="CZ35" i="3"/>
  <c r="DA35" i="3"/>
  <c r="A36" i="3"/>
  <c r="CX36" i="3"/>
  <c r="CY36" i="3"/>
  <c r="CZ36" i="3"/>
  <c r="DA36" i="3"/>
  <c r="A37" i="3"/>
  <c r="CX37" i="3"/>
  <c r="CY37" i="3"/>
  <c r="CZ37" i="3"/>
  <c r="DA37" i="3"/>
  <c r="A38" i="3"/>
  <c r="CX38" i="3"/>
  <c r="CY38" i="3"/>
  <c r="CZ38" i="3"/>
  <c r="DA38" i="3"/>
  <c r="A39" i="3"/>
  <c r="CX39" i="3"/>
  <c r="CY39" i="3"/>
  <c r="CZ39" i="3"/>
  <c r="DA39" i="3"/>
  <c r="A40" i="3"/>
  <c r="CX40" i="3"/>
  <c r="CY40" i="3"/>
  <c r="CZ40" i="3"/>
  <c r="DA40" i="3"/>
  <c r="A41" i="3"/>
  <c r="CX41" i="3"/>
  <c r="CY41" i="3"/>
  <c r="CZ41" i="3"/>
  <c r="DA41" i="3"/>
  <c r="A42" i="3"/>
  <c r="CX42" i="3"/>
  <c r="CY42" i="3"/>
  <c r="CZ42" i="3"/>
  <c r="DA42" i="3"/>
  <c r="A43" i="3"/>
  <c r="CX43" i="3"/>
  <c r="CY43" i="3"/>
  <c r="CZ43" i="3"/>
  <c r="DA43" i="3"/>
  <c r="A44" i="3"/>
  <c r="CX44" i="3"/>
  <c r="CY44" i="3"/>
  <c r="CZ44" i="3"/>
  <c r="DA44" i="3"/>
  <c r="A45" i="3"/>
  <c r="CX45" i="3"/>
  <c r="CY45" i="3"/>
  <c r="CZ45" i="3"/>
  <c r="DA45" i="3"/>
  <c r="A46" i="3"/>
  <c r="CX46" i="3"/>
  <c r="CY46" i="3"/>
  <c r="CZ46" i="3"/>
  <c r="DA46" i="3"/>
  <c r="A47" i="3"/>
  <c r="CX47" i="3"/>
  <c r="CY47" i="3"/>
  <c r="CZ47" i="3"/>
  <c r="DA47" i="3"/>
  <c r="A48" i="3"/>
  <c r="CX48" i="3"/>
  <c r="CY48" i="3"/>
  <c r="CZ48" i="3"/>
  <c r="DA48" i="3"/>
  <c r="A49" i="3"/>
  <c r="CX49" i="3"/>
  <c r="CY49" i="3"/>
  <c r="CZ49" i="3"/>
  <c r="DA49" i="3"/>
  <c r="A50" i="3"/>
  <c r="CX50" i="3"/>
  <c r="CY50" i="3"/>
  <c r="CZ50" i="3"/>
  <c r="DA50" i="3"/>
  <c r="A51" i="3"/>
  <c r="CX51" i="3"/>
  <c r="CY51" i="3"/>
  <c r="CZ51" i="3"/>
  <c r="DA51" i="3"/>
  <c r="A52" i="3"/>
  <c r="CX52" i="3"/>
  <c r="CY52" i="3"/>
  <c r="CZ52" i="3"/>
  <c r="DA52" i="3"/>
  <c r="A53" i="3"/>
  <c r="CX53" i="3"/>
  <c r="CY53" i="3"/>
  <c r="CZ53" i="3"/>
  <c r="DA53" i="3"/>
  <c r="A54" i="3"/>
  <c r="CX54" i="3"/>
  <c r="CY54" i="3"/>
  <c r="CZ54" i="3"/>
  <c r="DA54" i="3"/>
  <c r="A55" i="3"/>
  <c r="CX55" i="3"/>
  <c r="CY55" i="3"/>
  <c r="CZ55" i="3"/>
  <c r="DA55" i="3"/>
  <c r="A56" i="3"/>
  <c r="CX56" i="3"/>
  <c r="CY56" i="3"/>
  <c r="CZ56" i="3"/>
  <c r="DA56" i="3"/>
  <c r="A57" i="3"/>
  <c r="CX57" i="3"/>
  <c r="CY57" i="3"/>
  <c r="CZ57" i="3"/>
  <c r="DA57" i="3"/>
  <c r="A58" i="3"/>
  <c r="CX58" i="3"/>
  <c r="CY58" i="3"/>
  <c r="CZ58" i="3"/>
  <c r="DA58" i="3"/>
  <c r="A59" i="3"/>
  <c r="CX59" i="3"/>
  <c r="CY59" i="3"/>
  <c r="CZ59" i="3"/>
  <c r="DA59" i="3"/>
  <c r="A60" i="3"/>
  <c r="CX60" i="3"/>
  <c r="CY60" i="3"/>
  <c r="CZ60" i="3"/>
  <c r="DA60" i="3"/>
  <c r="A61" i="3"/>
  <c r="CX61" i="3"/>
  <c r="CY61" i="3"/>
  <c r="CZ61" i="3"/>
  <c r="DA61" i="3"/>
  <c r="A62" i="3"/>
  <c r="CX62" i="3"/>
  <c r="CY62" i="3"/>
  <c r="CZ62" i="3"/>
  <c r="DA62" i="3"/>
  <c r="A63" i="3"/>
  <c r="CX63" i="3"/>
  <c r="CY63" i="3"/>
  <c r="CZ63" i="3"/>
  <c r="DA63" i="3"/>
  <c r="A64" i="3"/>
  <c r="CX64" i="3"/>
  <c r="CY64" i="3"/>
  <c r="CZ64" i="3"/>
  <c r="DA64" i="3"/>
  <c r="A65" i="3"/>
  <c r="CX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X71" i="3"/>
  <c r="CY71" i="3"/>
  <c r="CZ71" i="3"/>
  <c r="DA71" i="3"/>
  <c r="A72" i="3"/>
  <c r="CX72" i="3"/>
  <c r="CY72" i="3"/>
  <c r="CZ72" i="3"/>
  <c r="DA72" i="3"/>
  <c r="A73" i="3"/>
  <c r="CX73" i="3"/>
  <c r="CY73" i="3"/>
  <c r="CZ73" i="3"/>
  <c r="DA73" i="3"/>
  <c r="A74" i="3"/>
  <c r="CX74" i="3"/>
  <c r="CY74" i="3"/>
  <c r="CZ74" i="3"/>
  <c r="DA74" i="3"/>
  <c r="A75" i="3"/>
  <c r="CX75" i="3"/>
  <c r="CY75" i="3"/>
  <c r="CZ75" i="3"/>
  <c r="DA75" i="3"/>
  <c r="A76" i="3"/>
  <c r="CX76" i="3"/>
  <c r="CY76" i="3"/>
  <c r="CZ76" i="3"/>
  <c r="DA76" i="3"/>
  <c r="A77" i="3"/>
  <c r="CX77" i="3"/>
  <c r="CY77" i="3"/>
  <c r="CZ77" i="3"/>
  <c r="DA77" i="3"/>
  <c r="A78" i="3"/>
  <c r="CX78" i="3"/>
  <c r="CY78" i="3"/>
  <c r="CZ78" i="3"/>
  <c r="DA78" i="3"/>
  <c r="A79" i="3"/>
  <c r="CX79" i="3"/>
  <c r="CY79" i="3"/>
  <c r="CZ79" i="3"/>
  <c r="DA79" i="3"/>
  <c r="A80" i="3"/>
  <c r="CX80" i="3"/>
  <c r="CY80" i="3"/>
  <c r="CZ80" i="3"/>
  <c r="DA80" i="3"/>
  <c r="A81" i="3"/>
  <c r="CX81" i="3"/>
  <c r="CY81" i="3"/>
  <c r="CZ81" i="3"/>
  <c r="DA81" i="3"/>
  <c r="A82" i="3"/>
  <c r="CX82" i="3"/>
  <c r="CY82" i="3"/>
  <c r="CZ82" i="3"/>
  <c r="DA82" i="3"/>
  <c r="A83" i="3"/>
  <c r="CX83" i="3"/>
  <c r="CY83" i="3"/>
  <c r="CZ83" i="3"/>
  <c r="DA83" i="3"/>
  <c r="A84" i="3"/>
  <c r="CX84" i="3"/>
  <c r="CY84" i="3"/>
  <c r="CZ84" i="3"/>
  <c r="DA84" i="3"/>
  <c r="A85" i="3"/>
  <c r="CX85" i="3"/>
  <c r="CY85" i="3"/>
  <c r="CZ85" i="3"/>
  <c r="DA85" i="3"/>
  <c r="A86" i="3"/>
  <c r="CX86" i="3"/>
  <c r="CY86" i="3"/>
  <c r="CZ86" i="3"/>
  <c r="DA86" i="3"/>
  <c r="A87" i="3"/>
  <c r="CX87" i="3"/>
  <c r="CY87" i="3"/>
  <c r="CZ87" i="3"/>
  <c r="DA87" i="3"/>
  <c r="A88" i="3"/>
  <c r="CX88" i="3"/>
  <c r="CY88" i="3"/>
  <c r="CZ88" i="3"/>
  <c r="DA88" i="3"/>
  <c r="A89" i="3"/>
  <c r="CX89" i="3"/>
  <c r="CY89" i="3"/>
  <c r="CZ89" i="3"/>
  <c r="DA89" i="3"/>
  <c r="A90" i="3"/>
  <c r="CX90" i="3"/>
  <c r="CY90" i="3"/>
  <c r="CZ90" i="3"/>
  <c r="DA90" i="3"/>
  <c r="A91" i="3"/>
  <c r="CX91" i="3"/>
  <c r="CY91" i="3"/>
  <c r="CZ91" i="3"/>
  <c r="DA91" i="3"/>
  <c r="A92" i="3"/>
  <c r="CX92" i="3"/>
  <c r="CY92" i="3"/>
  <c r="CZ92" i="3"/>
  <c r="DA92" i="3"/>
  <c r="A93" i="3"/>
  <c r="CX93" i="3"/>
  <c r="CY93" i="3"/>
  <c r="CZ93" i="3"/>
  <c r="DA93" i="3"/>
  <c r="A94" i="3"/>
  <c r="CX94" i="3"/>
  <c r="CY94" i="3"/>
  <c r="CZ94" i="3"/>
  <c r="DA94" i="3"/>
  <c r="A95" i="3"/>
  <c r="CX95" i="3"/>
  <c r="CY95" i="3"/>
  <c r="CZ95" i="3"/>
  <c r="DA95" i="3"/>
  <c r="A96" i="3"/>
  <c r="CX96" i="3"/>
  <c r="CY96" i="3"/>
  <c r="CZ96" i="3"/>
  <c r="DA96" i="3"/>
  <c r="A97" i="3"/>
  <c r="CX97" i="3"/>
  <c r="CY97" i="3"/>
  <c r="CZ97" i="3"/>
  <c r="DA97" i="3"/>
  <c r="A98" i="3"/>
  <c r="CX98" i="3"/>
  <c r="CY98" i="3"/>
  <c r="CZ98" i="3"/>
  <c r="DA98" i="3"/>
  <c r="A99" i="3"/>
  <c r="CX99" i="3"/>
  <c r="CY99" i="3"/>
  <c r="CZ99" i="3"/>
  <c r="DA99" i="3"/>
  <c r="A100" i="3"/>
  <c r="CX100" i="3"/>
  <c r="CY100" i="3"/>
  <c r="CZ100" i="3"/>
  <c r="DA100" i="3"/>
  <c r="A101" i="3"/>
  <c r="CX101" i="3"/>
  <c r="CY101" i="3"/>
  <c r="CZ101" i="3"/>
  <c r="DA101" i="3"/>
  <c r="A102" i="3"/>
  <c r="CX102" i="3"/>
  <c r="CY102" i="3"/>
  <c r="CZ102" i="3"/>
  <c r="DA102" i="3"/>
  <c r="A103" i="3"/>
  <c r="CX103" i="3"/>
  <c r="CY103" i="3"/>
  <c r="CZ103" i="3"/>
  <c r="DA103" i="3"/>
  <c r="A104" i="3"/>
  <c r="CX104" i="3"/>
  <c r="CY104" i="3"/>
  <c r="CZ104" i="3"/>
  <c r="DA104" i="3"/>
  <c r="A105" i="3"/>
  <c r="CX105" i="3"/>
  <c r="CY105" i="3"/>
  <c r="CZ105" i="3"/>
  <c r="DA105" i="3"/>
  <c r="A106" i="3"/>
  <c r="CY106" i="3"/>
  <c r="CZ106" i="3"/>
  <c r="DA106" i="3"/>
  <c r="A107" i="3"/>
  <c r="CY107" i="3"/>
  <c r="CZ107" i="3"/>
  <c r="DA107" i="3"/>
  <c r="A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Y111" i="3"/>
  <c r="CZ111" i="3"/>
  <c r="DA111" i="3"/>
  <c r="A112" i="3"/>
  <c r="CY112" i="3"/>
  <c r="CZ112" i="3"/>
  <c r="DA112" i="3"/>
  <c r="A113" i="3"/>
  <c r="CY113" i="3"/>
  <c r="CZ113" i="3"/>
  <c r="DA113" i="3"/>
  <c r="A114" i="3"/>
  <c r="CY114" i="3"/>
  <c r="CZ114" i="3"/>
  <c r="DA114" i="3"/>
  <c r="A115" i="3"/>
  <c r="CY115" i="3"/>
  <c r="CZ115" i="3"/>
  <c r="DA115" i="3"/>
  <c r="A116" i="3"/>
  <c r="CY116" i="3"/>
  <c r="CZ116" i="3"/>
  <c r="DA116" i="3"/>
  <c r="A117" i="3"/>
  <c r="CY117" i="3"/>
  <c r="CZ117" i="3"/>
  <c r="DA117" i="3"/>
  <c r="A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X129" i="3"/>
  <c r="CY129" i="3"/>
  <c r="CZ129" i="3"/>
  <c r="DA129" i="3"/>
  <c r="A130" i="3"/>
  <c r="CX130" i="3"/>
  <c r="CY130" i="3"/>
  <c r="CZ130" i="3"/>
  <c r="DA130" i="3"/>
  <c r="A131" i="3"/>
  <c r="CX131" i="3"/>
  <c r="CY131" i="3"/>
  <c r="CZ131" i="3"/>
  <c r="DA131" i="3"/>
  <c r="A132" i="3"/>
  <c r="CX132" i="3"/>
  <c r="CY132" i="3"/>
  <c r="CZ132" i="3"/>
  <c r="DA132" i="3"/>
  <c r="A133" i="3"/>
  <c r="CX133" i="3"/>
  <c r="CY133" i="3"/>
  <c r="CZ133" i="3"/>
  <c r="DA133" i="3"/>
  <c r="A134" i="3"/>
  <c r="CX134" i="3"/>
  <c r="CY134" i="3"/>
  <c r="CZ134" i="3"/>
  <c r="DA134" i="3"/>
  <c r="A135" i="3"/>
  <c r="CX135" i="3"/>
  <c r="CY135" i="3"/>
  <c r="CZ135" i="3"/>
  <c r="DA135" i="3"/>
  <c r="A136" i="3"/>
  <c r="CX136" i="3"/>
  <c r="CY136" i="3"/>
  <c r="CZ136" i="3"/>
  <c r="DA136" i="3"/>
  <c r="A137" i="3"/>
  <c r="CX137" i="3"/>
  <c r="CY137" i="3"/>
  <c r="CZ137" i="3"/>
  <c r="DA137" i="3"/>
  <c r="A138" i="3"/>
  <c r="CX138" i="3"/>
  <c r="CY138" i="3"/>
  <c r="CZ138" i="3"/>
  <c r="DA138" i="3"/>
  <c r="A139" i="3"/>
  <c r="CX139" i="3"/>
  <c r="CY139" i="3"/>
  <c r="CZ139" i="3"/>
  <c r="DA139" i="3"/>
  <c r="A140" i="3"/>
  <c r="CX140" i="3"/>
  <c r="CY140" i="3"/>
  <c r="CZ140" i="3"/>
  <c r="DA140" i="3"/>
  <c r="A141" i="3"/>
  <c r="CX141" i="3"/>
  <c r="CY141" i="3"/>
  <c r="CZ141" i="3"/>
  <c r="DA141" i="3"/>
  <c r="A142" i="3"/>
  <c r="CX142" i="3"/>
  <c r="CY142" i="3"/>
  <c r="CZ142" i="3"/>
  <c r="DA142" i="3"/>
  <c r="A143" i="3"/>
  <c r="CX143" i="3"/>
  <c r="CY143" i="3"/>
  <c r="CZ143" i="3"/>
  <c r="DA143" i="3"/>
  <c r="A144" i="3"/>
  <c r="CX144" i="3"/>
  <c r="CY144" i="3"/>
  <c r="CZ144" i="3"/>
  <c r="DA144" i="3"/>
  <c r="A145" i="3"/>
  <c r="CX145" i="3"/>
  <c r="CY145" i="3"/>
  <c r="CZ145" i="3"/>
  <c r="DA145" i="3"/>
  <c r="A146" i="3"/>
  <c r="CX146" i="3"/>
  <c r="CY146" i="3"/>
  <c r="CZ146" i="3"/>
  <c r="DA146" i="3"/>
  <c r="A147" i="3"/>
  <c r="CX147" i="3"/>
  <c r="CY147" i="3"/>
  <c r="CZ147" i="3"/>
  <c r="DA147" i="3"/>
  <c r="A148" i="3"/>
  <c r="CX148" i="3"/>
  <c r="CY148" i="3"/>
  <c r="CZ148" i="3"/>
  <c r="DA148" i="3"/>
  <c r="A149" i="3"/>
  <c r="CX149" i="3"/>
  <c r="CY149" i="3"/>
  <c r="CZ149" i="3"/>
  <c r="DA149" i="3"/>
  <c r="A150" i="3"/>
  <c r="CX150" i="3"/>
  <c r="CY150" i="3"/>
  <c r="CZ150" i="3"/>
  <c r="DA150" i="3"/>
  <c r="A151" i="3"/>
  <c r="CX151" i="3"/>
  <c r="CY151" i="3"/>
  <c r="CZ151" i="3"/>
  <c r="DA151" i="3"/>
  <c r="A152" i="3"/>
  <c r="CX152" i="3"/>
  <c r="CY152" i="3"/>
  <c r="CZ152" i="3"/>
  <c r="DA152" i="3"/>
  <c r="A153" i="3"/>
  <c r="CX153" i="3"/>
  <c r="CY153" i="3"/>
  <c r="CZ153" i="3"/>
  <c r="DA153" i="3"/>
  <c r="A154" i="3"/>
  <c r="CX154" i="3"/>
  <c r="CY154" i="3"/>
  <c r="CZ154" i="3"/>
  <c r="DA154" i="3"/>
  <c r="A155" i="3"/>
  <c r="CX155" i="3"/>
  <c r="CY155" i="3"/>
  <c r="CZ155" i="3"/>
  <c r="DA155" i="3"/>
  <c r="A156" i="3"/>
  <c r="CX156" i="3"/>
  <c r="CY156" i="3"/>
  <c r="CZ156" i="3"/>
  <c r="DA156" i="3"/>
  <c r="A157" i="3"/>
  <c r="CX157" i="3"/>
  <c r="CY157" i="3"/>
  <c r="CZ157" i="3"/>
  <c r="DA157" i="3"/>
  <c r="A158" i="3"/>
  <c r="CX158" i="3"/>
  <c r="CY158" i="3"/>
  <c r="CZ158" i="3"/>
  <c r="DA158" i="3"/>
  <c r="A159" i="3"/>
  <c r="CX159" i="3"/>
  <c r="CY159" i="3"/>
  <c r="CZ159" i="3"/>
  <c r="DA159" i="3"/>
  <c r="A160" i="3"/>
  <c r="CX160" i="3"/>
  <c r="CY160" i="3"/>
  <c r="CZ160" i="3"/>
  <c r="DA160" i="3"/>
  <c r="A161" i="3"/>
  <c r="CX161" i="3"/>
  <c r="CY161" i="3"/>
  <c r="CZ161" i="3"/>
  <c r="DA161" i="3"/>
  <c r="A162" i="3"/>
  <c r="CX162" i="3"/>
  <c r="CY162" i="3"/>
  <c r="CZ162" i="3"/>
  <c r="DA162" i="3"/>
  <c r="A163" i="3"/>
  <c r="CX163" i="3"/>
  <c r="CY163" i="3"/>
  <c r="CZ163" i="3"/>
  <c r="DA163" i="3"/>
  <c r="A164" i="3"/>
  <c r="CX164" i="3"/>
  <c r="CY164" i="3"/>
  <c r="CZ164" i="3"/>
  <c r="DA164" i="3"/>
  <c r="A165" i="3"/>
  <c r="CX165" i="3"/>
  <c r="CY165" i="3"/>
  <c r="CZ165" i="3"/>
  <c r="DA165" i="3"/>
  <c r="A166" i="3"/>
  <c r="CX166" i="3"/>
  <c r="CY166" i="3"/>
  <c r="CZ166" i="3"/>
  <c r="DA166" i="3"/>
  <c r="A167" i="3"/>
  <c r="CX167" i="3"/>
  <c r="CY167" i="3"/>
  <c r="CZ167" i="3"/>
  <c r="DA167" i="3"/>
  <c r="A168" i="3"/>
  <c r="CX168" i="3"/>
  <c r="CY168" i="3"/>
  <c r="CZ168" i="3"/>
  <c r="DA168" i="3"/>
  <c r="A169" i="3"/>
  <c r="CX169" i="3"/>
  <c r="CY169" i="3"/>
  <c r="CZ169" i="3"/>
  <c r="DA169" i="3"/>
  <c r="A170" i="3"/>
  <c r="CX170" i="3"/>
  <c r="CY170" i="3"/>
  <c r="CZ170" i="3"/>
  <c r="DA170" i="3"/>
  <c r="A171" i="3"/>
  <c r="CX171" i="3"/>
  <c r="CY171" i="3"/>
  <c r="CZ171" i="3"/>
  <c r="DA171" i="3"/>
  <c r="A172" i="3"/>
  <c r="CX172" i="3"/>
  <c r="CY172" i="3"/>
  <c r="CZ172" i="3"/>
  <c r="DA172" i="3"/>
  <c r="A173" i="3"/>
  <c r="CX173" i="3"/>
  <c r="CY173" i="3"/>
  <c r="CZ173" i="3"/>
  <c r="DA173" i="3"/>
  <c r="A174" i="3"/>
  <c r="CY174" i="3"/>
  <c r="CZ174" i="3"/>
  <c r="DA174" i="3"/>
  <c r="A175" i="3"/>
  <c r="CY175" i="3"/>
  <c r="CZ175" i="3"/>
  <c r="DA175" i="3"/>
  <c r="A176" i="3"/>
  <c r="CY176" i="3"/>
  <c r="CZ176" i="3"/>
  <c r="DA176" i="3"/>
  <c r="A177" i="3"/>
  <c r="CY177" i="3"/>
  <c r="CZ177" i="3"/>
  <c r="DA177" i="3"/>
  <c r="A178" i="3"/>
  <c r="CY178" i="3"/>
  <c r="CZ178" i="3"/>
  <c r="DA178" i="3"/>
  <c r="A179" i="3"/>
  <c r="CY179" i="3"/>
  <c r="CZ179" i="3"/>
  <c r="DA179" i="3"/>
  <c r="A180" i="3"/>
  <c r="CY180" i="3"/>
  <c r="CZ180" i="3"/>
  <c r="DA180" i="3"/>
  <c r="A181" i="3"/>
  <c r="CY181" i="3"/>
  <c r="CZ181" i="3"/>
  <c r="DA181" i="3"/>
  <c r="A182" i="3"/>
  <c r="CY182" i="3"/>
  <c r="CZ182" i="3"/>
  <c r="DA182" i="3"/>
  <c r="A183" i="3"/>
  <c r="CY183" i="3"/>
  <c r="CZ183" i="3"/>
  <c r="DA183" i="3"/>
  <c r="A184" i="3"/>
  <c r="CY184" i="3"/>
  <c r="CZ184" i="3"/>
  <c r="DA184" i="3"/>
  <c r="A185" i="3"/>
  <c r="CY185" i="3"/>
  <c r="CZ185" i="3"/>
  <c r="DA185" i="3"/>
  <c r="A186" i="3"/>
  <c r="CY186" i="3"/>
  <c r="CZ186" i="3"/>
  <c r="DA186" i="3"/>
  <c r="A187" i="3"/>
  <c r="CY187" i="3"/>
  <c r="CZ187" i="3"/>
  <c r="DA187" i="3"/>
  <c r="A188" i="3"/>
  <c r="CX188" i="3"/>
  <c r="CY188" i="3"/>
  <c r="CZ188" i="3"/>
  <c r="DA188" i="3"/>
  <c r="A189" i="3"/>
  <c r="CX189" i="3"/>
  <c r="CY189" i="3"/>
  <c r="CZ189" i="3"/>
  <c r="DA189" i="3"/>
  <c r="A190" i="3"/>
  <c r="CX190" i="3"/>
  <c r="CY190" i="3"/>
  <c r="CZ190" i="3"/>
  <c r="DA190" i="3"/>
  <c r="A191" i="3"/>
  <c r="CX191" i="3"/>
  <c r="CY191" i="3"/>
  <c r="CZ191" i="3"/>
  <c r="DA191" i="3"/>
  <c r="A192" i="3"/>
  <c r="CX192" i="3"/>
  <c r="CY192" i="3"/>
  <c r="CZ192" i="3"/>
  <c r="DA192" i="3"/>
  <c r="A193" i="3"/>
  <c r="CX193" i="3"/>
  <c r="CY193" i="3"/>
  <c r="CZ193" i="3"/>
  <c r="DA193" i="3"/>
  <c r="A194" i="3"/>
  <c r="CX194" i="3"/>
  <c r="CY194" i="3"/>
  <c r="CZ194" i="3"/>
  <c r="DA194" i="3"/>
  <c r="A195" i="3"/>
  <c r="CX195" i="3"/>
  <c r="CY195" i="3"/>
  <c r="CZ195" i="3"/>
  <c r="DA195" i="3"/>
  <c r="A196" i="3"/>
  <c r="CX196" i="3"/>
  <c r="CY196" i="3"/>
  <c r="CZ196" i="3"/>
  <c r="DA196" i="3"/>
  <c r="A197" i="3"/>
  <c r="CX197" i="3"/>
  <c r="CY197" i="3"/>
  <c r="CZ197" i="3"/>
  <c r="DA197" i="3"/>
  <c r="A198" i="3"/>
  <c r="CX198" i="3"/>
  <c r="CY198" i="3"/>
  <c r="CZ198" i="3"/>
  <c r="DA198" i="3"/>
  <c r="A199" i="3"/>
  <c r="CX199" i="3"/>
  <c r="CY199" i="3"/>
  <c r="CZ199" i="3"/>
  <c r="DA199" i="3"/>
  <c r="A200" i="3"/>
  <c r="CX200" i="3"/>
  <c r="CY200" i="3"/>
  <c r="CZ200" i="3"/>
  <c r="DA200" i="3"/>
  <c r="A201" i="3"/>
  <c r="CX201" i="3"/>
  <c r="CY201" i="3"/>
  <c r="CZ201" i="3"/>
  <c r="DA201" i="3"/>
  <c r="A202" i="3"/>
  <c r="CX202" i="3"/>
  <c r="CY202" i="3"/>
  <c r="CZ202" i="3"/>
  <c r="DA202" i="3"/>
  <c r="A203" i="3"/>
  <c r="CX203" i="3"/>
  <c r="CY203" i="3"/>
  <c r="CZ203" i="3"/>
  <c r="DA203" i="3"/>
  <c r="A204" i="3"/>
  <c r="CX204" i="3"/>
  <c r="CY204" i="3"/>
  <c r="CZ204" i="3"/>
  <c r="DA204" i="3"/>
  <c r="A205" i="3"/>
  <c r="CX205" i="3"/>
  <c r="CY205" i="3"/>
  <c r="CZ205" i="3"/>
  <c r="DA205" i="3"/>
  <c r="A206" i="3"/>
  <c r="CX206" i="3"/>
  <c r="CY206" i="3"/>
  <c r="CZ206" i="3"/>
  <c r="DA206" i="3"/>
  <c r="A207" i="3"/>
  <c r="CX207" i="3"/>
  <c r="CY207" i="3"/>
  <c r="CZ207" i="3"/>
  <c r="DA207" i="3"/>
  <c r="A208" i="3"/>
  <c r="CX208" i="3"/>
  <c r="CY208" i="3"/>
  <c r="CZ208" i="3"/>
  <c r="DA208" i="3"/>
  <c r="A209" i="3"/>
  <c r="CX209" i="3"/>
  <c r="CY209" i="3"/>
  <c r="CZ209" i="3"/>
  <c r="DA209" i="3"/>
  <c r="A210" i="3"/>
  <c r="CX210" i="3"/>
  <c r="CY210" i="3"/>
  <c r="CZ210" i="3"/>
  <c r="DA210" i="3"/>
  <c r="A211" i="3"/>
  <c r="CX211" i="3"/>
  <c r="CY211" i="3"/>
  <c r="CZ211" i="3"/>
  <c r="DA211" i="3"/>
  <c r="A212" i="3"/>
  <c r="CX212" i="3"/>
  <c r="CY212" i="3"/>
  <c r="CZ212" i="3"/>
  <c r="DA212" i="3"/>
  <c r="A213" i="3"/>
  <c r="CX213" i="3"/>
  <c r="CY213" i="3"/>
  <c r="CZ213" i="3"/>
  <c r="DA213" i="3"/>
  <c r="A214" i="3"/>
  <c r="CX214" i="3"/>
  <c r="CY214" i="3"/>
  <c r="CZ214" i="3"/>
  <c r="DA214" i="3"/>
  <c r="A215" i="3"/>
  <c r="CX215" i="3"/>
  <c r="CY215" i="3"/>
  <c r="CZ215" i="3"/>
  <c r="DA215" i="3"/>
  <c r="A216" i="3"/>
  <c r="CX216" i="3"/>
  <c r="CY216" i="3"/>
  <c r="CZ216" i="3"/>
  <c r="DA216" i="3"/>
  <c r="A217" i="3"/>
  <c r="CX217" i="3"/>
  <c r="CY217" i="3"/>
  <c r="CZ217" i="3"/>
  <c r="DA217" i="3"/>
  <c r="A218" i="3"/>
  <c r="CX218" i="3"/>
  <c r="CY218" i="3"/>
  <c r="CZ218" i="3"/>
  <c r="DA218" i="3"/>
  <c r="A219" i="3"/>
  <c r="CY219" i="3"/>
  <c r="CZ219" i="3"/>
  <c r="DA219" i="3"/>
  <c r="A220" i="3"/>
  <c r="CY220" i="3"/>
  <c r="CZ220" i="3"/>
  <c r="DA220" i="3"/>
  <c r="A221" i="3"/>
  <c r="CY221" i="3"/>
  <c r="CZ221" i="3"/>
  <c r="DA221" i="3"/>
  <c r="A222" i="3"/>
  <c r="CY222" i="3"/>
  <c r="CZ222" i="3"/>
  <c r="DA222" i="3"/>
  <c r="A223" i="3"/>
  <c r="CY223" i="3"/>
  <c r="CZ223" i="3"/>
  <c r="DA223" i="3"/>
  <c r="A224" i="3"/>
  <c r="CY224" i="3"/>
  <c r="CZ224" i="3"/>
  <c r="DA224" i="3"/>
  <c r="A225" i="3"/>
  <c r="CY225" i="3"/>
  <c r="CZ225" i="3"/>
  <c r="DA225" i="3"/>
  <c r="A226" i="3"/>
  <c r="CY226" i="3"/>
  <c r="CZ226" i="3"/>
  <c r="DA226" i="3"/>
  <c r="A227" i="3"/>
  <c r="CY227" i="3"/>
  <c r="CZ227" i="3"/>
  <c r="DA227" i="3"/>
  <c r="A228" i="3"/>
  <c r="CY228" i="3"/>
  <c r="CZ228" i="3"/>
  <c r="DA228" i="3"/>
  <c r="A229" i="3"/>
  <c r="CY229" i="3"/>
  <c r="CZ229" i="3"/>
  <c r="DA229" i="3"/>
  <c r="A230" i="3"/>
  <c r="CX230" i="3"/>
  <c r="CY230" i="3"/>
  <c r="CZ230" i="3"/>
  <c r="DA230" i="3"/>
  <c r="A231" i="3"/>
  <c r="CX231" i="3"/>
  <c r="CY231" i="3"/>
  <c r="CZ231" i="3"/>
  <c r="DA231" i="3"/>
  <c r="A232" i="3"/>
  <c r="CX232" i="3"/>
  <c r="CY232" i="3"/>
  <c r="CZ232" i="3"/>
  <c r="DA232" i="3"/>
  <c r="A233" i="3"/>
  <c r="CX233" i="3"/>
  <c r="CY233" i="3"/>
  <c r="CZ233" i="3"/>
  <c r="DA233" i="3"/>
  <c r="A234" i="3"/>
  <c r="CX234" i="3"/>
  <c r="CY234" i="3"/>
  <c r="CZ234" i="3"/>
  <c r="DA234" i="3"/>
  <c r="A235" i="3"/>
  <c r="CX235" i="3"/>
  <c r="CY235" i="3"/>
  <c r="CZ235" i="3"/>
  <c r="DA235" i="3"/>
  <c r="A236" i="3"/>
  <c r="CY236" i="3"/>
  <c r="CZ236" i="3"/>
  <c r="DA236" i="3"/>
  <c r="A237" i="3"/>
  <c r="CY237" i="3"/>
  <c r="CZ237" i="3"/>
  <c r="DA237" i="3"/>
  <c r="A238" i="3"/>
  <c r="CY238" i="3"/>
  <c r="CZ238" i="3"/>
  <c r="DA238" i="3"/>
  <c r="A239" i="3"/>
  <c r="CY239" i="3"/>
  <c r="CZ239" i="3"/>
  <c r="DA239" i="3"/>
  <c r="A240" i="3"/>
  <c r="CY240" i="3"/>
  <c r="CZ240" i="3"/>
  <c r="DA240" i="3"/>
  <c r="A241" i="3"/>
  <c r="CY241" i="3"/>
  <c r="CZ241" i="3"/>
  <c r="DA241" i="3"/>
  <c r="A242" i="3"/>
  <c r="CY242" i="3"/>
  <c r="CZ242" i="3"/>
  <c r="DA242" i="3"/>
  <c r="A243" i="3"/>
  <c r="CX243" i="3"/>
  <c r="CY243" i="3"/>
  <c r="CZ243" i="3"/>
  <c r="DA243" i="3"/>
  <c r="A244" i="3"/>
  <c r="CX244" i="3"/>
  <c r="CY244" i="3"/>
  <c r="CZ244" i="3"/>
  <c r="DA244" i="3"/>
  <c r="A245" i="3"/>
  <c r="CX245" i="3"/>
  <c r="CY245" i="3"/>
  <c r="CZ245" i="3"/>
  <c r="DA245" i="3"/>
  <c r="A246" i="3"/>
  <c r="CX246" i="3"/>
  <c r="CY246" i="3"/>
  <c r="CZ246" i="3"/>
  <c r="DA246" i="3"/>
  <c r="A247" i="3"/>
  <c r="CX247" i="3"/>
  <c r="CY247" i="3"/>
  <c r="CZ247" i="3"/>
  <c r="DA247" i="3"/>
  <c r="A248" i="3"/>
  <c r="CX248" i="3"/>
  <c r="CY248" i="3"/>
  <c r="CZ248" i="3"/>
  <c r="DA248" i="3"/>
  <c r="A249" i="3"/>
  <c r="CX249" i="3"/>
  <c r="CY249" i="3"/>
  <c r="CZ249" i="3"/>
  <c r="DA249" i="3"/>
  <c r="A250" i="3"/>
  <c r="CX250" i="3"/>
  <c r="CY250" i="3"/>
  <c r="CZ250" i="3"/>
  <c r="DA250" i="3"/>
  <c r="A251" i="3"/>
  <c r="CX251" i="3"/>
  <c r="CY251" i="3"/>
  <c r="CZ251" i="3"/>
  <c r="DA251" i="3"/>
  <c r="A252" i="3"/>
  <c r="CX252" i="3"/>
  <c r="CY252" i="3"/>
  <c r="CZ252" i="3"/>
  <c r="DA252" i="3"/>
  <c r="A253" i="3"/>
  <c r="CX253" i="3"/>
  <c r="CY253" i="3"/>
  <c r="CZ253" i="3"/>
  <c r="DA253" i="3"/>
  <c r="A254" i="3"/>
  <c r="CX254" i="3"/>
  <c r="CY254" i="3"/>
  <c r="CZ254" i="3"/>
  <c r="DA254" i="3"/>
  <c r="A255" i="3"/>
  <c r="CX255" i="3"/>
  <c r="CY255" i="3"/>
  <c r="CZ255" i="3"/>
  <c r="DA255" i="3"/>
  <c r="A256" i="3"/>
  <c r="CX256" i="3"/>
  <c r="CY256" i="3"/>
  <c r="CZ256" i="3"/>
  <c r="DA256" i="3"/>
  <c r="A257" i="3"/>
  <c r="CX257" i="3"/>
  <c r="CY257" i="3"/>
  <c r="CZ257" i="3"/>
  <c r="DA257" i="3"/>
  <c r="A258" i="3"/>
  <c r="CX258" i="3"/>
  <c r="CY258" i="3"/>
  <c r="CZ258" i="3"/>
  <c r="DA258" i="3"/>
  <c r="A259" i="3"/>
  <c r="CX259" i="3"/>
  <c r="CY259" i="3"/>
  <c r="CZ259" i="3"/>
  <c r="DA259" i="3"/>
  <c r="A260" i="3"/>
  <c r="CX260" i="3"/>
  <c r="CY260" i="3"/>
  <c r="CZ260" i="3"/>
  <c r="DA260" i="3"/>
  <c r="A261" i="3"/>
  <c r="CX261" i="3"/>
  <c r="CY261" i="3"/>
  <c r="CZ261" i="3"/>
  <c r="DA261" i="3"/>
  <c r="A262" i="3"/>
  <c r="CX262" i="3"/>
  <c r="CY262" i="3"/>
  <c r="CZ262" i="3"/>
  <c r="DA262" i="3"/>
  <c r="A263" i="3"/>
  <c r="CX263" i="3"/>
  <c r="CY263" i="3"/>
  <c r="CZ263" i="3"/>
  <c r="DA263" i="3"/>
  <c r="A264" i="3"/>
  <c r="CX264" i="3"/>
  <c r="CY264" i="3"/>
  <c r="CZ264" i="3"/>
  <c r="DA264" i="3"/>
  <c r="A265" i="3"/>
  <c r="CX265" i="3"/>
  <c r="CY265" i="3"/>
  <c r="CZ265" i="3"/>
  <c r="DA265" i="3"/>
  <c r="A266" i="3"/>
  <c r="CX266" i="3"/>
  <c r="CY266" i="3"/>
  <c r="CZ266" i="3"/>
  <c r="DA266" i="3"/>
  <c r="A267" i="3"/>
  <c r="CY267" i="3"/>
  <c r="CZ267" i="3"/>
  <c r="DA267" i="3"/>
  <c r="A268" i="3"/>
  <c r="CY268" i="3"/>
  <c r="CZ268" i="3"/>
  <c r="DA268" i="3"/>
  <c r="A269" i="3"/>
  <c r="CY269" i="3"/>
  <c r="CZ269" i="3"/>
  <c r="DA269" i="3"/>
  <c r="A270" i="3"/>
  <c r="CY270" i="3"/>
  <c r="CZ270" i="3"/>
  <c r="DA270" i="3"/>
  <c r="A271" i="3"/>
  <c r="CY271" i="3"/>
  <c r="CZ271" i="3"/>
  <c r="DA271" i="3"/>
  <c r="A272" i="3"/>
  <c r="CY272" i="3"/>
  <c r="CZ272" i="3"/>
  <c r="DA272" i="3"/>
  <c r="A273" i="3"/>
  <c r="CY273" i="3"/>
  <c r="CZ273" i="3"/>
  <c r="DA273" i="3"/>
  <c r="A274" i="3"/>
  <c r="CY274" i="3"/>
  <c r="CZ274" i="3"/>
  <c r="DA274" i="3"/>
  <c r="A275" i="3"/>
  <c r="CY275" i="3"/>
  <c r="CZ275" i="3"/>
  <c r="DA275" i="3"/>
  <c r="A276" i="3"/>
  <c r="CY276" i="3"/>
  <c r="CZ276" i="3"/>
  <c r="DA276" i="3"/>
  <c r="A277" i="3"/>
  <c r="CY277" i="3"/>
  <c r="CZ277" i="3"/>
  <c r="DA277" i="3"/>
  <c r="A278" i="3"/>
  <c r="CY278" i="3"/>
  <c r="CZ278" i="3"/>
  <c r="DA278" i="3"/>
  <c r="A279" i="3"/>
  <c r="CY279" i="3"/>
  <c r="CZ279" i="3"/>
  <c r="DA279" i="3"/>
  <c r="A280" i="3"/>
  <c r="CY280" i="3"/>
  <c r="CZ280" i="3"/>
  <c r="DA280" i="3"/>
  <c r="A281" i="3"/>
  <c r="CY281" i="3"/>
  <c r="CZ281" i="3"/>
  <c r="DA281" i="3"/>
  <c r="A282" i="3"/>
  <c r="CY282" i="3"/>
  <c r="CZ282" i="3"/>
  <c r="DA282" i="3"/>
  <c r="A283" i="3"/>
  <c r="CY283" i="3"/>
  <c r="CZ283" i="3"/>
  <c r="DA283" i="3"/>
  <c r="A284" i="3"/>
  <c r="CY284" i="3"/>
  <c r="CZ284" i="3"/>
  <c r="DA284" i="3"/>
  <c r="A285" i="3"/>
  <c r="CY285" i="3"/>
  <c r="CZ285" i="3"/>
  <c r="DA285" i="3"/>
  <c r="A286" i="3"/>
  <c r="CY286" i="3"/>
  <c r="CZ286" i="3"/>
  <c r="DA286" i="3"/>
  <c r="A287" i="3"/>
  <c r="CX287" i="3"/>
  <c r="CY287" i="3"/>
  <c r="CZ287" i="3"/>
  <c r="DA287" i="3"/>
  <c r="A288" i="3"/>
  <c r="CX288" i="3"/>
  <c r="CY288" i="3"/>
  <c r="CZ288" i="3"/>
  <c r="DA288" i="3"/>
  <c r="A289" i="3"/>
  <c r="CX289" i="3"/>
  <c r="CY289" i="3"/>
  <c r="CZ289" i="3"/>
  <c r="DA289" i="3"/>
  <c r="A290" i="3"/>
  <c r="CX290" i="3"/>
  <c r="CY290" i="3"/>
  <c r="CZ290" i="3"/>
  <c r="DA290" i="3"/>
  <c r="A291" i="3"/>
  <c r="CX291" i="3"/>
  <c r="CY291" i="3"/>
  <c r="CZ291" i="3"/>
  <c r="DA291" i="3"/>
  <c r="A292" i="3"/>
  <c r="CX292" i="3"/>
  <c r="CY292" i="3"/>
  <c r="CZ292" i="3"/>
  <c r="DA292" i="3"/>
  <c r="A293" i="3"/>
  <c r="CX293" i="3"/>
  <c r="CY293" i="3"/>
  <c r="CZ293" i="3"/>
  <c r="DA293" i="3"/>
  <c r="A294" i="3"/>
  <c r="CX294" i="3"/>
  <c r="CY294" i="3"/>
  <c r="CZ294" i="3"/>
  <c r="DA294" i="3"/>
  <c r="A295" i="3"/>
  <c r="CX295" i="3"/>
  <c r="CY295" i="3"/>
  <c r="CZ295" i="3"/>
  <c r="DA295" i="3"/>
  <c r="A296" i="3"/>
  <c r="CX296" i="3"/>
  <c r="CY296" i="3"/>
  <c r="CZ296" i="3"/>
  <c r="DA296" i="3"/>
  <c r="A297" i="3"/>
  <c r="CX297" i="3"/>
  <c r="CY297" i="3"/>
  <c r="CZ297" i="3"/>
  <c r="DA297" i="3"/>
  <c r="A298" i="3"/>
  <c r="CX298" i="3"/>
  <c r="CY298" i="3"/>
  <c r="CZ298" i="3"/>
  <c r="DA298" i="3"/>
  <c r="A299" i="3"/>
  <c r="CX299" i="3"/>
  <c r="CY299" i="3"/>
  <c r="CZ299" i="3"/>
  <c r="DA299" i="3"/>
  <c r="A300" i="3"/>
  <c r="CX300" i="3"/>
  <c r="CY300" i="3"/>
  <c r="CZ300" i="3"/>
  <c r="DA300" i="3"/>
  <c r="A301" i="3"/>
  <c r="CX301" i="3"/>
  <c r="CY301" i="3"/>
  <c r="CZ301" i="3"/>
  <c r="DA301" i="3"/>
  <c r="A302" i="3"/>
  <c r="CX302" i="3"/>
  <c r="CY302" i="3"/>
  <c r="CZ302" i="3"/>
  <c r="DA302" i="3"/>
  <c r="A303" i="3"/>
  <c r="CX303" i="3"/>
  <c r="CY303" i="3"/>
  <c r="CZ303" i="3"/>
  <c r="DA303" i="3"/>
  <c r="A304" i="3"/>
  <c r="CX304" i="3"/>
  <c r="CY304" i="3"/>
  <c r="CZ304" i="3"/>
  <c r="DA304" i="3"/>
  <c r="A305" i="3"/>
  <c r="CX305" i="3"/>
  <c r="CY305" i="3"/>
  <c r="CZ305" i="3"/>
  <c r="DA305" i="3"/>
  <c r="A306" i="3"/>
  <c r="CX306" i="3"/>
  <c r="CY306" i="3"/>
  <c r="CZ306" i="3"/>
  <c r="DA306" i="3"/>
  <c r="A307" i="3"/>
  <c r="CX307" i="3"/>
  <c r="CY307" i="3"/>
  <c r="CZ307" i="3"/>
  <c r="DA307" i="3"/>
  <c r="A308" i="3"/>
  <c r="CX308" i="3"/>
  <c r="CY308" i="3"/>
  <c r="CZ308" i="3"/>
  <c r="DA308" i="3"/>
  <c r="A309" i="3"/>
  <c r="CX309" i="3"/>
  <c r="CY309" i="3"/>
  <c r="CZ309" i="3"/>
  <c r="DA309" i="3"/>
  <c r="A310" i="3"/>
  <c r="CX310" i="3"/>
  <c r="CY310" i="3"/>
  <c r="CZ310" i="3"/>
  <c r="DA310" i="3"/>
  <c r="A311" i="3"/>
  <c r="CX311" i="3"/>
  <c r="CY311" i="3"/>
  <c r="CZ311" i="3"/>
  <c r="DA311" i="3"/>
  <c r="A312" i="3"/>
  <c r="CX312" i="3"/>
  <c r="CY312" i="3"/>
  <c r="CZ312" i="3"/>
  <c r="DA312" i="3"/>
  <c r="A313" i="3"/>
  <c r="CX313" i="3"/>
  <c r="CY313" i="3"/>
  <c r="CZ313" i="3"/>
  <c r="DA313" i="3"/>
  <c r="A314" i="3"/>
  <c r="CX314" i="3"/>
  <c r="CY314" i="3"/>
  <c r="CZ314" i="3"/>
  <c r="DA314" i="3"/>
  <c r="A315" i="3"/>
  <c r="CY315" i="3"/>
  <c r="CZ315" i="3"/>
  <c r="DA315" i="3"/>
  <c r="A316" i="3"/>
  <c r="CY316" i="3"/>
  <c r="CZ316" i="3"/>
  <c r="DA316" i="3"/>
  <c r="A317" i="3"/>
  <c r="CY317" i="3"/>
  <c r="CZ317" i="3"/>
  <c r="DA317" i="3"/>
  <c r="A318" i="3"/>
  <c r="CY318" i="3"/>
  <c r="CZ318" i="3"/>
  <c r="DA318" i="3"/>
  <c r="A319" i="3"/>
  <c r="CY319" i="3"/>
  <c r="CZ319" i="3"/>
  <c r="DA319" i="3"/>
  <c r="A320" i="3"/>
  <c r="CY320" i="3"/>
  <c r="CZ320" i="3"/>
  <c r="DA320" i="3"/>
  <c r="A321" i="3"/>
  <c r="CY321" i="3"/>
  <c r="CZ321" i="3"/>
  <c r="DA321" i="3"/>
  <c r="A322" i="3"/>
  <c r="CY322" i="3"/>
  <c r="CZ322" i="3"/>
  <c r="DA322" i="3"/>
  <c r="A323" i="3"/>
  <c r="CY323" i="3"/>
  <c r="CZ323" i="3"/>
  <c r="DA323" i="3"/>
  <c r="A324" i="3"/>
  <c r="CY324" i="3"/>
  <c r="CZ324" i="3"/>
  <c r="DA324" i="3"/>
  <c r="A325" i="3"/>
  <c r="CY325" i="3"/>
  <c r="CZ325" i="3"/>
  <c r="DA325" i="3"/>
  <c r="A326" i="3"/>
  <c r="CY326" i="3"/>
  <c r="CZ326" i="3"/>
  <c r="DA326" i="3"/>
  <c r="A327" i="3"/>
  <c r="CY327" i="3"/>
  <c r="CZ327" i="3"/>
  <c r="DA327" i="3"/>
  <c r="A328" i="3"/>
  <c r="CX328" i="3"/>
  <c r="CY328" i="3"/>
  <c r="CZ328" i="3"/>
  <c r="DA328" i="3"/>
  <c r="A329" i="3"/>
  <c r="CX329" i="3"/>
  <c r="CY329" i="3"/>
  <c r="CZ329" i="3"/>
  <c r="DA329" i="3"/>
  <c r="A330" i="3"/>
  <c r="CX330" i="3"/>
  <c r="CY330" i="3"/>
  <c r="CZ330" i="3"/>
  <c r="DA330" i="3"/>
  <c r="A331" i="3"/>
  <c r="CX331" i="3"/>
  <c r="CY331" i="3"/>
  <c r="CZ331" i="3"/>
  <c r="DA331" i="3"/>
  <c r="A332" i="3"/>
  <c r="CX332" i="3"/>
  <c r="CY332" i="3"/>
  <c r="CZ332" i="3"/>
  <c r="DA332" i="3"/>
  <c r="A333" i="3"/>
  <c r="CX333" i="3"/>
  <c r="CY333" i="3"/>
  <c r="CZ333" i="3"/>
  <c r="DA333" i="3"/>
  <c r="A334" i="3"/>
  <c r="CX334" i="3"/>
  <c r="CY334" i="3"/>
  <c r="CZ334" i="3"/>
  <c r="DA334" i="3"/>
  <c r="A335" i="3"/>
  <c r="CX335" i="3"/>
  <c r="CY335" i="3"/>
  <c r="CZ335" i="3"/>
  <c r="DA335" i="3"/>
  <c r="A336" i="3"/>
  <c r="CX336" i="3"/>
  <c r="CY336" i="3"/>
  <c r="CZ336" i="3"/>
  <c r="DA336" i="3"/>
  <c r="A337" i="3"/>
  <c r="CX337" i="3"/>
  <c r="CY337" i="3"/>
  <c r="CZ337" i="3"/>
  <c r="DA337" i="3"/>
  <c r="A338" i="3"/>
  <c r="CX338" i="3"/>
  <c r="CY338" i="3"/>
  <c r="CZ338" i="3"/>
  <c r="DA338" i="3"/>
  <c r="A339" i="3"/>
  <c r="CX339" i="3"/>
  <c r="CY339" i="3"/>
  <c r="CZ339" i="3"/>
  <c r="DA339" i="3"/>
  <c r="A340" i="3"/>
  <c r="CX340" i="3"/>
  <c r="CY340" i="3"/>
  <c r="CZ340" i="3"/>
  <c r="DA340" i="3"/>
  <c r="A341" i="3"/>
  <c r="CX341" i="3"/>
  <c r="CY341" i="3"/>
  <c r="CZ341" i="3"/>
  <c r="DA341" i="3"/>
  <c r="A342" i="3"/>
  <c r="CX342" i="3"/>
  <c r="CY342" i="3"/>
  <c r="CZ342" i="3"/>
  <c r="DA342" i="3"/>
  <c r="A343" i="3"/>
  <c r="CX343" i="3"/>
  <c r="CY343" i="3"/>
  <c r="CZ343" i="3"/>
  <c r="DA343" i="3"/>
  <c r="A344" i="3"/>
  <c r="CX344" i="3"/>
  <c r="CY344" i="3"/>
  <c r="CZ344" i="3"/>
  <c r="DA344" i="3"/>
  <c r="A345" i="3"/>
  <c r="CX345" i="3"/>
  <c r="CY345" i="3"/>
  <c r="CZ345" i="3"/>
  <c r="DA345" i="3"/>
  <c r="A346" i="3"/>
  <c r="CX346" i="3"/>
  <c r="CY346" i="3"/>
  <c r="CZ346" i="3"/>
  <c r="DA346" i="3"/>
  <c r="A347" i="3"/>
  <c r="CX347" i="3"/>
  <c r="CY347" i="3"/>
  <c r="CZ347" i="3"/>
  <c r="DA347" i="3"/>
  <c r="A348" i="3"/>
  <c r="CX348" i="3"/>
  <c r="CY348" i="3"/>
  <c r="CZ348" i="3"/>
  <c r="DA348" i="3"/>
  <c r="A349" i="3"/>
  <c r="CX349" i="3"/>
  <c r="CY349" i="3"/>
  <c r="CZ349" i="3"/>
  <c r="DA349" i="3"/>
  <c r="A350" i="3"/>
  <c r="CX350" i="3"/>
  <c r="CY350" i="3"/>
  <c r="CZ350" i="3"/>
  <c r="DA350" i="3"/>
  <c r="A351" i="3"/>
  <c r="CY351" i="3"/>
  <c r="CZ351" i="3"/>
  <c r="DA351" i="3"/>
  <c r="A352" i="3"/>
  <c r="CY352" i="3"/>
  <c r="CZ352" i="3"/>
  <c r="DA352" i="3"/>
  <c r="A353" i="3"/>
  <c r="CY353" i="3"/>
  <c r="CZ353" i="3"/>
  <c r="DA353" i="3"/>
  <c r="A354" i="3"/>
  <c r="CY354" i="3"/>
  <c r="CZ354" i="3"/>
  <c r="DA354" i="3"/>
  <c r="A355" i="3"/>
  <c r="CY355" i="3"/>
  <c r="CZ355" i="3"/>
  <c r="DA355" i="3"/>
  <c r="A356" i="3"/>
  <c r="CY356" i="3"/>
  <c r="CZ356" i="3"/>
  <c r="DA356" i="3"/>
  <c r="A357" i="3"/>
  <c r="CX357" i="3"/>
  <c r="CY357" i="3"/>
  <c r="CZ357" i="3"/>
  <c r="DA357" i="3"/>
  <c r="A358" i="3"/>
  <c r="CX358" i="3"/>
  <c r="CY358" i="3"/>
  <c r="CZ358" i="3"/>
  <c r="DA358" i="3"/>
  <c r="A359" i="3"/>
  <c r="CX359" i="3"/>
  <c r="CY359" i="3"/>
  <c r="CZ359" i="3"/>
  <c r="DA359" i="3"/>
  <c r="A360" i="3"/>
  <c r="CX360" i="3"/>
  <c r="CY360" i="3"/>
  <c r="CZ360" i="3"/>
  <c r="DA360" i="3"/>
  <c r="A361" i="3"/>
  <c r="CY361" i="3"/>
  <c r="CZ361" i="3"/>
  <c r="DA361" i="3"/>
  <c r="A362" i="3"/>
  <c r="CY362" i="3"/>
  <c r="CZ362" i="3"/>
  <c r="DA362" i="3"/>
  <c r="A363" i="3"/>
  <c r="CY363" i="3"/>
  <c r="CZ363" i="3"/>
  <c r="DA363" i="3"/>
  <c r="A364" i="3"/>
  <c r="CY364" i="3"/>
  <c r="CZ364" i="3"/>
  <c r="DA364" i="3"/>
  <c r="A365" i="3"/>
  <c r="CY365" i="3"/>
  <c r="CZ365" i="3"/>
  <c r="DA365" i="3"/>
  <c r="A366" i="3"/>
  <c r="CY366" i="3"/>
  <c r="CZ366" i="3"/>
  <c r="DA366" i="3"/>
  <c r="A367" i="3"/>
  <c r="CY367" i="3"/>
  <c r="CZ367" i="3"/>
  <c r="DA367" i="3"/>
  <c r="A368" i="3"/>
  <c r="CY368" i="3"/>
  <c r="CZ368" i="3"/>
  <c r="DA368" i="3"/>
  <c r="A369" i="3"/>
  <c r="CY369" i="3"/>
  <c r="CZ369" i="3"/>
  <c r="DA369" i="3"/>
  <c r="A370" i="3"/>
  <c r="CY370" i="3"/>
  <c r="CZ370" i="3"/>
  <c r="DA370" i="3"/>
  <c r="A371" i="3"/>
  <c r="CY371" i="3"/>
  <c r="CZ371" i="3"/>
  <c r="DA371" i="3"/>
  <c r="A372" i="3"/>
  <c r="CX372" i="3"/>
  <c r="CY372" i="3"/>
  <c r="CZ372" i="3"/>
  <c r="DA372" i="3"/>
  <c r="A373" i="3"/>
  <c r="CX373" i="3"/>
  <c r="CY373" i="3"/>
  <c r="CZ373" i="3"/>
  <c r="DA373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S28" i="1"/>
  <c r="AC28" i="1"/>
  <c r="AE28" i="1"/>
  <c r="AD28" i="1" s="1"/>
  <c r="CR28" i="1" s="1"/>
  <c r="Q28" i="1" s="1"/>
  <c r="W38" i="6" s="1"/>
  <c r="AF28" i="1"/>
  <c r="AG28" i="1"/>
  <c r="AH28" i="1"/>
  <c r="CV28" i="1" s="1"/>
  <c r="U28" i="1" s="1"/>
  <c r="AI28" i="1"/>
  <c r="CW28" i="1" s="1"/>
  <c r="V28" i="1" s="1"/>
  <c r="Z38" i="6" s="1"/>
  <c r="AJ28" i="1"/>
  <c r="CQ28" i="1"/>
  <c r="P28" i="1" s="1"/>
  <c r="CT28" i="1"/>
  <c r="CU28" i="1"/>
  <c r="T28" i="1" s="1"/>
  <c r="CX28" i="1"/>
  <c r="W28" i="1" s="1"/>
  <c r="FR28" i="1"/>
  <c r="GL28" i="1"/>
  <c r="GO28" i="1"/>
  <c r="GP28" i="1"/>
  <c r="GV28" i="1"/>
  <c r="GX28" i="1" s="1"/>
  <c r="C29" i="1"/>
  <c r="D29" i="1"/>
  <c r="AC29" i="1"/>
  <c r="CQ29" i="1" s="1"/>
  <c r="P29" i="1" s="1"/>
  <c r="U46" i="6" s="1"/>
  <c r="AE29" i="1"/>
  <c r="AF29" i="1"/>
  <c r="AG29" i="1"/>
  <c r="AH29" i="1"/>
  <c r="CV29" i="1" s="1"/>
  <c r="U29" i="1" s="1"/>
  <c r="AI29" i="1"/>
  <c r="CW29" i="1" s="1"/>
  <c r="V29" i="1" s="1"/>
  <c r="Z46" i="6" s="1"/>
  <c r="AJ29" i="1"/>
  <c r="CX29" i="1" s="1"/>
  <c r="W29" i="1" s="1"/>
  <c r="CS29" i="1"/>
  <c r="R29" i="1" s="1"/>
  <c r="CU29" i="1"/>
  <c r="T29" i="1" s="1"/>
  <c r="FR29" i="1"/>
  <c r="GL29" i="1"/>
  <c r="GO29" i="1"/>
  <c r="GP29" i="1"/>
  <c r="GV29" i="1"/>
  <c r="GX29" i="1" s="1"/>
  <c r="C30" i="1"/>
  <c r="D30" i="1"/>
  <c r="AC30" i="1"/>
  <c r="AE30" i="1"/>
  <c r="AF30" i="1"/>
  <c r="AG30" i="1"/>
  <c r="AH30" i="1"/>
  <c r="CV30" i="1" s="1"/>
  <c r="U30" i="1" s="1"/>
  <c r="AI30" i="1"/>
  <c r="CW30" i="1" s="1"/>
  <c r="V30" i="1" s="1"/>
  <c r="Z54" i="6" s="1"/>
  <c r="AJ30" i="1"/>
  <c r="CX30" i="1" s="1"/>
  <c r="W30" i="1" s="1"/>
  <c r="CT30" i="1"/>
  <c r="S30" i="1" s="1"/>
  <c r="CU30" i="1"/>
  <c r="T30" i="1" s="1"/>
  <c r="FR30" i="1"/>
  <c r="GL30" i="1"/>
  <c r="GO30" i="1"/>
  <c r="GP30" i="1"/>
  <c r="GV30" i="1"/>
  <c r="GX30" i="1" s="1"/>
  <c r="I31" i="1"/>
  <c r="AC31" i="1"/>
  <c r="AE31" i="1"/>
  <c r="AF31" i="1"/>
  <c r="CT31" i="1" s="1"/>
  <c r="S31" i="1" s="1"/>
  <c r="V62" i="6" s="1"/>
  <c r="AG31" i="1"/>
  <c r="CU31" i="1" s="1"/>
  <c r="AH31" i="1"/>
  <c r="AI31" i="1"/>
  <c r="CW31" i="1" s="1"/>
  <c r="V31" i="1" s="1"/>
  <c r="Z62" i="6" s="1"/>
  <c r="AJ31" i="1"/>
  <c r="CX31" i="1" s="1"/>
  <c r="W31" i="1" s="1"/>
  <c r="CV31" i="1"/>
  <c r="U31" i="1" s="1"/>
  <c r="Y62" i="6" s="1"/>
  <c r="FR31" i="1"/>
  <c r="GL31" i="1"/>
  <c r="GO31" i="1"/>
  <c r="GP31" i="1"/>
  <c r="CD83" i="1" s="1"/>
  <c r="GV31" i="1"/>
  <c r="GX31" i="1" s="1"/>
  <c r="C32" i="1"/>
  <c r="D32" i="1"/>
  <c r="AC32" i="1"/>
  <c r="AD32" i="1"/>
  <c r="AE32" i="1"/>
  <c r="CS32" i="1" s="1"/>
  <c r="R32" i="1" s="1"/>
  <c r="AF32" i="1"/>
  <c r="AG32" i="1"/>
  <c r="CU32" i="1" s="1"/>
  <c r="T32" i="1" s="1"/>
  <c r="AH32" i="1"/>
  <c r="CV32" i="1" s="1"/>
  <c r="U32" i="1" s="1"/>
  <c r="AI32" i="1"/>
  <c r="CW32" i="1" s="1"/>
  <c r="V32" i="1" s="1"/>
  <c r="Z64" i="6" s="1"/>
  <c r="AJ32" i="1"/>
  <c r="CX32" i="1" s="1"/>
  <c r="W32" i="1" s="1"/>
  <c r="CQ32" i="1"/>
  <c r="P32" i="1" s="1"/>
  <c r="CR32" i="1"/>
  <c r="Q32" i="1" s="1"/>
  <c r="W64" i="6" s="1"/>
  <c r="FR32" i="1"/>
  <c r="GL32" i="1"/>
  <c r="GO32" i="1"/>
  <c r="GP32" i="1"/>
  <c r="GV32" i="1"/>
  <c r="GX32" i="1" s="1"/>
  <c r="C33" i="1"/>
  <c r="D33" i="1"/>
  <c r="AC33" i="1"/>
  <c r="AD33" i="1"/>
  <c r="AE33" i="1"/>
  <c r="CS33" i="1" s="1"/>
  <c r="R33" i="1" s="1"/>
  <c r="AF33" i="1"/>
  <c r="AG33" i="1"/>
  <c r="AH33" i="1"/>
  <c r="CV33" i="1" s="1"/>
  <c r="U33" i="1" s="1"/>
  <c r="AI33" i="1"/>
  <c r="CW33" i="1" s="1"/>
  <c r="V33" i="1" s="1"/>
  <c r="Z74" i="6" s="1"/>
  <c r="AJ33" i="1"/>
  <c r="CX33" i="1" s="1"/>
  <c r="W33" i="1" s="1"/>
  <c r="CT33" i="1"/>
  <c r="S33" i="1" s="1"/>
  <c r="CU33" i="1"/>
  <c r="T33" i="1" s="1"/>
  <c r="FR33" i="1"/>
  <c r="GL33" i="1"/>
  <c r="GO33" i="1"/>
  <c r="GP33" i="1"/>
  <c r="GV33" i="1"/>
  <c r="GX33" i="1" s="1"/>
  <c r="I34" i="1"/>
  <c r="AC34" i="1"/>
  <c r="AE34" i="1"/>
  <c r="AF34" i="1"/>
  <c r="AG34" i="1"/>
  <c r="CU34" i="1" s="1"/>
  <c r="T34" i="1" s="1"/>
  <c r="AH34" i="1"/>
  <c r="AI34" i="1"/>
  <c r="CW34" i="1" s="1"/>
  <c r="V34" i="1" s="1"/>
  <c r="Z82" i="6" s="1"/>
  <c r="AJ34" i="1"/>
  <c r="CX34" i="1" s="1"/>
  <c r="W34" i="1" s="1"/>
  <c r="CT34" i="1"/>
  <c r="S34" i="1" s="1"/>
  <c r="V82" i="6" s="1"/>
  <c r="CV34" i="1"/>
  <c r="U34" i="1" s="1"/>
  <c r="Y82" i="6" s="1"/>
  <c r="FR34" i="1"/>
  <c r="GL34" i="1"/>
  <c r="GO34" i="1"/>
  <c r="GP34" i="1"/>
  <c r="GV34" i="1"/>
  <c r="GX34" i="1"/>
  <c r="I35" i="1"/>
  <c r="AC35" i="1"/>
  <c r="AD35" i="1"/>
  <c r="AB35" i="1" s="1"/>
  <c r="G84" i="6" s="1"/>
  <c r="AE35" i="1"/>
  <c r="AF35" i="1"/>
  <c r="AG35" i="1"/>
  <c r="AH35" i="1"/>
  <c r="CV35" i="1" s="1"/>
  <c r="AI35" i="1"/>
  <c r="CW35" i="1" s="1"/>
  <c r="AJ35" i="1"/>
  <c r="CX35" i="1" s="1"/>
  <c r="CQ35" i="1"/>
  <c r="CR35" i="1"/>
  <c r="CS35" i="1"/>
  <c r="CU35" i="1"/>
  <c r="T35" i="1" s="1"/>
  <c r="FR35" i="1"/>
  <c r="GL35" i="1"/>
  <c r="GO35" i="1"/>
  <c r="GP35" i="1"/>
  <c r="GV35" i="1"/>
  <c r="GX35" i="1" s="1"/>
  <c r="C36" i="1"/>
  <c r="D36" i="1"/>
  <c r="AC36" i="1"/>
  <c r="H73" i="5" s="1"/>
  <c r="AD36" i="1"/>
  <c r="AE36" i="1"/>
  <c r="H72" i="5" s="1"/>
  <c r="R72" i="5" s="1"/>
  <c r="AF36" i="1"/>
  <c r="AG36" i="1"/>
  <c r="CU36" i="1" s="1"/>
  <c r="T36" i="1" s="1"/>
  <c r="AH36" i="1"/>
  <c r="CV36" i="1" s="1"/>
  <c r="U36" i="1" s="1"/>
  <c r="AI36" i="1"/>
  <c r="AJ36" i="1"/>
  <c r="CX36" i="1" s="1"/>
  <c r="W36" i="1" s="1"/>
  <c r="CQ36" i="1"/>
  <c r="P36" i="1" s="1"/>
  <c r="CS36" i="1"/>
  <c r="R36" i="1" s="1"/>
  <c r="CW36" i="1"/>
  <c r="V36" i="1" s="1"/>
  <c r="Z86" i="6" s="1"/>
  <c r="FR36" i="1"/>
  <c r="GL36" i="1"/>
  <c r="GO36" i="1"/>
  <c r="GP36" i="1"/>
  <c r="GV36" i="1"/>
  <c r="GX36" i="1"/>
  <c r="C37" i="1"/>
  <c r="D37" i="1"/>
  <c r="U37" i="1"/>
  <c r="AC37" i="1"/>
  <c r="H82" i="5" s="1"/>
  <c r="AE37" i="1"/>
  <c r="AF37" i="1"/>
  <c r="AG37" i="1"/>
  <c r="CU37" i="1" s="1"/>
  <c r="T37" i="1" s="1"/>
  <c r="AH37" i="1"/>
  <c r="CV37" i="1" s="1"/>
  <c r="AI37" i="1"/>
  <c r="CW37" i="1" s="1"/>
  <c r="V37" i="1" s="1"/>
  <c r="Z96" i="6" s="1"/>
  <c r="AJ37" i="1"/>
  <c r="CX37" i="1" s="1"/>
  <c r="W37" i="1" s="1"/>
  <c r="CQ37" i="1"/>
  <c r="P37" i="1" s="1"/>
  <c r="CS37" i="1"/>
  <c r="R37" i="1" s="1"/>
  <c r="FR37" i="1"/>
  <c r="GL37" i="1"/>
  <c r="BZ83" i="1" s="1"/>
  <c r="GO37" i="1"/>
  <c r="GP37" i="1"/>
  <c r="GV37" i="1"/>
  <c r="GX37" i="1"/>
  <c r="C38" i="1"/>
  <c r="D38" i="1"/>
  <c r="AC38" i="1"/>
  <c r="AE38" i="1"/>
  <c r="AF38" i="1"/>
  <c r="AG38" i="1"/>
  <c r="AH38" i="1"/>
  <c r="CV38" i="1" s="1"/>
  <c r="U38" i="1" s="1"/>
  <c r="AI38" i="1"/>
  <c r="AJ38" i="1"/>
  <c r="CX38" i="1" s="1"/>
  <c r="W38" i="1" s="1"/>
  <c r="CU38" i="1"/>
  <c r="T38" i="1" s="1"/>
  <c r="CW38" i="1"/>
  <c r="V38" i="1" s="1"/>
  <c r="Z106" i="6" s="1"/>
  <c r="FR38" i="1"/>
  <c r="GL38" i="1"/>
  <c r="GO38" i="1"/>
  <c r="GP38" i="1"/>
  <c r="GV38" i="1"/>
  <c r="GX38" i="1"/>
  <c r="C39" i="1"/>
  <c r="D39" i="1"/>
  <c r="AC39" i="1"/>
  <c r="H100" i="5" s="1"/>
  <c r="AD39" i="1"/>
  <c r="AE39" i="1"/>
  <c r="H99" i="5" s="1"/>
  <c r="R99" i="5" s="1"/>
  <c r="AF39" i="1"/>
  <c r="AG39" i="1"/>
  <c r="AH39" i="1"/>
  <c r="CV39" i="1" s="1"/>
  <c r="U39" i="1" s="1"/>
  <c r="AI39" i="1"/>
  <c r="AJ39" i="1"/>
  <c r="CX39" i="1" s="1"/>
  <c r="W39" i="1" s="1"/>
  <c r="CQ39" i="1"/>
  <c r="P39" i="1" s="1"/>
  <c r="CR39" i="1"/>
  <c r="Q39" i="1" s="1"/>
  <c r="CS39" i="1"/>
  <c r="R39" i="1" s="1"/>
  <c r="CU39" i="1"/>
  <c r="T39" i="1" s="1"/>
  <c r="CW39" i="1"/>
  <c r="V39" i="1" s="1"/>
  <c r="Z116" i="6" s="1"/>
  <c r="FR39" i="1"/>
  <c r="GL39" i="1"/>
  <c r="GO39" i="1"/>
  <c r="GP39" i="1"/>
  <c r="GV39" i="1"/>
  <c r="GX39" i="1" s="1"/>
  <c r="I40" i="1"/>
  <c r="T40" i="1"/>
  <c r="AC40" i="1"/>
  <c r="AE40" i="1"/>
  <c r="CS40" i="1" s="1"/>
  <c r="R40" i="1" s="1"/>
  <c r="X126" i="6" s="1"/>
  <c r="AF40" i="1"/>
  <c r="CT40" i="1" s="1"/>
  <c r="S40" i="1" s="1"/>
  <c r="V126" i="6" s="1"/>
  <c r="AG40" i="1"/>
  <c r="CU40" i="1" s="1"/>
  <c r="AH40" i="1"/>
  <c r="CV40" i="1" s="1"/>
  <c r="U40" i="1" s="1"/>
  <c r="Y126" i="6" s="1"/>
  <c r="AI40" i="1"/>
  <c r="CW40" i="1" s="1"/>
  <c r="V40" i="1" s="1"/>
  <c r="Z126" i="6" s="1"/>
  <c r="AJ40" i="1"/>
  <c r="CX40" i="1"/>
  <c r="W40" i="1" s="1"/>
  <c r="FR40" i="1"/>
  <c r="GK40" i="1"/>
  <c r="GL40" i="1"/>
  <c r="GO40" i="1"/>
  <c r="GP40" i="1"/>
  <c r="GV40" i="1"/>
  <c r="GX40" i="1" s="1"/>
  <c r="I41" i="1"/>
  <c r="S41" i="1"/>
  <c r="AC41" i="1"/>
  <c r="AE41" i="1"/>
  <c r="AD41" i="1" s="1"/>
  <c r="CR41" i="1" s="1"/>
  <c r="Q41" i="1" s="1"/>
  <c r="W128" i="6" s="1"/>
  <c r="AF41" i="1"/>
  <c r="AG41" i="1"/>
  <c r="AH41" i="1"/>
  <c r="CV41" i="1" s="1"/>
  <c r="U41" i="1" s="1"/>
  <c r="Y128" i="6" s="1"/>
  <c r="AI41" i="1"/>
  <c r="CW41" i="1" s="1"/>
  <c r="V41" i="1" s="1"/>
  <c r="Z128" i="6" s="1"/>
  <c r="AJ41" i="1"/>
  <c r="CQ41" i="1"/>
  <c r="P41" i="1" s="1"/>
  <c r="CT41" i="1"/>
  <c r="CU41" i="1"/>
  <c r="T41" i="1" s="1"/>
  <c r="CX41" i="1"/>
  <c r="W41" i="1" s="1"/>
  <c r="FR41" i="1"/>
  <c r="GL41" i="1"/>
  <c r="GO41" i="1"/>
  <c r="GP41" i="1"/>
  <c r="GV41" i="1"/>
  <c r="I42" i="1"/>
  <c r="AB42" i="1"/>
  <c r="G130" i="6" s="1"/>
  <c r="AC42" i="1"/>
  <c r="AE42" i="1"/>
  <c r="AD42" i="1" s="1"/>
  <c r="AF42" i="1"/>
  <c r="AG42" i="1"/>
  <c r="CU42" i="1" s="1"/>
  <c r="T42" i="1" s="1"/>
  <c r="AH42" i="1"/>
  <c r="CV42" i="1" s="1"/>
  <c r="U42" i="1" s="1"/>
  <c r="Y130" i="6" s="1"/>
  <c r="AI42" i="1"/>
  <c r="AJ42" i="1"/>
  <c r="CX42" i="1" s="1"/>
  <c r="W42" i="1" s="1"/>
  <c r="CR42" i="1"/>
  <c r="Q42" i="1" s="1"/>
  <c r="CS42" i="1"/>
  <c r="R42" i="1" s="1"/>
  <c r="CT42" i="1"/>
  <c r="S42" i="1" s="1"/>
  <c r="V130" i="6" s="1"/>
  <c r="CW42" i="1"/>
  <c r="V42" i="1" s="1"/>
  <c r="Z130" i="6" s="1"/>
  <c r="FR42" i="1"/>
  <c r="GL42" i="1"/>
  <c r="GO42" i="1"/>
  <c r="GP42" i="1"/>
  <c r="GV42" i="1"/>
  <c r="GX42" i="1" s="1"/>
  <c r="I43" i="1"/>
  <c r="T43" i="1"/>
  <c r="AC43" i="1"/>
  <c r="AE43" i="1"/>
  <c r="AD43" i="1" s="1"/>
  <c r="AF43" i="1"/>
  <c r="AG43" i="1"/>
  <c r="AH43" i="1"/>
  <c r="CV43" i="1" s="1"/>
  <c r="U43" i="1" s="1"/>
  <c r="Y132" i="6" s="1"/>
  <c r="AI43" i="1"/>
  <c r="CW43" i="1" s="1"/>
  <c r="V43" i="1" s="1"/>
  <c r="Z132" i="6" s="1"/>
  <c r="AJ43" i="1"/>
  <c r="CX43" i="1" s="1"/>
  <c r="CQ43" i="1"/>
  <c r="P43" i="1" s="1"/>
  <c r="U132" i="6" s="1"/>
  <c r="CS43" i="1"/>
  <c r="R43" i="1" s="1"/>
  <c r="CU43" i="1"/>
  <c r="FR43" i="1"/>
  <c r="GL43" i="1"/>
  <c r="GO43" i="1"/>
  <c r="GP43" i="1"/>
  <c r="GV43" i="1"/>
  <c r="GX43" i="1" s="1"/>
  <c r="C44" i="1"/>
  <c r="D44" i="1"/>
  <c r="AC44" i="1"/>
  <c r="H113" i="5" s="1"/>
  <c r="AD44" i="1"/>
  <c r="AE44" i="1"/>
  <c r="H112" i="5" s="1"/>
  <c r="R112" i="5" s="1"/>
  <c r="AF44" i="1"/>
  <c r="AG44" i="1"/>
  <c r="CU44" i="1" s="1"/>
  <c r="T44" i="1" s="1"/>
  <c r="AH44" i="1"/>
  <c r="CV44" i="1" s="1"/>
  <c r="U44" i="1" s="1"/>
  <c r="AI44" i="1"/>
  <c r="AJ44" i="1"/>
  <c r="CQ44" i="1"/>
  <c r="P44" i="1" s="1"/>
  <c r="CS44" i="1"/>
  <c r="R44" i="1" s="1"/>
  <c r="CT44" i="1"/>
  <c r="S44" i="1" s="1"/>
  <c r="CW44" i="1"/>
  <c r="V44" i="1" s="1"/>
  <c r="Z134" i="6" s="1"/>
  <c r="CX44" i="1"/>
  <c r="W44" i="1" s="1"/>
  <c r="FR44" i="1"/>
  <c r="GL44" i="1"/>
  <c r="GO44" i="1"/>
  <c r="GP44" i="1"/>
  <c r="GV44" i="1"/>
  <c r="GX44" i="1" s="1"/>
  <c r="I45" i="1"/>
  <c r="AC45" i="1"/>
  <c r="AE45" i="1"/>
  <c r="AD45" i="1" s="1"/>
  <c r="AF45" i="1"/>
  <c r="AG45" i="1"/>
  <c r="CU45" i="1" s="1"/>
  <c r="T45" i="1" s="1"/>
  <c r="AH45" i="1"/>
  <c r="CV45" i="1" s="1"/>
  <c r="U45" i="1" s="1"/>
  <c r="Y144" i="6" s="1"/>
  <c r="AI45" i="1"/>
  <c r="AJ45" i="1"/>
  <c r="CR45" i="1"/>
  <c r="Q45" i="1" s="1"/>
  <c r="W144" i="6" s="1"/>
  <c r="CS45" i="1"/>
  <c r="R45" i="1" s="1"/>
  <c r="CT45" i="1"/>
  <c r="CW45" i="1"/>
  <c r="CX45" i="1"/>
  <c r="W45" i="1" s="1"/>
  <c r="FR45" i="1"/>
  <c r="GL45" i="1"/>
  <c r="GO45" i="1"/>
  <c r="GP45" i="1"/>
  <c r="GV45" i="1"/>
  <c r="GX45" i="1" s="1"/>
  <c r="I46" i="1"/>
  <c r="AC46" i="1"/>
  <c r="AE46" i="1"/>
  <c r="AD46" i="1" s="1"/>
  <c r="AF46" i="1"/>
  <c r="AG46" i="1"/>
  <c r="CU46" i="1" s="1"/>
  <c r="T46" i="1" s="1"/>
  <c r="AH46" i="1"/>
  <c r="CV46" i="1" s="1"/>
  <c r="AI46" i="1"/>
  <c r="CW46" i="1" s="1"/>
  <c r="AJ46" i="1"/>
  <c r="CX46" i="1" s="1"/>
  <c r="CQ46" i="1"/>
  <c r="CS46" i="1"/>
  <c r="FR46" i="1"/>
  <c r="GL46" i="1"/>
  <c r="GO46" i="1"/>
  <c r="GP46" i="1"/>
  <c r="GV46" i="1"/>
  <c r="GX46" i="1" s="1"/>
  <c r="I47" i="1"/>
  <c r="AC47" i="1"/>
  <c r="AD47" i="1"/>
  <c r="CR47" i="1" s="1"/>
  <c r="Q47" i="1" s="1"/>
  <c r="W148" i="6" s="1"/>
  <c r="AE47" i="1"/>
  <c r="CS47" i="1" s="1"/>
  <c r="AF47" i="1"/>
  <c r="AG47" i="1"/>
  <c r="AH47" i="1"/>
  <c r="CV47" i="1" s="1"/>
  <c r="U47" i="1" s="1"/>
  <c r="Y148" i="6" s="1"/>
  <c r="AI47" i="1"/>
  <c r="CW47" i="1" s="1"/>
  <c r="AJ47" i="1"/>
  <c r="CT47" i="1"/>
  <c r="CU47" i="1"/>
  <c r="T47" i="1" s="1"/>
  <c r="CX47" i="1"/>
  <c r="W47" i="1" s="1"/>
  <c r="FR47" i="1"/>
  <c r="GL47" i="1"/>
  <c r="GO47" i="1"/>
  <c r="GP47" i="1"/>
  <c r="GV47" i="1"/>
  <c r="I48" i="1"/>
  <c r="AC48" i="1"/>
  <c r="H120" i="5" s="1"/>
  <c r="W120" i="5" s="1"/>
  <c r="AD48" i="1"/>
  <c r="CR48" i="1" s="1"/>
  <c r="AE48" i="1"/>
  <c r="AF48" i="1"/>
  <c r="AG48" i="1"/>
  <c r="CU48" i="1" s="1"/>
  <c r="AH48" i="1"/>
  <c r="CV48" i="1" s="1"/>
  <c r="AI48" i="1"/>
  <c r="AJ48" i="1"/>
  <c r="CQ48" i="1"/>
  <c r="P48" i="1" s="1"/>
  <c r="U150" i="6" s="1"/>
  <c r="CS48" i="1"/>
  <c r="R48" i="1" s="1"/>
  <c r="CT48" i="1"/>
  <c r="S48" i="1" s="1"/>
  <c r="V150" i="6" s="1"/>
  <c r="CW48" i="1"/>
  <c r="V48" i="1" s="1"/>
  <c r="Z150" i="6" s="1"/>
  <c r="CX48" i="1"/>
  <c r="W48" i="1" s="1"/>
  <c r="FR48" i="1"/>
  <c r="GL48" i="1"/>
  <c r="GO48" i="1"/>
  <c r="GP48" i="1"/>
  <c r="GV48" i="1"/>
  <c r="I49" i="1"/>
  <c r="AC49" i="1"/>
  <c r="AE49" i="1"/>
  <c r="AD49" i="1" s="1"/>
  <c r="CR49" i="1" s="1"/>
  <c r="Q49" i="1" s="1"/>
  <c r="W152" i="6" s="1"/>
  <c r="AF49" i="1"/>
  <c r="AG49" i="1"/>
  <c r="CU49" i="1" s="1"/>
  <c r="T49" i="1" s="1"/>
  <c r="AH49" i="1"/>
  <c r="CV49" i="1" s="1"/>
  <c r="U49" i="1" s="1"/>
  <c r="Y152" i="6" s="1"/>
  <c r="AI49" i="1"/>
  <c r="CW49" i="1" s="1"/>
  <c r="V49" i="1" s="1"/>
  <c r="Z152" i="6" s="1"/>
  <c r="AJ49" i="1"/>
  <c r="CT49" i="1"/>
  <c r="S49" i="1" s="1"/>
  <c r="V152" i="6" s="1"/>
  <c r="CX49" i="1"/>
  <c r="W49" i="1" s="1"/>
  <c r="FR49" i="1"/>
  <c r="GL49" i="1"/>
  <c r="GO49" i="1"/>
  <c r="GP49" i="1"/>
  <c r="GV49" i="1"/>
  <c r="GX49" i="1" s="1"/>
  <c r="I50" i="1"/>
  <c r="AC50" i="1"/>
  <c r="H122" i="5" s="1"/>
  <c r="W122" i="5" s="1"/>
  <c r="AE50" i="1"/>
  <c r="AD50" i="1" s="1"/>
  <c r="AF50" i="1"/>
  <c r="AG50" i="1"/>
  <c r="CU50" i="1" s="1"/>
  <c r="T50" i="1" s="1"/>
  <c r="AH50" i="1"/>
  <c r="CV50" i="1" s="1"/>
  <c r="U50" i="1" s="1"/>
  <c r="Y154" i="6" s="1"/>
  <c r="AI50" i="1"/>
  <c r="CW50" i="1" s="1"/>
  <c r="V50" i="1" s="1"/>
  <c r="Z154" i="6" s="1"/>
  <c r="AJ50" i="1"/>
  <c r="CS50" i="1"/>
  <c r="R50" i="1" s="1"/>
  <c r="X154" i="6" s="1"/>
  <c r="CX50" i="1"/>
  <c r="W50" i="1" s="1"/>
  <c r="FR50" i="1"/>
  <c r="GL50" i="1"/>
  <c r="GO50" i="1"/>
  <c r="GP50" i="1"/>
  <c r="GV50" i="1"/>
  <c r="I51" i="1"/>
  <c r="AC51" i="1"/>
  <c r="AE51" i="1"/>
  <c r="AF51" i="1"/>
  <c r="AG51" i="1"/>
  <c r="CU51" i="1" s="1"/>
  <c r="AH51" i="1"/>
  <c r="AI51" i="1"/>
  <c r="AJ51" i="1"/>
  <c r="CX51" i="1" s="1"/>
  <c r="W51" i="1" s="1"/>
  <c r="CV51" i="1"/>
  <c r="U51" i="1" s="1"/>
  <c r="Y156" i="6" s="1"/>
  <c r="CW51" i="1"/>
  <c r="V51" i="1" s="1"/>
  <c r="Z156" i="6" s="1"/>
  <c r="FR51" i="1"/>
  <c r="GL51" i="1"/>
  <c r="GO51" i="1"/>
  <c r="GP51" i="1"/>
  <c r="GV51" i="1"/>
  <c r="GX51" i="1" s="1"/>
  <c r="I52" i="1"/>
  <c r="AC52" i="1"/>
  <c r="AE52" i="1"/>
  <c r="AF52" i="1"/>
  <c r="AG52" i="1"/>
  <c r="AH52" i="1"/>
  <c r="CV52" i="1" s="1"/>
  <c r="U52" i="1" s="1"/>
  <c r="Y158" i="6" s="1"/>
  <c r="AI52" i="1"/>
  <c r="CW52" i="1" s="1"/>
  <c r="AJ52" i="1"/>
  <c r="CX52" i="1" s="1"/>
  <c r="CU52" i="1"/>
  <c r="T52" i="1" s="1"/>
  <c r="FR52" i="1"/>
  <c r="GL52" i="1"/>
  <c r="GO52" i="1"/>
  <c r="GP52" i="1"/>
  <c r="GV52" i="1"/>
  <c r="I53" i="1"/>
  <c r="S53" i="1"/>
  <c r="AC53" i="1"/>
  <c r="AE53" i="1"/>
  <c r="CS53" i="1" s="1"/>
  <c r="R53" i="1" s="1"/>
  <c r="X160" i="6" s="1"/>
  <c r="AF53" i="1"/>
  <c r="CT53" i="1" s="1"/>
  <c r="AG53" i="1"/>
  <c r="AH53" i="1"/>
  <c r="AI53" i="1"/>
  <c r="CW53" i="1" s="1"/>
  <c r="V53" i="1" s="1"/>
  <c r="Z160" i="6" s="1"/>
  <c r="AJ53" i="1"/>
  <c r="CU53" i="1"/>
  <c r="T53" i="1" s="1"/>
  <c r="CV53" i="1"/>
  <c r="U53" i="1" s="1"/>
  <c r="Y160" i="6" s="1"/>
  <c r="CX53" i="1"/>
  <c r="FR53" i="1"/>
  <c r="GK53" i="1"/>
  <c r="GL53" i="1"/>
  <c r="GO53" i="1"/>
  <c r="GP53" i="1"/>
  <c r="GV53" i="1"/>
  <c r="GX53" i="1" s="1"/>
  <c r="I54" i="1"/>
  <c r="AC54" i="1"/>
  <c r="AE54" i="1"/>
  <c r="AF54" i="1"/>
  <c r="AG54" i="1"/>
  <c r="AH54" i="1"/>
  <c r="CV54" i="1" s="1"/>
  <c r="AI54" i="1"/>
  <c r="CW54" i="1" s="1"/>
  <c r="V54" i="1" s="1"/>
  <c r="Z162" i="6" s="1"/>
  <c r="AJ54" i="1"/>
  <c r="CX54" i="1" s="1"/>
  <c r="W54" i="1" s="1"/>
  <c r="CU54" i="1"/>
  <c r="FR54" i="1"/>
  <c r="GL54" i="1"/>
  <c r="GO54" i="1"/>
  <c r="GP54" i="1"/>
  <c r="GV54" i="1"/>
  <c r="I55" i="1"/>
  <c r="AC55" i="1"/>
  <c r="AE55" i="1"/>
  <c r="AD55" i="1" s="1"/>
  <c r="AF55" i="1"/>
  <c r="AG55" i="1"/>
  <c r="CU55" i="1" s="1"/>
  <c r="AH55" i="1"/>
  <c r="AI55" i="1"/>
  <c r="AJ55" i="1"/>
  <c r="CX55" i="1" s="1"/>
  <c r="W55" i="1" s="1"/>
  <c r="CR55" i="1"/>
  <c r="Q55" i="1" s="1"/>
  <c r="W164" i="6" s="1"/>
  <c r="CS55" i="1"/>
  <c r="CV55" i="1"/>
  <c r="U55" i="1" s="1"/>
  <c r="Y164" i="6" s="1"/>
  <c r="CW55" i="1"/>
  <c r="V55" i="1" s="1"/>
  <c r="Z164" i="6" s="1"/>
  <c r="FR55" i="1"/>
  <c r="GL55" i="1"/>
  <c r="GO55" i="1"/>
  <c r="GP55" i="1"/>
  <c r="GV55" i="1"/>
  <c r="I56" i="1"/>
  <c r="Q56" i="1"/>
  <c r="W166" i="6" s="1"/>
  <c r="R56" i="1"/>
  <c r="AC56" i="1"/>
  <c r="AD56" i="1"/>
  <c r="AB56" i="1" s="1"/>
  <c r="G166" i="6" s="1"/>
  <c r="AE56" i="1"/>
  <c r="AF56" i="1"/>
  <c r="AG56" i="1"/>
  <c r="CU56" i="1" s="1"/>
  <c r="T56" i="1" s="1"/>
  <c r="AH56" i="1"/>
  <c r="CV56" i="1" s="1"/>
  <c r="U56" i="1" s="1"/>
  <c r="Y166" i="6" s="1"/>
  <c r="AI56" i="1"/>
  <c r="AJ56" i="1"/>
  <c r="CX56" i="1" s="1"/>
  <c r="CQ56" i="1"/>
  <c r="P56" i="1" s="1"/>
  <c r="U166" i="6" s="1"/>
  <c r="CR56" i="1"/>
  <c r="CS56" i="1"/>
  <c r="CW56" i="1"/>
  <c r="V56" i="1" s="1"/>
  <c r="Z166" i="6" s="1"/>
  <c r="FR56" i="1"/>
  <c r="GL56" i="1"/>
  <c r="GO56" i="1"/>
  <c r="GP56" i="1"/>
  <c r="GV56" i="1"/>
  <c r="GX56" i="1" s="1"/>
  <c r="C57" i="1"/>
  <c r="D57" i="1"/>
  <c r="I57" i="1"/>
  <c r="AC57" i="1"/>
  <c r="AE57" i="1"/>
  <c r="AD57" i="1" s="1"/>
  <c r="AF57" i="1"/>
  <c r="AG57" i="1"/>
  <c r="CU57" i="1" s="1"/>
  <c r="AH57" i="1"/>
  <c r="AI57" i="1"/>
  <c r="AJ57" i="1"/>
  <c r="CX57" i="1" s="1"/>
  <c r="W57" i="1" s="1"/>
  <c r="CR57" i="1"/>
  <c r="Q57" i="1" s="1"/>
  <c r="W168" i="6" s="1"/>
  <c r="CS57" i="1"/>
  <c r="CV57" i="1"/>
  <c r="U57" i="1" s="1"/>
  <c r="CW57" i="1"/>
  <c r="V57" i="1" s="1"/>
  <c r="Z168" i="6" s="1"/>
  <c r="FR57" i="1"/>
  <c r="GL57" i="1"/>
  <c r="GO57" i="1"/>
  <c r="GP57" i="1"/>
  <c r="GV57" i="1"/>
  <c r="I58" i="1"/>
  <c r="AC58" i="1"/>
  <c r="AE58" i="1"/>
  <c r="AD58" i="1" s="1"/>
  <c r="AF58" i="1"/>
  <c r="AG58" i="1"/>
  <c r="CU58" i="1" s="1"/>
  <c r="T58" i="1" s="1"/>
  <c r="AH58" i="1"/>
  <c r="CV58" i="1" s="1"/>
  <c r="AI58" i="1"/>
  <c r="CW58" i="1" s="1"/>
  <c r="AJ58" i="1"/>
  <c r="CX58" i="1" s="1"/>
  <c r="CQ58" i="1"/>
  <c r="CS58" i="1"/>
  <c r="FR58" i="1"/>
  <c r="GL58" i="1"/>
  <c r="GO58" i="1"/>
  <c r="GP58" i="1"/>
  <c r="GV58" i="1"/>
  <c r="GX58" i="1" s="1"/>
  <c r="AC59" i="1"/>
  <c r="AE59" i="1"/>
  <c r="AF59" i="1"/>
  <c r="AG59" i="1"/>
  <c r="AH59" i="1"/>
  <c r="AI59" i="1"/>
  <c r="CW59" i="1" s="1"/>
  <c r="AJ59" i="1"/>
  <c r="CU59" i="1"/>
  <c r="CV59" i="1"/>
  <c r="CX59" i="1"/>
  <c r="FR59" i="1"/>
  <c r="GL59" i="1"/>
  <c r="GO59" i="1"/>
  <c r="GP59" i="1"/>
  <c r="GV59" i="1"/>
  <c r="I60" i="1"/>
  <c r="AC60" i="1"/>
  <c r="AD60" i="1"/>
  <c r="CR60" i="1" s="1"/>
  <c r="Q60" i="1" s="1"/>
  <c r="W182" i="6" s="1"/>
  <c r="AE60" i="1"/>
  <c r="AF60" i="1"/>
  <c r="AG60" i="1"/>
  <c r="CU60" i="1" s="1"/>
  <c r="T60" i="1" s="1"/>
  <c r="AH60" i="1"/>
  <c r="CV60" i="1" s="1"/>
  <c r="U60" i="1" s="1"/>
  <c r="Y182" i="6" s="1"/>
  <c r="AI60" i="1"/>
  <c r="CW60" i="1" s="1"/>
  <c r="AJ60" i="1"/>
  <c r="CX60" i="1" s="1"/>
  <c r="CS60" i="1"/>
  <c r="R60" i="1" s="1"/>
  <c r="CT60" i="1"/>
  <c r="S60" i="1" s="1"/>
  <c r="V182" i="6" s="1"/>
  <c r="FR60" i="1"/>
  <c r="GL60" i="1"/>
  <c r="GO60" i="1"/>
  <c r="GP60" i="1"/>
  <c r="GV60" i="1"/>
  <c r="GX60" i="1"/>
  <c r="C61" i="1"/>
  <c r="D61" i="1"/>
  <c r="R61" i="1"/>
  <c r="AC61" i="1"/>
  <c r="H145" i="5" s="1"/>
  <c r="AD61" i="1"/>
  <c r="CR61" i="1" s="1"/>
  <c r="Q61" i="1" s="1"/>
  <c r="AE61" i="1"/>
  <c r="H144" i="5" s="1"/>
  <c r="R144" i="5" s="1"/>
  <c r="AF61" i="1"/>
  <c r="AG61" i="1"/>
  <c r="AH61" i="1"/>
  <c r="CV61" i="1" s="1"/>
  <c r="U61" i="1" s="1"/>
  <c r="AI61" i="1"/>
  <c r="AJ61" i="1"/>
  <c r="CX61" i="1" s="1"/>
  <c r="W61" i="1" s="1"/>
  <c r="CQ61" i="1"/>
  <c r="P61" i="1" s="1"/>
  <c r="CS61" i="1"/>
  <c r="CU61" i="1"/>
  <c r="T61" i="1" s="1"/>
  <c r="CW61" i="1"/>
  <c r="V61" i="1" s="1"/>
  <c r="Z184" i="6" s="1"/>
  <c r="FR61" i="1"/>
  <c r="GL61" i="1"/>
  <c r="GO61" i="1"/>
  <c r="GP61" i="1"/>
  <c r="GV61" i="1"/>
  <c r="GX61" i="1" s="1"/>
  <c r="C62" i="1"/>
  <c r="D62" i="1"/>
  <c r="T62" i="1"/>
  <c r="AC62" i="1"/>
  <c r="H154" i="5" s="1"/>
  <c r="AE62" i="1"/>
  <c r="AF62" i="1"/>
  <c r="AG62" i="1"/>
  <c r="AH62" i="1"/>
  <c r="CV62" i="1" s="1"/>
  <c r="U62" i="1" s="1"/>
  <c r="AI62" i="1"/>
  <c r="AJ62" i="1"/>
  <c r="CX62" i="1" s="1"/>
  <c r="W62" i="1" s="1"/>
  <c r="CQ62" i="1"/>
  <c r="P62" i="1" s="1"/>
  <c r="CU62" i="1"/>
  <c r="CW62" i="1"/>
  <c r="V62" i="1" s="1"/>
  <c r="Z194" i="6" s="1"/>
  <c r="FR62" i="1"/>
  <c r="GL62" i="1"/>
  <c r="GO62" i="1"/>
  <c r="GP62" i="1"/>
  <c r="GV62" i="1"/>
  <c r="GX62" i="1"/>
  <c r="C63" i="1"/>
  <c r="D63" i="1"/>
  <c r="AC63" i="1"/>
  <c r="AE63" i="1"/>
  <c r="AF63" i="1"/>
  <c r="AG63" i="1"/>
  <c r="AH63" i="1"/>
  <c r="CV63" i="1" s="1"/>
  <c r="U63" i="1" s="1"/>
  <c r="AI63" i="1"/>
  <c r="CW63" i="1" s="1"/>
  <c r="V63" i="1" s="1"/>
  <c r="Z204" i="6" s="1"/>
  <c r="AJ63" i="1"/>
  <c r="CX63" i="1" s="1"/>
  <c r="W63" i="1" s="1"/>
  <c r="CS63" i="1"/>
  <c r="R63" i="1" s="1"/>
  <c r="CU63" i="1"/>
  <c r="T63" i="1" s="1"/>
  <c r="FR63" i="1"/>
  <c r="GL63" i="1"/>
  <c r="GO63" i="1"/>
  <c r="GP63" i="1"/>
  <c r="GV63" i="1"/>
  <c r="GX63" i="1" s="1"/>
  <c r="I64" i="1"/>
  <c r="S64" i="1"/>
  <c r="CZ64" i="1" s="1"/>
  <c r="Y64" i="1" s="1"/>
  <c r="AC64" i="1"/>
  <c r="AE64" i="1"/>
  <c r="CS64" i="1" s="1"/>
  <c r="R64" i="1" s="1"/>
  <c r="X212" i="6" s="1"/>
  <c r="AF64" i="1"/>
  <c r="AG64" i="1"/>
  <c r="AH64" i="1"/>
  <c r="AI64" i="1"/>
  <c r="CW64" i="1" s="1"/>
  <c r="V64" i="1" s="1"/>
  <c r="Z212" i="6" s="1"/>
  <c r="AJ64" i="1"/>
  <c r="CT64" i="1"/>
  <c r="CU64" i="1"/>
  <c r="T64" i="1" s="1"/>
  <c r="CV64" i="1"/>
  <c r="U64" i="1" s="1"/>
  <c r="Y212" i="6" s="1"/>
  <c r="CX64" i="1"/>
  <c r="FR64" i="1"/>
  <c r="GK64" i="1"/>
  <c r="GL64" i="1"/>
  <c r="GO64" i="1"/>
  <c r="GP64" i="1"/>
  <c r="GV64" i="1"/>
  <c r="GX64" i="1" s="1"/>
  <c r="I65" i="1"/>
  <c r="AC65" i="1"/>
  <c r="AD65" i="1"/>
  <c r="CR65" i="1" s="1"/>
  <c r="AE65" i="1"/>
  <c r="AF65" i="1"/>
  <c r="AG65" i="1"/>
  <c r="CU65" i="1" s="1"/>
  <c r="AH65" i="1"/>
  <c r="CV65" i="1" s="1"/>
  <c r="AI65" i="1"/>
  <c r="AJ65" i="1"/>
  <c r="CS65" i="1"/>
  <c r="R65" i="1" s="1"/>
  <c r="CT65" i="1"/>
  <c r="S65" i="1" s="1"/>
  <c r="CW65" i="1"/>
  <c r="CX65" i="1"/>
  <c r="W65" i="1" s="1"/>
  <c r="FR65" i="1"/>
  <c r="GL65" i="1"/>
  <c r="GO65" i="1"/>
  <c r="GP65" i="1"/>
  <c r="GV65" i="1"/>
  <c r="C66" i="1"/>
  <c r="D66" i="1"/>
  <c r="AC66" i="1"/>
  <c r="H174" i="5" s="1"/>
  <c r="AE66" i="1"/>
  <c r="AF66" i="1"/>
  <c r="AG66" i="1"/>
  <c r="AH66" i="1"/>
  <c r="AI66" i="1"/>
  <c r="CW66" i="1" s="1"/>
  <c r="V66" i="1" s="1"/>
  <c r="Z216" i="6" s="1"/>
  <c r="AJ66" i="1"/>
  <c r="CX66" i="1" s="1"/>
  <c r="W66" i="1" s="1"/>
  <c r="CQ66" i="1"/>
  <c r="P66" i="1" s="1"/>
  <c r="CU66" i="1"/>
  <c r="T66" i="1" s="1"/>
  <c r="CV66" i="1"/>
  <c r="U66" i="1" s="1"/>
  <c r="FR66" i="1"/>
  <c r="GL66" i="1"/>
  <c r="GO66" i="1"/>
  <c r="GP66" i="1"/>
  <c r="GV66" i="1"/>
  <c r="GX66" i="1"/>
  <c r="I67" i="1"/>
  <c r="AC67" i="1"/>
  <c r="H178" i="5" s="1"/>
  <c r="W178" i="5" s="1"/>
  <c r="AD67" i="1"/>
  <c r="CR67" i="1" s="1"/>
  <c r="Q67" i="1" s="1"/>
  <c r="W226" i="6" s="1"/>
  <c r="AE67" i="1"/>
  <c r="CS67" i="1" s="1"/>
  <c r="R67" i="1" s="1"/>
  <c r="X226" i="6" s="1"/>
  <c r="AF67" i="1"/>
  <c r="AG67" i="1"/>
  <c r="CU67" i="1" s="1"/>
  <c r="T67" i="1" s="1"/>
  <c r="AH67" i="1"/>
  <c r="CV67" i="1" s="1"/>
  <c r="U67" i="1" s="1"/>
  <c r="Y226" i="6" s="1"/>
  <c r="AI67" i="1"/>
  <c r="CW67" i="1" s="1"/>
  <c r="V67" i="1" s="1"/>
  <c r="Z226" i="6" s="1"/>
  <c r="AJ67" i="1"/>
  <c r="CQ67" i="1"/>
  <c r="P67" i="1" s="1"/>
  <c r="CT67" i="1"/>
  <c r="S67" i="1" s="1"/>
  <c r="CX67" i="1"/>
  <c r="W67" i="1" s="1"/>
  <c r="FR67" i="1"/>
  <c r="GK67" i="1"/>
  <c r="GL67" i="1"/>
  <c r="GO67" i="1"/>
  <c r="GP67" i="1"/>
  <c r="GV67" i="1"/>
  <c r="GX67" i="1" s="1"/>
  <c r="I68" i="1"/>
  <c r="V68" i="1"/>
  <c r="Z228" i="6" s="1"/>
  <c r="AC68" i="1"/>
  <c r="AE68" i="1"/>
  <c r="AD68" i="1" s="1"/>
  <c r="CR68" i="1" s="1"/>
  <c r="Q68" i="1" s="1"/>
  <c r="W228" i="6" s="1"/>
  <c r="AF68" i="1"/>
  <c r="AG68" i="1"/>
  <c r="CU68" i="1" s="1"/>
  <c r="T68" i="1" s="1"/>
  <c r="AH68" i="1"/>
  <c r="CV68" i="1" s="1"/>
  <c r="AI68" i="1"/>
  <c r="AJ68" i="1"/>
  <c r="CX68" i="1" s="1"/>
  <c r="W68" i="1" s="1"/>
  <c r="CS68" i="1"/>
  <c r="R68" i="1" s="1"/>
  <c r="CW68" i="1"/>
  <c r="FR68" i="1"/>
  <c r="GL68" i="1"/>
  <c r="GO68" i="1"/>
  <c r="GP68" i="1"/>
  <c r="GV68" i="1"/>
  <c r="GX68" i="1"/>
  <c r="C69" i="1"/>
  <c r="D69" i="1"/>
  <c r="T69" i="1"/>
  <c r="AC69" i="1"/>
  <c r="H185" i="5" s="1"/>
  <c r="AE69" i="1"/>
  <c r="H184" i="5" s="1"/>
  <c r="R184" i="5" s="1"/>
  <c r="AF69" i="1"/>
  <c r="AG69" i="1"/>
  <c r="AH69" i="1"/>
  <c r="CV69" i="1" s="1"/>
  <c r="U69" i="1" s="1"/>
  <c r="AI69" i="1"/>
  <c r="CW69" i="1" s="1"/>
  <c r="V69" i="1" s="1"/>
  <c r="Z230" i="6" s="1"/>
  <c r="AJ69" i="1"/>
  <c r="CX69" i="1" s="1"/>
  <c r="W69" i="1" s="1"/>
  <c r="CQ69" i="1"/>
  <c r="P69" i="1" s="1"/>
  <c r="CS69" i="1"/>
  <c r="R69" i="1" s="1"/>
  <c r="CU69" i="1"/>
  <c r="FR69" i="1"/>
  <c r="GL69" i="1"/>
  <c r="GO69" i="1"/>
  <c r="GP69" i="1"/>
  <c r="GV69" i="1"/>
  <c r="GX69" i="1" s="1"/>
  <c r="I70" i="1"/>
  <c r="AC70" i="1"/>
  <c r="AE70" i="1"/>
  <c r="AF70" i="1"/>
  <c r="CT70" i="1" s="1"/>
  <c r="S70" i="1" s="1"/>
  <c r="V240" i="6" s="1"/>
  <c r="AG70" i="1"/>
  <c r="AH70" i="1"/>
  <c r="CV70" i="1" s="1"/>
  <c r="U70" i="1" s="1"/>
  <c r="Y240" i="6" s="1"/>
  <c r="AI70" i="1"/>
  <c r="CW70" i="1" s="1"/>
  <c r="AJ70" i="1"/>
  <c r="CU70" i="1"/>
  <c r="T70" i="1" s="1"/>
  <c r="CX70" i="1"/>
  <c r="W70" i="1" s="1"/>
  <c r="FR70" i="1"/>
  <c r="GL70" i="1"/>
  <c r="GO70" i="1"/>
  <c r="GP70" i="1"/>
  <c r="GV70" i="1"/>
  <c r="I71" i="1"/>
  <c r="AC71" i="1"/>
  <c r="AE71" i="1"/>
  <c r="CS71" i="1" s="1"/>
  <c r="R71" i="1" s="1"/>
  <c r="X242" i="6" s="1"/>
  <c r="AF71" i="1"/>
  <c r="CT71" i="1" s="1"/>
  <c r="S71" i="1" s="1"/>
  <c r="AG71" i="1"/>
  <c r="CU71" i="1" s="1"/>
  <c r="AH71" i="1"/>
  <c r="CV71" i="1" s="1"/>
  <c r="U71" i="1" s="1"/>
  <c r="Y242" i="6" s="1"/>
  <c r="AI71" i="1"/>
  <c r="CW71" i="1" s="1"/>
  <c r="V71" i="1" s="1"/>
  <c r="Z242" i="6" s="1"/>
  <c r="AJ71" i="1"/>
  <c r="CX71" i="1"/>
  <c r="W71" i="1" s="1"/>
  <c r="FR71" i="1"/>
  <c r="GL71" i="1"/>
  <c r="GO71" i="1"/>
  <c r="GP71" i="1"/>
  <c r="GV71" i="1"/>
  <c r="C72" i="1"/>
  <c r="D72" i="1"/>
  <c r="I72" i="1"/>
  <c r="W72" i="1"/>
  <c r="AC72" i="1"/>
  <c r="CQ72" i="1" s="1"/>
  <c r="P72" i="1" s="1"/>
  <c r="AE72" i="1"/>
  <c r="AF72" i="1"/>
  <c r="AG72" i="1"/>
  <c r="AH72" i="1"/>
  <c r="CV72" i="1" s="1"/>
  <c r="U72" i="1" s="1"/>
  <c r="AI72" i="1"/>
  <c r="CW72" i="1" s="1"/>
  <c r="V72" i="1" s="1"/>
  <c r="Z244" i="6" s="1"/>
  <c r="AJ72" i="1"/>
  <c r="CU72" i="1"/>
  <c r="T72" i="1" s="1"/>
  <c r="CX72" i="1"/>
  <c r="FR72" i="1"/>
  <c r="GL72" i="1"/>
  <c r="GO72" i="1"/>
  <c r="GP72" i="1"/>
  <c r="GV72" i="1"/>
  <c r="GX72" i="1" s="1"/>
  <c r="C73" i="1"/>
  <c r="D73" i="1"/>
  <c r="I73" i="1"/>
  <c r="AC73" i="1"/>
  <c r="AE73" i="1"/>
  <c r="AF73" i="1"/>
  <c r="AG73" i="1"/>
  <c r="AH73" i="1"/>
  <c r="CV73" i="1" s="1"/>
  <c r="U73" i="1" s="1"/>
  <c r="AI73" i="1"/>
  <c r="AJ73" i="1"/>
  <c r="CX73" i="1" s="1"/>
  <c r="CQ73" i="1"/>
  <c r="P73" i="1" s="1"/>
  <c r="U254" i="6" s="1"/>
  <c r="CU73" i="1"/>
  <c r="T73" i="1" s="1"/>
  <c r="CW73" i="1"/>
  <c r="V73" i="1" s="1"/>
  <c r="Z254" i="6" s="1"/>
  <c r="FR73" i="1"/>
  <c r="GL73" i="1"/>
  <c r="GO73" i="1"/>
  <c r="GP73" i="1"/>
  <c r="GV73" i="1"/>
  <c r="GX73" i="1" s="1"/>
  <c r="C74" i="1"/>
  <c r="D74" i="1"/>
  <c r="I74" i="1"/>
  <c r="AC74" i="1"/>
  <c r="AE74" i="1"/>
  <c r="AD74" i="1" s="1"/>
  <c r="CR74" i="1" s="1"/>
  <c r="AF74" i="1"/>
  <c r="AG74" i="1"/>
  <c r="CU74" i="1" s="1"/>
  <c r="AH74" i="1"/>
  <c r="AI74" i="1"/>
  <c r="AJ74" i="1"/>
  <c r="CX74" i="1" s="1"/>
  <c r="CT74" i="1"/>
  <c r="CV74" i="1"/>
  <c r="CW74" i="1"/>
  <c r="FR74" i="1"/>
  <c r="GL74" i="1"/>
  <c r="GO74" i="1"/>
  <c r="GP74" i="1"/>
  <c r="GV74" i="1"/>
  <c r="C75" i="1"/>
  <c r="D75" i="1"/>
  <c r="I75" i="1"/>
  <c r="R75" i="1"/>
  <c r="AC75" i="1"/>
  <c r="H220" i="5" s="1"/>
  <c r="AD75" i="1"/>
  <c r="CR75" i="1" s="1"/>
  <c r="Q75" i="1" s="1"/>
  <c r="W274" i="6" s="1"/>
  <c r="AE75" i="1"/>
  <c r="AF75" i="1"/>
  <c r="AG75" i="1"/>
  <c r="CU75" i="1" s="1"/>
  <c r="T75" i="1" s="1"/>
  <c r="AH75" i="1"/>
  <c r="CV75" i="1" s="1"/>
  <c r="U75" i="1" s="1"/>
  <c r="AI75" i="1"/>
  <c r="CW75" i="1" s="1"/>
  <c r="V75" i="1" s="1"/>
  <c r="Z274" i="6" s="1"/>
  <c r="AJ75" i="1"/>
  <c r="CQ75" i="1"/>
  <c r="P75" i="1" s="1"/>
  <c r="CS75" i="1"/>
  <c r="CX75" i="1"/>
  <c r="W75" i="1" s="1"/>
  <c r="FR75" i="1"/>
  <c r="GL75" i="1"/>
  <c r="GO75" i="1"/>
  <c r="GP75" i="1"/>
  <c r="GV75" i="1"/>
  <c r="GX75" i="1" s="1"/>
  <c r="I76" i="1"/>
  <c r="AC76" i="1"/>
  <c r="AD76" i="1"/>
  <c r="CR76" i="1" s="1"/>
  <c r="AE76" i="1"/>
  <c r="AF76" i="1"/>
  <c r="AG76" i="1"/>
  <c r="CU76" i="1" s="1"/>
  <c r="T76" i="1" s="1"/>
  <c r="AH76" i="1"/>
  <c r="CV76" i="1" s="1"/>
  <c r="AI76" i="1"/>
  <c r="AJ76" i="1"/>
  <c r="CS76" i="1"/>
  <c r="R76" i="1" s="1"/>
  <c r="CT76" i="1"/>
  <c r="S76" i="1" s="1"/>
  <c r="V284" i="6" s="1"/>
  <c r="CW76" i="1"/>
  <c r="CX76" i="1"/>
  <c r="W76" i="1" s="1"/>
  <c r="FR76" i="1"/>
  <c r="GL76" i="1"/>
  <c r="GO76" i="1"/>
  <c r="GP76" i="1"/>
  <c r="GV76" i="1"/>
  <c r="C77" i="1"/>
  <c r="D77" i="1"/>
  <c r="P77" i="1"/>
  <c r="R77" i="1"/>
  <c r="AC77" i="1"/>
  <c r="H230" i="5" s="1"/>
  <c r="AD77" i="1"/>
  <c r="AE77" i="1"/>
  <c r="H229" i="5" s="1"/>
  <c r="R229" i="5" s="1"/>
  <c r="AF77" i="1"/>
  <c r="AG77" i="1"/>
  <c r="AH77" i="1"/>
  <c r="CV77" i="1" s="1"/>
  <c r="U77" i="1" s="1"/>
  <c r="AI77" i="1"/>
  <c r="CW77" i="1" s="1"/>
  <c r="V77" i="1" s="1"/>
  <c r="Z286" i="6" s="1"/>
  <c r="AJ77" i="1"/>
  <c r="CX77" i="1" s="1"/>
  <c r="W77" i="1" s="1"/>
  <c r="CQ77" i="1"/>
  <c r="CR77" i="1"/>
  <c r="Q77" i="1" s="1"/>
  <c r="CS77" i="1"/>
  <c r="CU77" i="1"/>
  <c r="T77" i="1" s="1"/>
  <c r="FR77" i="1"/>
  <c r="GL77" i="1"/>
  <c r="GO77" i="1"/>
  <c r="GP77" i="1"/>
  <c r="GV77" i="1"/>
  <c r="GX77" i="1" s="1"/>
  <c r="I78" i="1"/>
  <c r="AC78" i="1"/>
  <c r="AE78" i="1"/>
  <c r="AF78" i="1"/>
  <c r="AG78" i="1"/>
  <c r="CU78" i="1" s="1"/>
  <c r="T78" i="1" s="1"/>
  <c r="AH78" i="1"/>
  <c r="AI78" i="1"/>
  <c r="CW78" i="1" s="1"/>
  <c r="V78" i="1" s="1"/>
  <c r="Z294" i="6" s="1"/>
  <c r="AJ78" i="1"/>
  <c r="CX78" i="1" s="1"/>
  <c r="W78" i="1" s="1"/>
  <c r="CQ78" i="1"/>
  <c r="P78" i="1" s="1"/>
  <c r="CV78" i="1"/>
  <c r="U78" i="1" s="1"/>
  <c r="Y294" i="6" s="1"/>
  <c r="FR78" i="1"/>
  <c r="GL78" i="1"/>
  <c r="GO78" i="1"/>
  <c r="GP78" i="1"/>
  <c r="GV78" i="1"/>
  <c r="GX78" i="1" s="1"/>
  <c r="C79" i="1"/>
  <c r="D79" i="1"/>
  <c r="AC79" i="1"/>
  <c r="AE79" i="1"/>
  <c r="AF79" i="1"/>
  <c r="AG79" i="1"/>
  <c r="CU79" i="1" s="1"/>
  <c r="T79" i="1" s="1"/>
  <c r="AH79" i="1"/>
  <c r="AI79" i="1"/>
  <c r="AJ79" i="1"/>
  <c r="CX79" i="1" s="1"/>
  <c r="W79" i="1" s="1"/>
  <c r="CV79" i="1"/>
  <c r="U79" i="1" s="1"/>
  <c r="CW79" i="1"/>
  <c r="V79" i="1" s="1"/>
  <c r="Z296" i="6" s="1"/>
  <c r="FR79" i="1"/>
  <c r="GL79" i="1"/>
  <c r="GO79" i="1"/>
  <c r="GP79" i="1"/>
  <c r="GV79" i="1"/>
  <c r="GX79" i="1" s="1"/>
  <c r="O80" i="1"/>
  <c r="P80" i="1"/>
  <c r="U304" i="6" s="1"/>
  <c r="Q80" i="1"/>
  <c r="W304" i="6" s="1"/>
  <c r="R80" i="1"/>
  <c r="X304" i="6" s="1"/>
  <c r="S80" i="1"/>
  <c r="V304" i="6" s="1"/>
  <c r="T80" i="1"/>
  <c r="U80" i="1"/>
  <c r="V80" i="1"/>
  <c r="Z304" i="6" s="1"/>
  <c r="W80" i="1"/>
  <c r="X80" i="1"/>
  <c r="Y80" i="1"/>
  <c r="AB80" i="1"/>
  <c r="AC80" i="1"/>
  <c r="AD80" i="1"/>
  <c r="AE80" i="1"/>
  <c r="AF80" i="1"/>
  <c r="AG80" i="1"/>
  <c r="AH80" i="1"/>
  <c r="AI80" i="1"/>
  <c r="AJ80" i="1"/>
  <c r="CP80" i="1"/>
  <c r="GN80" i="1" s="1"/>
  <c r="FR80" i="1"/>
  <c r="GK80" i="1"/>
  <c r="GL80" i="1"/>
  <c r="GM80" i="1"/>
  <c r="GO80" i="1"/>
  <c r="GP80" i="1"/>
  <c r="GV80" i="1"/>
  <c r="GX80" i="1" s="1"/>
  <c r="O81" i="1"/>
  <c r="P81" i="1"/>
  <c r="U306" i="6" s="1"/>
  <c r="Q81" i="1"/>
  <c r="W306" i="6" s="1"/>
  <c r="R81" i="1"/>
  <c r="X306" i="6" s="1"/>
  <c r="S81" i="1"/>
  <c r="V306" i="6" s="1"/>
  <c r="T81" i="1"/>
  <c r="U81" i="1"/>
  <c r="V81" i="1"/>
  <c r="Z306" i="6" s="1"/>
  <c r="W81" i="1"/>
  <c r="X81" i="1"/>
  <c r="Y81" i="1"/>
  <c r="AB81" i="1"/>
  <c r="AC81" i="1"/>
  <c r="AD81" i="1"/>
  <c r="AE81" i="1"/>
  <c r="AF81" i="1"/>
  <c r="AG81" i="1"/>
  <c r="AH81" i="1"/>
  <c r="AI81" i="1"/>
  <c r="AJ81" i="1"/>
  <c r="CP81" i="1"/>
  <c r="GN81" i="1" s="1"/>
  <c r="FR81" i="1"/>
  <c r="GK81" i="1"/>
  <c r="GL81" i="1"/>
  <c r="GM81" i="1"/>
  <c r="GO81" i="1"/>
  <c r="GP81" i="1"/>
  <c r="GV81" i="1"/>
  <c r="GX81" i="1" s="1"/>
  <c r="B83" i="1"/>
  <c r="B26" i="1" s="1"/>
  <c r="C83" i="1"/>
  <c r="C26" i="1" s="1"/>
  <c r="D83" i="1"/>
  <c r="D26" i="1" s="1"/>
  <c r="F83" i="1"/>
  <c r="F26" i="1" s="1"/>
  <c r="G83" i="1"/>
  <c r="BX83" i="1"/>
  <c r="CK83" i="1"/>
  <c r="CK26" i="1" s="1"/>
  <c r="CL83" i="1"/>
  <c r="D112" i="1"/>
  <c r="E114" i="1"/>
  <c r="Z114" i="1"/>
  <c r="AA114" i="1"/>
  <c r="AM114" i="1"/>
  <c r="AN114" i="1"/>
  <c r="BD114" i="1"/>
  <c r="BE114" i="1"/>
  <c r="BF114" i="1"/>
  <c r="BG114" i="1"/>
  <c r="BH114" i="1"/>
  <c r="BI114" i="1"/>
  <c r="BJ114" i="1"/>
  <c r="BK114" i="1"/>
  <c r="BL114" i="1"/>
  <c r="BM114" i="1"/>
  <c r="BN114" i="1"/>
  <c r="BO114" i="1"/>
  <c r="BP114" i="1"/>
  <c r="BQ114" i="1"/>
  <c r="BR114" i="1"/>
  <c r="BS114" i="1"/>
  <c r="BT114" i="1"/>
  <c r="BU114" i="1"/>
  <c r="BV114" i="1"/>
  <c r="BW114" i="1"/>
  <c r="CM114" i="1"/>
  <c r="CN114" i="1"/>
  <c r="CO114" i="1"/>
  <c r="CP114" i="1"/>
  <c r="CQ114" i="1"/>
  <c r="CR114" i="1"/>
  <c r="CS114" i="1"/>
  <c r="CT114" i="1"/>
  <c r="CU114" i="1"/>
  <c r="CV114" i="1"/>
  <c r="CW114" i="1"/>
  <c r="CX114" i="1"/>
  <c r="CY114" i="1"/>
  <c r="CZ114" i="1"/>
  <c r="DA114" i="1"/>
  <c r="DB114" i="1"/>
  <c r="DC114" i="1"/>
  <c r="DD114" i="1"/>
  <c r="DE114" i="1"/>
  <c r="DF114" i="1"/>
  <c r="DG114" i="1"/>
  <c r="DH114" i="1"/>
  <c r="DI114" i="1"/>
  <c r="DJ114" i="1"/>
  <c r="DK114" i="1"/>
  <c r="DL114" i="1"/>
  <c r="DM114" i="1"/>
  <c r="DN114" i="1"/>
  <c r="DO114" i="1"/>
  <c r="DP114" i="1"/>
  <c r="DQ114" i="1"/>
  <c r="DR114" i="1"/>
  <c r="DS114" i="1"/>
  <c r="DT114" i="1"/>
  <c r="DU114" i="1"/>
  <c r="DV114" i="1"/>
  <c r="DW114" i="1"/>
  <c r="DX114" i="1"/>
  <c r="DY114" i="1"/>
  <c r="DZ114" i="1"/>
  <c r="EA114" i="1"/>
  <c r="EB114" i="1"/>
  <c r="EC114" i="1"/>
  <c r="ED114" i="1"/>
  <c r="EE114" i="1"/>
  <c r="EF114" i="1"/>
  <c r="EG114" i="1"/>
  <c r="EH114" i="1"/>
  <c r="EI114" i="1"/>
  <c r="EJ114" i="1"/>
  <c r="EK114" i="1"/>
  <c r="EL114" i="1"/>
  <c r="EM114" i="1"/>
  <c r="EN114" i="1"/>
  <c r="EO114" i="1"/>
  <c r="EP114" i="1"/>
  <c r="EQ114" i="1"/>
  <c r="ER114" i="1"/>
  <c r="ES114" i="1"/>
  <c r="ET114" i="1"/>
  <c r="EU114" i="1"/>
  <c r="EV114" i="1"/>
  <c r="EW114" i="1"/>
  <c r="EX114" i="1"/>
  <c r="EY114" i="1"/>
  <c r="EZ114" i="1"/>
  <c r="FA114" i="1"/>
  <c r="FB114" i="1"/>
  <c r="FC114" i="1"/>
  <c r="FD114" i="1"/>
  <c r="FE114" i="1"/>
  <c r="FF114" i="1"/>
  <c r="FG114" i="1"/>
  <c r="FH114" i="1"/>
  <c r="FI114" i="1"/>
  <c r="FJ114" i="1"/>
  <c r="FK114" i="1"/>
  <c r="FL114" i="1"/>
  <c r="FM114" i="1"/>
  <c r="FN114" i="1"/>
  <c r="FO114" i="1"/>
  <c r="FP114" i="1"/>
  <c r="FQ114" i="1"/>
  <c r="FR114" i="1"/>
  <c r="FS114" i="1"/>
  <c r="FT114" i="1"/>
  <c r="FU114" i="1"/>
  <c r="FV114" i="1"/>
  <c r="FW114" i="1"/>
  <c r="FX114" i="1"/>
  <c r="FY114" i="1"/>
  <c r="FZ114" i="1"/>
  <c r="GA114" i="1"/>
  <c r="GB114" i="1"/>
  <c r="GC114" i="1"/>
  <c r="GD114" i="1"/>
  <c r="GE114" i="1"/>
  <c r="GF114" i="1"/>
  <c r="GG114" i="1"/>
  <c r="GH114" i="1"/>
  <c r="GI114" i="1"/>
  <c r="GJ114" i="1"/>
  <c r="GK114" i="1"/>
  <c r="GL114" i="1"/>
  <c r="GM114" i="1"/>
  <c r="GN114" i="1"/>
  <c r="GO114" i="1"/>
  <c r="GP114" i="1"/>
  <c r="GQ114" i="1"/>
  <c r="GR114" i="1"/>
  <c r="GS114" i="1"/>
  <c r="GT114" i="1"/>
  <c r="GU114" i="1"/>
  <c r="GV114" i="1"/>
  <c r="GW114" i="1"/>
  <c r="GX114" i="1"/>
  <c r="C116" i="1"/>
  <c r="D116" i="1"/>
  <c r="U116" i="1"/>
  <c r="AC116" i="1"/>
  <c r="AE116" i="1"/>
  <c r="H256" i="5" s="1"/>
  <c r="R256" i="5" s="1"/>
  <c r="AF116" i="1"/>
  <c r="AG116" i="1"/>
  <c r="CU116" i="1" s="1"/>
  <c r="T116" i="1" s="1"/>
  <c r="AH116" i="1"/>
  <c r="AI116" i="1"/>
  <c r="CW116" i="1" s="1"/>
  <c r="V116" i="1" s="1"/>
  <c r="Z314" i="6" s="1"/>
  <c r="AJ116" i="1"/>
  <c r="CT116" i="1"/>
  <c r="S116" i="1" s="1"/>
  <c r="CV116" i="1"/>
  <c r="CX116" i="1"/>
  <c r="W116" i="1" s="1"/>
  <c r="FR116" i="1"/>
  <c r="GL116" i="1"/>
  <c r="BZ127" i="1" s="1"/>
  <c r="BZ114" i="1" s="1"/>
  <c r="GO116" i="1"/>
  <c r="GP116" i="1"/>
  <c r="CD127" i="1" s="1"/>
  <c r="CD114" i="1" s="1"/>
  <c r="GV116" i="1"/>
  <c r="GX116" i="1" s="1"/>
  <c r="C117" i="1"/>
  <c r="D117" i="1"/>
  <c r="AC117" i="1"/>
  <c r="H265" i="5" s="1"/>
  <c r="AE117" i="1"/>
  <c r="H264" i="5" s="1"/>
  <c r="R264" i="5" s="1"/>
  <c r="AF117" i="1"/>
  <c r="CT117" i="1" s="1"/>
  <c r="S117" i="1" s="1"/>
  <c r="AG117" i="1"/>
  <c r="CU117" i="1" s="1"/>
  <c r="T117" i="1" s="1"/>
  <c r="AH117" i="1"/>
  <c r="AI117" i="1"/>
  <c r="CW117" i="1" s="1"/>
  <c r="V117" i="1" s="1"/>
  <c r="Z322" i="6" s="1"/>
  <c r="AJ117" i="1"/>
  <c r="CX117" i="1" s="1"/>
  <c r="W117" i="1" s="1"/>
  <c r="CV117" i="1"/>
  <c r="U117" i="1" s="1"/>
  <c r="FR117" i="1"/>
  <c r="GL117" i="1"/>
  <c r="GO117" i="1"/>
  <c r="GP117" i="1"/>
  <c r="GV117" i="1"/>
  <c r="GX117" i="1" s="1"/>
  <c r="I118" i="1"/>
  <c r="AC118" i="1"/>
  <c r="AD118" i="1"/>
  <c r="CR118" i="1" s="1"/>
  <c r="AE118" i="1"/>
  <c r="CS118" i="1" s="1"/>
  <c r="R118" i="1" s="1"/>
  <c r="AF118" i="1"/>
  <c r="AG118" i="1"/>
  <c r="AH118" i="1"/>
  <c r="CV118" i="1" s="1"/>
  <c r="AI118" i="1"/>
  <c r="AJ118" i="1"/>
  <c r="CX118" i="1" s="1"/>
  <c r="CT118" i="1"/>
  <c r="CU118" i="1"/>
  <c r="T118" i="1" s="1"/>
  <c r="CW118" i="1"/>
  <c r="V118" i="1" s="1"/>
  <c r="Z332" i="6" s="1"/>
  <c r="FR118" i="1"/>
  <c r="GL118" i="1"/>
  <c r="GO118" i="1"/>
  <c r="GP118" i="1"/>
  <c r="GV118" i="1"/>
  <c r="I119" i="1"/>
  <c r="AC119" i="1"/>
  <c r="AE119" i="1"/>
  <c r="AD119" i="1" s="1"/>
  <c r="AF119" i="1"/>
  <c r="AG119" i="1"/>
  <c r="CU119" i="1" s="1"/>
  <c r="AH119" i="1"/>
  <c r="CV119" i="1" s="1"/>
  <c r="U119" i="1" s="1"/>
  <c r="Y334" i="6" s="1"/>
  <c r="AI119" i="1"/>
  <c r="CW119" i="1" s="1"/>
  <c r="AJ119" i="1"/>
  <c r="CX119" i="1" s="1"/>
  <c r="CS119" i="1"/>
  <c r="R119" i="1" s="1"/>
  <c r="CT119" i="1"/>
  <c r="S119" i="1" s="1"/>
  <c r="V334" i="6" s="1"/>
  <c r="FR119" i="1"/>
  <c r="GL119" i="1"/>
  <c r="GO119" i="1"/>
  <c r="GP119" i="1"/>
  <c r="GV119" i="1"/>
  <c r="C120" i="1"/>
  <c r="D120" i="1"/>
  <c r="AC120" i="1"/>
  <c r="AE120" i="1"/>
  <c r="AF120" i="1"/>
  <c r="AG120" i="1"/>
  <c r="CU120" i="1" s="1"/>
  <c r="T120" i="1" s="1"/>
  <c r="AH120" i="1"/>
  <c r="CV120" i="1" s="1"/>
  <c r="U120" i="1" s="1"/>
  <c r="AI120" i="1"/>
  <c r="AJ120" i="1"/>
  <c r="CX120" i="1" s="1"/>
  <c r="W120" i="1" s="1"/>
  <c r="CS120" i="1"/>
  <c r="R120" i="1" s="1"/>
  <c r="CW120" i="1"/>
  <c r="V120" i="1" s="1"/>
  <c r="Z336" i="6" s="1"/>
  <c r="FR120" i="1"/>
  <c r="GL120" i="1"/>
  <c r="GO120" i="1"/>
  <c r="GP120" i="1"/>
  <c r="GV120" i="1"/>
  <c r="GX120" i="1"/>
  <c r="I121" i="1"/>
  <c r="AC121" i="1"/>
  <c r="AE121" i="1"/>
  <c r="AD121" i="1" s="1"/>
  <c r="AF121" i="1"/>
  <c r="AG121" i="1"/>
  <c r="AH121" i="1"/>
  <c r="AI121" i="1"/>
  <c r="CW121" i="1" s="1"/>
  <c r="V121" i="1" s="1"/>
  <c r="Z346" i="6" s="1"/>
  <c r="AJ121" i="1"/>
  <c r="CX121" i="1" s="1"/>
  <c r="W121" i="1" s="1"/>
  <c r="CU121" i="1"/>
  <c r="T121" i="1" s="1"/>
  <c r="CV121" i="1"/>
  <c r="U121" i="1" s="1"/>
  <c r="Y346" i="6" s="1"/>
  <c r="FR121" i="1"/>
  <c r="GL121" i="1"/>
  <c r="GO121" i="1"/>
  <c r="GP121" i="1"/>
  <c r="GV121" i="1"/>
  <c r="GX121" i="1" s="1"/>
  <c r="I122" i="1"/>
  <c r="AC122" i="1"/>
  <c r="AE122" i="1"/>
  <c r="CS122" i="1" s="1"/>
  <c r="R122" i="1" s="1"/>
  <c r="AF122" i="1"/>
  <c r="AG122" i="1"/>
  <c r="AH122" i="1"/>
  <c r="CV122" i="1" s="1"/>
  <c r="U122" i="1" s="1"/>
  <c r="Y348" i="6" s="1"/>
  <c r="AI122" i="1"/>
  <c r="CW122" i="1" s="1"/>
  <c r="V122" i="1" s="1"/>
  <c r="Z348" i="6" s="1"/>
  <c r="AJ122" i="1"/>
  <c r="CQ122" i="1"/>
  <c r="P122" i="1" s="1"/>
  <c r="U348" i="6" s="1"/>
  <c r="CT122" i="1"/>
  <c r="S122" i="1" s="1"/>
  <c r="V348" i="6" s="1"/>
  <c r="CU122" i="1"/>
  <c r="T122" i="1" s="1"/>
  <c r="CX122" i="1"/>
  <c r="W122" i="1" s="1"/>
  <c r="FR122" i="1"/>
  <c r="GL122" i="1"/>
  <c r="GO122" i="1"/>
  <c r="GP122" i="1"/>
  <c r="GV122" i="1"/>
  <c r="GX122" i="1" s="1"/>
  <c r="C123" i="1"/>
  <c r="D123" i="1"/>
  <c r="AC123" i="1"/>
  <c r="AE123" i="1"/>
  <c r="AF123" i="1"/>
  <c r="AG123" i="1"/>
  <c r="CU123" i="1" s="1"/>
  <c r="T123" i="1" s="1"/>
  <c r="AH123" i="1"/>
  <c r="AI123" i="1"/>
  <c r="AJ123" i="1"/>
  <c r="CX123" i="1" s="1"/>
  <c r="W123" i="1" s="1"/>
  <c r="CS123" i="1"/>
  <c r="R123" i="1" s="1"/>
  <c r="CV123" i="1"/>
  <c r="U123" i="1" s="1"/>
  <c r="CW123" i="1"/>
  <c r="V123" i="1" s="1"/>
  <c r="Z350" i="6" s="1"/>
  <c r="FR123" i="1"/>
  <c r="GL123" i="1"/>
  <c r="GO123" i="1"/>
  <c r="GP123" i="1"/>
  <c r="GV123" i="1"/>
  <c r="GX123" i="1"/>
  <c r="I124" i="1"/>
  <c r="AC124" i="1"/>
  <c r="AE124" i="1"/>
  <c r="AD124" i="1" s="1"/>
  <c r="AF124" i="1"/>
  <c r="AG124" i="1"/>
  <c r="AH124" i="1"/>
  <c r="AI124" i="1"/>
  <c r="CW124" i="1" s="1"/>
  <c r="V124" i="1" s="1"/>
  <c r="Z360" i="6" s="1"/>
  <c r="AJ124" i="1"/>
  <c r="CX124" i="1" s="1"/>
  <c r="W124" i="1" s="1"/>
  <c r="CU124" i="1"/>
  <c r="T124" i="1" s="1"/>
  <c r="CV124" i="1"/>
  <c r="U124" i="1" s="1"/>
  <c r="Y360" i="6" s="1"/>
  <c r="FR124" i="1"/>
  <c r="GL124" i="1"/>
  <c r="GO124" i="1"/>
  <c r="GP124" i="1"/>
  <c r="GV124" i="1"/>
  <c r="GX124" i="1" s="1"/>
  <c r="C125" i="1"/>
  <c r="D125" i="1"/>
  <c r="I125" i="1"/>
  <c r="AC125" i="1"/>
  <c r="CQ125" i="1" s="1"/>
  <c r="AE125" i="1"/>
  <c r="AD125" i="1" s="1"/>
  <c r="AF125" i="1"/>
  <c r="AG125" i="1"/>
  <c r="CU125" i="1" s="1"/>
  <c r="T125" i="1" s="1"/>
  <c r="AH125" i="1"/>
  <c r="AI125" i="1"/>
  <c r="AJ125" i="1"/>
  <c r="CX125" i="1" s="1"/>
  <c r="W125" i="1" s="1"/>
  <c r="CS125" i="1"/>
  <c r="R125" i="1" s="1"/>
  <c r="CV125" i="1"/>
  <c r="CW125" i="1"/>
  <c r="FR125" i="1"/>
  <c r="GL125" i="1"/>
  <c r="GO125" i="1"/>
  <c r="GP125" i="1"/>
  <c r="GV125" i="1"/>
  <c r="GX125" i="1" s="1"/>
  <c r="B127" i="1"/>
  <c r="B114" i="1" s="1"/>
  <c r="C127" i="1"/>
  <c r="C114" i="1" s="1"/>
  <c r="D127" i="1"/>
  <c r="D114" i="1" s="1"/>
  <c r="F127" i="1"/>
  <c r="F114" i="1" s="1"/>
  <c r="G127" i="1"/>
  <c r="BX127" i="1"/>
  <c r="BY127" i="1"/>
  <c r="BY114" i="1" s="1"/>
  <c r="CK127" i="1"/>
  <c r="CK114" i="1" s="1"/>
  <c r="CL127" i="1"/>
  <c r="CL114" i="1" s="1"/>
  <c r="D156" i="1"/>
  <c r="E158" i="1"/>
  <c r="Z158" i="1"/>
  <c r="AA158" i="1"/>
  <c r="AM158" i="1"/>
  <c r="AN158" i="1"/>
  <c r="BD158" i="1"/>
  <c r="BE158" i="1"/>
  <c r="BF158" i="1"/>
  <c r="BG158" i="1"/>
  <c r="BH158" i="1"/>
  <c r="BI158" i="1"/>
  <c r="BJ158" i="1"/>
  <c r="BK158" i="1"/>
  <c r="BL158" i="1"/>
  <c r="BM158" i="1"/>
  <c r="BN158" i="1"/>
  <c r="BO158" i="1"/>
  <c r="BP158" i="1"/>
  <c r="BQ158" i="1"/>
  <c r="BR158" i="1"/>
  <c r="BS158" i="1"/>
  <c r="BT158" i="1"/>
  <c r="BU158" i="1"/>
  <c r="BV158" i="1"/>
  <c r="BW158" i="1"/>
  <c r="CM158" i="1"/>
  <c r="CN158" i="1"/>
  <c r="CO158" i="1"/>
  <c r="CP158" i="1"/>
  <c r="CQ158" i="1"/>
  <c r="CR158" i="1"/>
  <c r="CS158" i="1"/>
  <c r="CT158" i="1"/>
  <c r="CU158" i="1"/>
  <c r="CV158" i="1"/>
  <c r="CW158" i="1"/>
  <c r="CX158" i="1"/>
  <c r="CY158" i="1"/>
  <c r="CZ158" i="1"/>
  <c r="DA158" i="1"/>
  <c r="DB158" i="1"/>
  <c r="DC158" i="1"/>
  <c r="DD158" i="1"/>
  <c r="DE158" i="1"/>
  <c r="DF158" i="1"/>
  <c r="DG158" i="1"/>
  <c r="DH158" i="1"/>
  <c r="DI158" i="1"/>
  <c r="DJ158" i="1"/>
  <c r="DK158" i="1"/>
  <c r="DL158" i="1"/>
  <c r="DM158" i="1"/>
  <c r="DN158" i="1"/>
  <c r="DO158" i="1"/>
  <c r="DP158" i="1"/>
  <c r="DQ158" i="1"/>
  <c r="DR158" i="1"/>
  <c r="DS158" i="1"/>
  <c r="DT158" i="1"/>
  <c r="DU158" i="1"/>
  <c r="DV158" i="1"/>
  <c r="DW158" i="1"/>
  <c r="DX158" i="1"/>
  <c r="DY158" i="1"/>
  <c r="DZ158" i="1"/>
  <c r="EA158" i="1"/>
  <c r="EB158" i="1"/>
  <c r="EC158" i="1"/>
  <c r="ED158" i="1"/>
  <c r="EE158" i="1"/>
  <c r="EF158" i="1"/>
  <c r="EG158" i="1"/>
  <c r="EH158" i="1"/>
  <c r="EI158" i="1"/>
  <c r="EJ158" i="1"/>
  <c r="EK158" i="1"/>
  <c r="EL158" i="1"/>
  <c r="EM158" i="1"/>
  <c r="EN158" i="1"/>
  <c r="EO158" i="1"/>
  <c r="EP158" i="1"/>
  <c r="EQ158" i="1"/>
  <c r="ER158" i="1"/>
  <c r="ES158" i="1"/>
  <c r="ET158" i="1"/>
  <c r="EU158" i="1"/>
  <c r="EV158" i="1"/>
  <c r="EW158" i="1"/>
  <c r="EX158" i="1"/>
  <c r="EY158" i="1"/>
  <c r="EZ158" i="1"/>
  <c r="FA158" i="1"/>
  <c r="FB158" i="1"/>
  <c r="FC158" i="1"/>
  <c r="FD158" i="1"/>
  <c r="FE158" i="1"/>
  <c r="FF158" i="1"/>
  <c r="FG158" i="1"/>
  <c r="FH158" i="1"/>
  <c r="FI158" i="1"/>
  <c r="FJ158" i="1"/>
  <c r="FK158" i="1"/>
  <c r="FL158" i="1"/>
  <c r="FM158" i="1"/>
  <c r="FN158" i="1"/>
  <c r="FO158" i="1"/>
  <c r="FP158" i="1"/>
  <c r="FQ158" i="1"/>
  <c r="FR158" i="1"/>
  <c r="FS158" i="1"/>
  <c r="FT158" i="1"/>
  <c r="FU158" i="1"/>
  <c r="FV158" i="1"/>
  <c r="FW158" i="1"/>
  <c r="FX158" i="1"/>
  <c r="FY158" i="1"/>
  <c r="FZ158" i="1"/>
  <c r="GA158" i="1"/>
  <c r="GB158" i="1"/>
  <c r="GC158" i="1"/>
  <c r="GD158" i="1"/>
  <c r="GE158" i="1"/>
  <c r="GF158" i="1"/>
  <c r="GG158" i="1"/>
  <c r="GH158" i="1"/>
  <c r="GI158" i="1"/>
  <c r="GJ158" i="1"/>
  <c r="GK158" i="1"/>
  <c r="GL158" i="1"/>
  <c r="GM158" i="1"/>
  <c r="GN158" i="1"/>
  <c r="GO158" i="1"/>
  <c r="GP158" i="1"/>
  <c r="GQ158" i="1"/>
  <c r="GR158" i="1"/>
  <c r="GS158" i="1"/>
  <c r="GT158" i="1"/>
  <c r="GU158" i="1"/>
  <c r="GV158" i="1"/>
  <c r="GW158" i="1"/>
  <c r="GX158" i="1"/>
  <c r="AC160" i="1"/>
  <c r="AE160" i="1"/>
  <c r="AD160" i="1" s="1"/>
  <c r="AF160" i="1"/>
  <c r="AG160" i="1"/>
  <c r="AH160" i="1"/>
  <c r="CV160" i="1" s="1"/>
  <c r="U160" i="1" s="1"/>
  <c r="AI160" i="1"/>
  <c r="CW160" i="1" s="1"/>
  <c r="V160" i="1" s="1"/>
  <c r="Z376" i="6" s="1"/>
  <c r="AJ160" i="1"/>
  <c r="CQ160" i="1"/>
  <c r="P160" i="1" s="1"/>
  <c r="U376" i="6" s="1"/>
  <c r="CU160" i="1"/>
  <c r="T160" i="1" s="1"/>
  <c r="CX160" i="1"/>
  <c r="W160" i="1" s="1"/>
  <c r="FR160" i="1"/>
  <c r="GL160" i="1"/>
  <c r="GO160" i="1"/>
  <c r="GP160" i="1"/>
  <c r="GV160" i="1"/>
  <c r="GX160" i="1" s="1"/>
  <c r="C161" i="1"/>
  <c r="D161" i="1"/>
  <c r="I161" i="1"/>
  <c r="AC161" i="1"/>
  <c r="AE161" i="1"/>
  <c r="AF161" i="1"/>
  <c r="AG161" i="1"/>
  <c r="CU161" i="1" s="1"/>
  <c r="T161" i="1" s="1"/>
  <c r="AH161" i="1"/>
  <c r="AI161" i="1"/>
  <c r="CW161" i="1" s="1"/>
  <c r="AJ161" i="1"/>
  <c r="CX161" i="1" s="1"/>
  <c r="CQ161" i="1"/>
  <c r="P161" i="1" s="1"/>
  <c r="U384" i="6" s="1"/>
  <c r="CV161" i="1"/>
  <c r="FR161" i="1"/>
  <c r="GL161" i="1"/>
  <c r="BZ199" i="1" s="1"/>
  <c r="GN161" i="1"/>
  <c r="GP161" i="1"/>
  <c r="GV161" i="1"/>
  <c r="C162" i="1"/>
  <c r="D162" i="1"/>
  <c r="I162" i="1"/>
  <c r="AC162" i="1"/>
  <c r="CQ162" i="1" s="1"/>
  <c r="AE162" i="1"/>
  <c r="AF162" i="1"/>
  <c r="AG162" i="1"/>
  <c r="CU162" i="1" s="1"/>
  <c r="T162" i="1" s="1"/>
  <c r="AH162" i="1"/>
  <c r="AI162" i="1"/>
  <c r="AJ162" i="1"/>
  <c r="CX162" i="1" s="1"/>
  <c r="CV162" i="1"/>
  <c r="CW162" i="1"/>
  <c r="V162" i="1" s="1"/>
  <c r="Z392" i="6" s="1"/>
  <c r="FR162" i="1"/>
  <c r="GL162" i="1"/>
  <c r="GN162" i="1"/>
  <c r="GP162" i="1"/>
  <c r="GV162" i="1"/>
  <c r="GX162" i="1"/>
  <c r="C163" i="1"/>
  <c r="D163" i="1"/>
  <c r="AC163" i="1"/>
  <c r="AD163" i="1"/>
  <c r="AE163" i="1"/>
  <c r="CS163" i="1" s="1"/>
  <c r="R163" i="1" s="1"/>
  <c r="AF163" i="1"/>
  <c r="AG163" i="1"/>
  <c r="AH163" i="1"/>
  <c r="CV163" i="1" s="1"/>
  <c r="U163" i="1" s="1"/>
  <c r="AI163" i="1"/>
  <c r="CW163" i="1" s="1"/>
  <c r="V163" i="1" s="1"/>
  <c r="Z400" i="6" s="1"/>
  <c r="AJ163" i="1"/>
  <c r="CQ163" i="1"/>
  <c r="P163" i="1" s="1"/>
  <c r="U400" i="6" s="1"/>
  <c r="CU163" i="1"/>
  <c r="T163" i="1" s="1"/>
  <c r="CX163" i="1"/>
  <c r="W163" i="1" s="1"/>
  <c r="FR163" i="1"/>
  <c r="GL163" i="1"/>
  <c r="GN163" i="1"/>
  <c r="GP163" i="1"/>
  <c r="GV163" i="1"/>
  <c r="GX163" i="1" s="1"/>
  <c r="C164" i="1"/>
  <c r="D164" i="1"/>
  <c r="AC164" i="1"/>
  <c r="AE164" i="1"/>
  <c r="AF164" i="1"/>
  <c r="AG164" i="1"/>
  <c r="CU164" i="1" s="1"/>
  <c r="T164" i="1" s="1"/>
  <c r="AH164" i="1"/>
  <c r="CV164" i="1" s="1"/>
  <c r="U164" i="1" s="1"/>
  <c r="AI164" i="1"/>
  <c r="AJ164" i="1"/>
  <c r="CX164" i="1" s="1"/>
  <c r="W164" i="1" s="1"/>
  <c r="CW164" i="1"/>
  <c r="V164" i="1" s="1"/>
  <c r="Z408" i="6" s="1"/>
  <c r="FR164" i="1"/>
  <c r="GL164" i="1"/>
  <c r="GN164" i="1"/>
  <c r="GP164" i="1"/>
  <c r="GV164" i="1"/>
  <c r="GX164" i="1" s="1"/>
  <c r="AC165" i="1"/>
  <c r="CQ165" i="1" s="1"/>
  <c r="P165" i="1" s="1"/>
  <c r="AE165" i="1"/>
  <c r="AD165" i="1" s="1"/>
  <c r="CR165" i="1" s="1"/>
  <c r="Q165" i="1" s="1"/>
  <c r="W416" i="6" s="1"/>
  <c r="AF165" i="1"/>
  <c r="AG165" i="1"/>
  <c r="CU165" i="1" s="1"/>
  <c r="T165" i="1" s="1"/>
  <c r="AH165" i="1"/>
  <c r="AI165" i="1"/>
  <c r="AJ165" i="1"/>
  <c r="CX165" i="1" s="1"/>
  <c r="W165" i="1" s="1"/>
  <c r="CV165" i="1"/>
  <c r="U165" i="1" s="1"/>
  <c r="CW165" i="1"/>
  <c r="V165" i="1" s="1"/>
  <c r="Z416" i="6" s="1"/>
  <c r="FR165" i="1"/>
  <c r="GL165" i="1"/>
  <c r="GO165" i="1"/>
  <c r="GP165" i="1"/>
  <c r="GV165" i="1"/>
  <c r="GX165" i="1"/>
  <c r="C166" i="1"/>
  <c r="D166" i="1"/>
  <c r="AC166" i="1"/>
  <c r="AE166" i="1"/>
  <c r="CS166" i="1" s="1"/>
  <c r="R166" i="1" s="1"/>
  <c r="AF166" i="1"/>
  <c r="AG166" i="1"/>
  <c r="AH166" i="1"/>
  <c r="CV166" i="1" s="1"/>
  <c r="U166" i="1" s="1"/>
  <c r="AI166" i="1"/>
  <c r="CW166" i="1" s="1"/>
  <c r="V166" i="1" s="1"/>
  <c r="Z424" i="6" s="1"/>
  <c r="AJ166" i="1"/>
  <c r="CQ166" i="1"/>
  <c r="P166" i="1" s="1"/>
  <c r="U424" i="6" s="1"/>
  <c r="CT166" i="1"/>
  <c r="S166" i="1" s="1"/>
  <c r="CU166" i="1"/>
  <c r="T166" i="1" s="1"/>
  <c r="CX166" i="1"/>
  <c r="W166" i="1" s="1"/>
  <c r="FR166" i="1"/>
  <c r="GL166" i="1"/>
  <c r="GO166" i="1"/>
  <c r="GP166" i="1"/>
  <c r="GV166" i="1"/>
  <c r="GX166" i="1" s="1"/>
  <c r="C167" i="1"/>
  <c r="D167" i="1"/>
  <c r="I167" i="1"/>
  <c r="AC167" i="1"/>
  <c r="AE167" i="1"/>
  <c r="H363" i="5" s="1"/>
  <c r="R363" i="5" s="1"/>
  <c r="AF167" i="1"/>
  <c r="AG167" i="1"/>
  <c r="AH167" i="1"/>
  <c r="AI167" i="1"/>
  <c r="CW167" i="1" s="1"/>
  <c r="V167" i="1" s="1"/>
  <c r="Z432" i="6" s="1"/>
  <c r="AJ167" i="1"/>
  <c r="CX167" i="1" s="1"/>
  <c r="W167" i="1" s="1"/>
  <c r="CU167" i="1"/>
  <c r="T167" i="1" s="1"/>
  <c r="CV167" i="1"/>
  <c r="U167" i="1" s="1"/>
  <c r="FR167" i="1"/>
  <c r="GL167" i="1"/>
  <c r="GN167" i="1"/>
  <c r="GP167" i="1"/>
  <c r="GV167" i="1"/>
  <c r="GX167" i="1" s="1"/>
  <c r="AC168" i="1"/>
  <c r="AD168" i="1"/>
  <c r="CR168" i="1" s="1"/>
  <c r="AE168" i="1"/>
  <c r="CS168" i="1" s="1"/>
  <c r="AF168" i="1"/>
  <c r="AG168" i="1"/>
  <c r="CU168" i="1" s="1"/>
  <c r="AH168" i="1"/>
  <c r="CV168" i="1" s="1"/>
  <c r="AI168" i="1"/>
  <c r="CW168" i="1" s="1"/>
  <c r="AJ168" i="1"/>
  <c r="CQ168" i="1"/>
  <c r="CT168" i="1"/>
  <c r="CX168" i="1"/>
  <c r="FR168" i="1"/>
  <c r="BY199" i="1" s="1"/>
  <c r="GL168" i="1"/>
  <c r="GN168" i="1"/>
  <c r="GP168" i="1"/>
  <c r="GV168" i="1"/>
  <c r="C169" i="1"/>
  <c r="D169" i="1"/>
  <c r="V169" i="1"/>
  <c r="Z442" i="6" s="1"/>
  <c r="AC169" i="1"/>
  <c r="AE169" i="1"/>
  <c r="AD169" i="1" s="1"/>
  <c r="CR169" i="1" s="1"/>
  <c r="Q169" i="1" s="1"/>
  <c r="W442" i="6" s="1"/>
  <c r="AF169" i="1"/>
  <c r="AG169" i="1"/>
  <c r="CU169" i="1" s="1"/>
  <c r="T169" i="1" s="1"/>
  <c r="AH169" i="1"/>
  <c r="CV169" i="1" s="1"/>
  <c r="U169" i="1" s="1"/>
  <c r="AI169" i="1"/>
  <c r="CW169" i="1" s="1"/>
  <c r="AJ169" i="1"/>
  <c r="CS169" i="1"/>
  <c r="R169" i="1" s="1"/>
  <c r="CT169" i="1"/>
  <c r="S169" i="1" s="1"/>
  <c r="CX169" i="1"/>
  <c r="W169" i="1" s="1"/>
  <c r="FR169" i="1"/>
  <c r="GL169" i="1"/>
  <c r="GN169" i="1"/>
  <c r="GP169" i="1"/>
  <c r="GV169" i="1"/>
  <c r="GX169" i="1"/>
  <c r="I170" i="1"/>
  <c r="AC170" i="1"/>
  <c r="AE170" i="1"/>
  <c r="AD170" i="1" s="1"/>
  <c r="CR170" i="1" s="1"/>
  <c r="Q170" i="1" s="1"/>
  <c r="W450" i="6" s="1"/>
  <c r="AF170" i="1"/>
  <c r="AG170" i="1"/>
  <c r="AH170" i="1"/>
  <c r="AI170" i="1"/>
  <c r="CW170" i="1" s="1"/>
  <c r="V170" i="1" s="1"/>
  <c r="Z450" i="6" s="1"/>
  <c r="AJ170" i="1"/>
  <c r="CX170" i="1" s="1"/>
  <c r="CU170" i="1"/>
  <c r="CV170" i="1"/>
  <c r="FR170" i="1"/>
  <c r="GL170" i="1"/>
  <c r="GN170" i="1"/>
  <c r="GP170" i="1"/>
  <c r="GV170" i="1"/>
  <c r="C171" i="1"/>
  <c r="D171" i="1"/>
  <c r="I171" i="1"/>
  <c r="AC171" i="1"/>
  <c r="AE171" i="1"/>
  <c r="AF171" i="1"/>
  <c r="AG171" i="1"/>
  <c r="CU171" i="1" s="1"/>
  <c r="T171" i="1" s="1"/>
  <c r="AH171" i="1"/>
  <c r="AI171" i="1"/>
  <c r="AJ171" i="1"/>
  <c r="CX171" i="1" s="1"/>
  <c r="CS171" i="1"/>
  <c r="R171" i="1" s="1"/>
  <c r="CV171" i="1"/>
  <c r="CW171" i="1"/>
  <c r="FR171" i="1"/>
  <c r="GL171" i="1"/>
  <c r="GN171" i="1"/>
  <c r="GP171" i="1"/>
  <c r="GV171" i="1"/>
  <c r="GX171" i="1"/>
  <c r="AC172" i="1"/>
  <c r="AD172" i="1"/>
  <c r="AB172" i="1" s="1"/>
  <c r="G460" i="6" s="1"/>
  <c r="AE172" i="1"/>
  <c r="AF172" i="1"/>
  <c r="AG172" i="1"/>
  <c r="CU172" i="1" s="1"/>
  <c r="AH172" i="1"/>
  <c r="CV172" i="1" s="1"/>
  <c r="AI172" i="1"/>
  <c r="CW172" i="1" s="1"/>
  <c r="AJ172" i="1"/>
  <c r="CX172" i="1" s="1"/>
  <c r="CQ172" i="1"/>
  <c r="CR172" i="1"/>
  <c r="CS172" i="1"/>
  <c r="FR172" i="1"/>
  <c r="GL172" i="1"/>
  <c r="GN172" i="1"/>
  <c r="GP172" i="1"/>
  <c r="GV172" i="1"/>
  <c r="C173" i="1"/>
  <c r="D173" i="1"/>
  <c r="V173" i="1"/>
  <c r="Z462" i="6" s="1"/>
  <c r="AC173" i="1"/>
  <c r="AE173" i="1"/>
  <c r="AD173" i="1" s="1"/>
  <c r="CR173" i="1" s="1"/>
  <c r="Q173" i="1" s="1"/>
  <c r="W462" i="6" s="1"/>
  <c r="AF173" i="1"/>
  <c r="AG173" i="1"/>
  <c r="AH173" i="1"/>
  <c r="CV173" i="1" s="1"/>
  <c r="U173" i="1" s="1"/>
  <c r="AI173" i="1"/>
  <c r="AJ173" i="1"/>
  <c r="CX173" i="1" s="1"/>
  <c r="W173" i="1" s="1"/>
  <c r="CS173" i="1"/>
  <c r="R173" i="1" s="1"/>
  <c r="CU173" i="1"/>
  <c r="T173" i="1" s="1"/>
  <c r="CW173" i="1"/>
  <c r="FR173" i="1"/>
  <c r="GL173" i="1"/>
  <c r="GN173" i="1"/>
  <c r="GP173" i="1"/>
  <c r="GV173" i="1"/>
  <c r="GX173" i="1" s="1"/>
  <c r="I174" i="1"/>
  <c r="AC174" i="1"/>
  <c r="AE174" i="1"/>
  <c r="AD174" i="1" s="1"/>
  <c r="CR174" i="1" s="1"/>
  <c r="AF174" i="1"/>
  <c r="AG174" i="1"/>
  <c r="CU174" i="1" s="1"/>
  <c r="AH174" i="1"/>
  <c r="CV174" i="1" s="1"/>
  <c r="U174" i="1" s="1"/>
  <c r="Y470" i="6" s="1"/>
  <c r="AI174" i="1"/>
  <c r="CW174" i="1" s="1"/>
  <c r="AJ174" i="1"/>
  <c r="CS174" i="1"/>
  <c r="R174" i="1" s="1"/>
  <c r="CT174" i="1"/>
  <c r="S174" i="1" s="1"/>
  <c r="V470" i="6" s="1"/>
  <c r="CX174" i="1"/>
  <c r="FR174" i="1"/>
  <c r="GL174" i="1"/>
  <c r="GN174" i="1"/>
  <c r="GP174" i="1"/>
  <c r="GV174" i="1"/>
  <c r="GX174" i="1" s="1"/>
  <c r="C175" i="1"/>
  <c r="D175" i="1"/>
  <c r="AC175" i="1"/>
  <c r="H401" i="5" s="1"/>
  <c r="AE175" i="1"/>
  <c r="AF175" i="1"/>
  <c r="AG175" i="1"/>
  <c r="AH175" i="1"/>
  <c r="CV175" i="1" s="1"/>
  <c r="U175" i="1" s="1"/>
  <c r="AI175" i="1"/>
  <c r="CW175" i="1" s="1"/>
  <c r="V175" i="1" s="1"/>
  <c r="Z472" i="6" s="1"/>
  <c r="AJ175" i="1"/>
  <c r="CT175" i="1"/>
  <c r="S175" i="1" s="1"/>
  <c r="CU175" i="1"/>
  <c r="T175" i="1" s="1"/>
  <c r="CX175" i="1"/>
  <c r="W175" i="1" s="1"/>
  <c r="FR175" i="1"/>
  <c r="GL175" i="1"/>
  <c r="GN175" i="1"/>
  <c r="GP175" i="1"/>
  <c r="GV175" i="1"/>
  <c r="GX175" i="1" s="1"/>
  <c r="I176" i="1"/>
  <c r="T176" i="1"/>
  <c r="AC176" i="1"/>
  <c r="AD176" i="1"/>
  <c r="CR176" i="1" s="1"/>
  <c r="AE176" i="1"/>
  <c r="AF176" i="1"/>
  <c r="AG176" i="1"/>
  <c r="CU176" i="1" s="1"/>
  <c r="AH176" i="1"/>
  <c r="CV176" i="1" s="1"/>
  <c r="AI176" i="1"/>
  <c r="AJ176" i="1"/>
  <c r="CX176" i="1" s="1"/>
  <c r="W176" i="1" s="1"/>
  <c r="CS176" i="1"/>
  <c r="R176" i="1" s="1"/>
  <c r="CT176" i="1"/>
  <c r="S176" i="1" s="1"/>
  <c r="V480" i="6" s="1"/>
  <c r="CW176" i="1"/>
  <c r="FR176" i="1"/>
  <c r="GL176" i="1"/>
  <c r="GN176" i="1"/>
  <c r="GP176" i="1"/>
  <c r="GV176" i="1"/>
  <c r="GX176" i="1" s="1"/>
  <c r="C177" i="1"/>
  <c r="D177" i="1"/>
  <c r="AC177" i="1"/>
  <c r="H411" i="5" s="1"/>
  <c r="AD177" i="1"/>
  <c r="H409" i="5" s="1"/>
  <c r="AE177" i="1"/>
  <c r="H410" i="5" s="1"/>
  <c r="R410" i="5" s="1"/>
  <c r="AF177" i="1"/>
  <c r="AG177" i="1"/>
  <c r="CU177" i="1" s="1"/>
  <c r="T177" i="1" s="1"/>
  <c r="AH177" i="1"/>
  <c r="CV177" i="1" s="1"/>
  <c r="U177" i="1" s="1"/>
  <c r="AI177" i="1"/>
  <c r="AJ177" i="1"/>
  <c r="CX177" i="1" s="1"/>
  <c r="W177" i="1" s="1"/>
  <c r="CQ177" i="1"/>
  <c r="P177" i="1" s="1"/>
  <c r="CS177" i="1"/>
  <c r="R177" i="1" s="1"/>
  <c r="CW177" i="1"/>
  <c r="V177" i="1" s="1"/>
  <c r="Z482" i="6" s="1"/>
  <c r="FR177" i="1"/>
  <c r="GL177" i="1"/>
  <c r="GN177" i="1"/>
  <c r="GP177" i="1"/>
  <c r="GV177" i="1"/>
  <c r="GX177" i="1" s="1"/>
  <c r="I178" i="1"/>
  <c r="U178" i="1"/>
  <c r="Y490" i="6" s="1"/>
  <c r="AC178" i="1"/>
  <c r="AE178" i="1"/>
  <c r="CS178" i="1" s="1"/>
  <c r="R178" i="1" s="1"/>
  <c r="AF178" i="1"/>
  <c r="AG178" i="1"/>
  <c r="CU178" i="1" s="1"/>
  <c r="T178" i="1" s="1"/>
  <c r="AH178" i="1"/>
  <c r="AI178" i="1"/>
  <c r="CW178" i="1" s="1"/>
  <c r="V178" i="1" s="1"/>
  <c r="Z490" i="6" s="1"/>
  <c r="AJ178" i="1"/>
  <c r="CX178" i="1" s="1"/>
  <c r="W178" i="1" s="1"/>
  <c r="CT178" i="1"/>
  <c r="S178" i="1" s="1"/>
  <c r="V490" i="6" s="1"/>
  <c r="CV178" i="1"/>
  <c r="FR178" i="1"/>
  <c r="GL178" i="1"/>
  <c r="GN178" i="1"/>
  <c r="GP178" i="1"/>
  <c r="GV178" i="1"/>
  <c r="C179" i="1"/>
  <c r="D179" i="1"/>
  <c r="I179" i="1"/>
  <c r="AC179" i="1"/>
  <c r="AE179" i="1"/>
  <c r="CS179" i="1" s="1"/>
  <c r="R179" i="1" s="1"/>
  <c r="AF179" i="1"/>
  <c r="AG179" i="1"/>
  <c r="AH179" i="1"/>
  <c r="CV179" i="1" s="1"/>
  <c r="U179" i="1" s="1"/>
  <c r="AI179" i="1"/>
  <c r="CW179" i="1" s="1"/>
  <c r="V179" i="1" s="1"/>
  <c r="Z492" i="6" s="1"/>
  <c r="AJ179" i="1"/>
  <c r="CX179" i="1" s="1"/>
  <c r="CU179" i="1"/>
  <c r="T179" i="1" s="1"/>
  <c r="FR179" i="1"/>
  <c r="GL179" i="1"/>
  <c r="GN179" i="1"/>
  <c r="GP179" i="1"/>
  <c r="GV179" i="1"/>
  <c r="GX179" i="1" s="1"/>
  <c r="AC180" i="1"/>
  <c r="AE180" i="1"/>
  <c r="CS180" i="1" s="1"/>
  <c r="AF180" i="1"/>
  <c r="AG180" i="1"/>
  <c r="AH180" i="1"/>
  <c r="CV180" i="1" s="1"/>
  <c r="AI180" i="1"/>
  <c r="CW180" i="1" s="1"/>
  <c r="AJ180" i="1"/>
  <c r="CX180" i="1" s="1"/>
  <c r="CT180" i="1"/>
  <c r="CU180" i="1"/>
  <c r="FR180" i="1"/>
  <c r="GL180" i="1"/>
  <c r="GN180" i="1"/>
  <c r="GP180" i="1"/>
  <c r="GV180" i="1"/>
  <c r="C181" i="1"/>
  <c r="D181" i="1"/>
  <c r="I181" i="1"/>
  <c r="R181" i="1"/>
  <c r="AC181" i="1"/>
  <c r="H433" i="5" s="1"/>
  <c r="AE181" i="1"/>
  <c r="AF181" i="1"/>
  <c r="AG181" i="1"/>
  <c r="CU181" i="1" s="1"/>
  <c r="T181" i="1" s="1"/>
  <c r="AH181" i="1"/>
  <c r="CV181" i="1" s="1"/>
  <c r="U181" i="1" s="1"/>
  <c r="AI181" i="1"/>
  <c r="AJ181" i="1"/>
  <c r="CX181" i="1" s="1"/>
  <c r="CQ181" i="1"/>
  <c r="P181" i="1" s="1"/>
  <c r="CS181" i="1"/>
  <c r="CW181" i="1"/>
  <c r="V181" i="1" s="1"/>
  <c r="Z502" i="6" s="1"/>
  <c r="FR181" i="1"/>
  <c r="GL181" i="1"/>
  <c r="GN181" i="1"/>
  <c r="GP181" i="1"/>
  <c r="GV181" i="1"/>
  <c r="GX181" i="1" s="1"/>
  <c r="AC182" i="1"/>
  <c r="AE182" i="1"/>
  <c r="CS182" i="1" s="1"/>
  <c r="AF182" i="1"/>
  <c r="AG182" i="1"/>
  <c r="AH182" i="1"/>
  <c r="CV182" i="1" s="1"/>
  <c r="AI182" i="1"/>
  <c r="CW182" i="1" s="1"/>
  <c r="AJ182" i="1"/>
  <c r="CQ182" i="1"/>
  <c r="CT182" i="1"/>
  <c r="CU182" i="1"/>
  <c r="CX182" i="1"/>
  <c r="FR182" i="1"/>
  <c r="GL182" i="1"/>
  <c r="GN182" i="1"/>
  <c r="GP182" i="1"/>
  <c r="GV182" i="1"/>
  <c r="I183" i="1"/>
  <c r="AC183" i="1"/>
  <c r="CQ183" i="1" s="1"/>
  <c r="P183" i="1" s="1"/>
  <c r="U512" i="6" s="1"/>
  <c r="AD183" i="1"/>
  <c r="CR183" i="1" s="1"/>
  <c r="AE183" i="1"/>
  <c r="AF183" i="1"/>
  <c r="AG183" i="1"/>
  <c r="CU183" i="1" s="1"/>
  <c r="AH183" i="1"/>
  <c r="CV183" i="1" s="1"/>
  <c r="AI183" i="1"/>
  <c r="CW183" i="1" s="1"/>
  <c r="V183" i="1" s="1"/>
  <c r="Z512" i="6" s="1"/>
  <c r="AJ183" i="1"/>
  <c r="CS183" i="1"/>
  <c r="R183" i="1" s="1"/>
  <c r="CT183" i="1"/>
  <c r="S183" i="1" s="1"/>
  <c r="V512" i="6" s="1"/>
  <c r="CX183" i="1"/>
  <c r="W183" i="1" s="1"/>
  <c r="FR183" i="1"/>
  <c r="GL183" i="1"/>
  <c r="GN183" i="1"/>
  <c r="GP183" i="1"/>
  <c r="GV183" i="1"/>
  <c r="C184" i="1"/>
  <c r="D184" i="1"/>
  <c r="U184" i="1"/>
  <c r="AC184" i="1"/>
  <c r="H444" i="5" s="1"/>
  <c r="AE184" i="1"/>
  <c r="AF184" i="1"/>
  <c r="AG184" i="1"/>
  <c r="CU184" i="1" s="1"/>
  <c r="T184" i="1" s="1"/>
  <c r="AH184" i="1"/>
  <c r="AI184" i="1"/>
  <c r="CW184" i="1" s="1"/>
  <c r="V184" i="1" s="1"/>
  <c r="Z514" i="6" s="1"/>
  <c r="AJ184" i="1"/>
  <c r="CX184" i="1" s="1"/>
  <c r="W184" i="1" s="1"/>
  <c r="CQ184" i="1"/>
  <c r="P184" i="1" s="1"/>
  <c r="CV184" i="1"/>
  <c r="FR184" i="1"/>
  <c r="GL184" i="1"/>
  <c r="GN184" i="1"/>
  <c r="GP184" i="1"/>
  <c r="GV184" i="1"/>
  <c r="GX184" i="1" s="1"/>
  <c r="I185" i="1"/>
  <c r="AC185" i="1"/>
  <c r="AE185" i="1"/>
  <c r="CS185" i="1" s="1"/>
  <c r="R185" i="1" s="1"/>
  <c r="X522" i="6" s="1"/>
  <c r="AF185" i="1"/>
  <c r="AG185" i="1"/>
  <c r="AH185" i="1"/>
  <c r="AI185" i="1"/>
  <c r="CW185" i="1" s="1"/>
  <c r="V185" i="1" s="1"/>
  <c r="Z522" i="6" s="1"/>
  <c r="AJ185" i="1"/>
  <c r="CQ185" i="1"/>
  <c r="CU185" i="1"/>
  <c r="T185" i="1" s="1"/>
  <c r="CV185" i="1"/>
  <c r="U185" i="1" s="1"/>
  <c r="Y522" i="6" s="1"/>
  <c r="CX185" i="1"/>
  <c r="FR185" i="1"/>
  <c r="GL185" i="1"/>
  <c r="GN185" i="1"/>
  <c r="GP185" i="1"/>
  <c r="GV185" i="1"/>
  <c r="C186" i="1"/>
  <c r="D186" i="1"/>
  <c r="AC186" i="1"/>
  <c r="AE186" i="1"/>
  <c r="AD186" i="1" s="1"/>
  <c r="AF186" i="1"/>
  <c r="AG186" i="1"/>
  <c r="CU186" i="1" s="1"/>
  <c r="T186" i="1" s="1"/>
  <c r="AH186" i="1"/>
  <c r="AI186" i="1"/>
  <c r="CW186" i="1" s="1"/>
  <c r="V186" i="1" s="1"/>
  <c r="Z524" i="6" s="1"/>
  <c r="AJ186" i="1"/>
  <c r="CX186" i="1" s="1"/>
  <c r="W186" i="1" s="1"/>
  <c r="CV186" i="1"/>
  <c r="U186" i="1" s="1"/>
  <c r="FR186" i="1"/>
  <c r="GL186" i="1"/>
  <c r="GN186" i="1"/>
  <c r="GP186" i="1"/>
  <c r="GV186" i="1"/>
  <c r="GX186" i="1" s="1"/>
  <c r="I187" i="1"/>
  <c r="AC187" i="1"/>
  <c r="CQ187" i="1" s="1"/>
  <c r="P187" i="1" s="1"/>
  <c r="AE187" i="1"/>
  <c r="AD187" i="1" s="1"/>
  <c r="CR187" i="1" s="1"/>
  <c r="Q187" i="1" s="1"/>
  <c r="W532" i="6" s="1"/>
  <c r="AF187" i="1"/>
  <c r="AG187" i="1"/>
  <c r="AH187" i="1"/>
  <c r="AI187" i="1"/>
  <c r="CW187" i="1" s="1"/>
  <c r="V187" i="1" s="1"/>
  <c r="Z532" i="6" s="1"/>
  <c r="AJ187" i="1"/>
  <c r="CX187" i="1" s="1"/>
  <c r="CU187" i="1"/>
  <c r="T187" i="1" s="1"/>
  <c r="CV187" i="1"/>
  <c r="FR187" i="1"/>
  <c r="GL187" i="1"/>
  <c r="GN187" i="1"/>
  <c r="GP187" i="1"/>
  <c r="GV187" i="1"/>
  <c r="I188" i="1"/>
  <c r="AC188" i="1"/>
  <c r="AE188" i="1"/>
  <c r="CS188" i="1" s="1"/>
  <c r="AF188" i="1"/>
  <c r="AG188" i="1"/>
  <c r="CU188" i="1" s="1"/>
  <c r="T188" i="1" s="1"/>
  <c r="AH188" i="1"/>
  <c r="AI188" i="1"/>
  <c r="CW188" i="1" s="1"/>
  <c r="AJ188" i="1"/>
  <c r="CT188" i="1"/>
  <c r="CV188" i="1"/>
  <c r="U188" i="1" s="1"/>
  <c r="Y534" i="6" s="1"/>
  <c r="CX188" i="1"/>
  <c r="FR188" i="1"/>
  <c r="GL188" i="1"/>
  <c r="GN188" i="1"/>
  <c r="GP188" i="1"/>
  <c r="GV188" i="1"/>
  <c r="I189" i="1"/>
  <c r="V189" i="1"/>
  <c r="Z536" i="6" s="1"/>
  <c r="AC189" i="1"/>
  <c r="AD189" i="1"/>
  <c r="CR189" i="1" s="1"/>
  <c r="AE189" i="1"/>
  <c r="AF189" i="1"/>
  <c r="AG189" i="1"/>
  <c r="CU189" i="1" s="1"/>
  <c r="AH189" i="1"/>
  <c r="CV189" i="1" s="1"/>
  <c r="AI189" i="1"/>
  <c r="AJ189" i="1"/>
  <c r="CX189" i="1" s="1"/>
  <c r="W189" i="1" s="1"/>
  <c r="CS189" i="1"/>
  <c r="CW189" i="1"/>
  <c r="FR189" i="1"/>
  <c r="GL189" i="1"/>
  <c r="GN189" i="1"/>
  <c r="GP189" i="1"/>
  <c r="GV189" i="1"/>
  <c r="I190" i="1"/>
  <c r="AC190" i="1"/>
  <c r="AE190" i="1"/>
  <c r="AD190" i="1" s="1"/>
  <c r="AB190" i="1" s="1"/>
  <c r="G538" i="6" s="1"/>
  <c r="AF190" i="1"/>
  <c r="AG190" i="1"/>
  <c r="CU190" i="1" s="1"/>
  <c r="AH190" i="1"/>
  <c r="AI190" i="1"/>
  <c r="CW190" i="1" s="1"/>
  <c r="V190" i="1" s="1"/>
  <c r="Z538" i="6" s="1"/>
  <c r="AJ190" i="1"/>
  <c r="CX190" i="1" s="1"/>
  <c r="CT190" i="1"/>
  <c r="S190" i="1" s="1"/>
  <c r="V538" i="6" s="1"/>
  <c r="CV190" i="1"/>
  <c r="U190" i="1" s="1"/>
  <c r="Y538" i="6" s="1"/>
  <c r="FR190" i="1"/>
  <c r="GL190" i="1"/>
  <c r="GN190" i="1"/>
  <c r="GP190" i="1"/>
  <c r="GV190" i="1"/>
  <c r="I191" i="1"/>
  <c r="R191" i="1"/>
  <c r="AC191" i="1"/>
  <c r="AE191" i="1"/>
  <c r="AD191" i="1" s="1"/>
  <c r="CR191" i="1" s="1"/>
  <c r="Q191" i="1" s="1"/>
  <c r="W540" i="6" s="1"/>
  <c r="AF191" i="1"/>
  <c r="AG191" i="1"/>
  <c r="CU191" i="1" s="1"/>
  <c r="T191" i="1" s="1"/>
  <c r="AH191" i="1"/>
  <c r="AI191" i="1"/>
  <c r="CW191" i="1" s="1"/>
  <c r="V191" i="1" s="1"/>
  <c r="Z540" i="6" s="1"/>
  <c r="AJ191" i="1"/>
  <c r="CX191" i="1" s="1"/>
  <c r="CQ191" i="1"/>
  <c r="P191" i="1" s="1"/>
  <c r="CS191" i="1"/>
  <c r="CV191" i="1"/>
  <c r="U191" i="1" s="1"/>
  <c r="Y540" i="6" s="1"/>
  <c r="FR191" i="1"/>
  <c r="GL191" i="1"/>
  <c r="GN191" i="1"/>
  <c r="GP191" i="1"/>
  <c r="GV191" i="1"/>
  <c r="C192" i="1"/>
  <c r="D192" i="1"/>
  <c r="I192" i="1"/>
  <c r="AC192" i="1"/>
  <c r="AD192" i="1"/>
  <c r="AE192" i="1"/>
  <c r="AF192" i="1"/>
  <c r="AG192" i="1"/>
  <c r="CU192" i="1" s="1"/>
  <c r="T192" i="1" s="1"/>
  <c r="AH192" i="1"/>
  <c r="CV192" i="1" s="1"/>
  <c r="U192" i="1" s="1"/>
  <c r="AI192" i="1"/>
  <c r="CW192" i="1" s="1"/>
  <c r="V192" i="1" s="1"/>
  <c r="Z542" i="6" s="1"/>
  <c r="AJ192" i="1"/>
  <c r="CT192" i="1"/>
  <c r="S192" i="1" s="1"/>
  <c r="CX192" i="1"/>
  <c r="W192" i="1" s="1"/>
  <c r="FR192" i="1"/>
  <c r="GL192" i="1"/>
  <c r="GN192" i="1"/>
  <c r="GP192" i="1"/>
  <c r="GV192" i="1"/>
  <c r="GX192" i="1" s="1"/>
  <c r="I193" i="1"/>
  <c r="AC193" i="1"/>
  <c r="AE193" i="1"/>
  <c r="AD193" i="1" s="1"/>
  <c r="CR193" i="1" s="1"/>
  <c r="AF193" i="1"/>
  <c r="AG193" i="1"/>
  <c r="CU193" i="1" s="1"/>
  <c r="T193" i="1" s="1"/>
  <c r="AH193" i="1"/>
  <c r="CV193" i="1" s="1"/>
  <c r="AI193" i="1"/>
  <c r="AJ193" i="1"/>
  <c r="CX193" i="1" s="1"/>
  <c r="W193" i="1" s="1"/>
  <c r="CS193" i="1"/>
  <c r="R193" i="1" s="1"/>
  <c r="CW193" i="1"/>
  <c r="FR193" i="1"/>
  <c r="GL193" i="1"/>
  <c r="GN193" i="1"/>
  <c r="GP193" i="1"/>
  <c r="GV193" i="1"/>
  <c r="C194" i="1"/>
  <c r="D194" i="1"/>
  <c r="AC194" i="1"/>
  <c r="AE194" i="1"/>
  <c r="AD194" i="1" s="1"/>
  <c r="AF194" i="1"/>
  <c r="AG194" i="1"/>
  <c r="CU194" i="1" s="1"/>
  <c r="T194" i="1" s="1"/>
  <c r="AH194" i="1"/>
  <c r="CV194" i="1" s="1"/>
  <c r="U194" i="1" s="1"/>
  <c r="AI194" i="1"/>
  <c r="CW194" i="1" s="1"/>
  <c r="V194" i="1" s="1"/>
  <c r="Z552" i="6" s="1"/>
  <c r="AJ194" i="1"/>
  <c r="CX194" i="1" s="1"/>
  <c r="W194" i="1" s="1"/>
  <c r="CQ194" i="1"/>
  <c r="P194" i="1" s="1"/>
  <c r="U552" i="6" s="1"/>
  <c r="FR194" i="1"/>
  <c r="GL194" i="1"/>
  <c r="GN194" i="1"/>
  <c r="GO194" i="1"/>
  <c r="GV194" i="1"/>
  <c r="GX194" i="1" s="1"/>
  <c r="C195" i="1"/>
  <c r="D195" i="1"/>
  <c r="AC195" i="1"/>
  <c r="AE195" i="1"/>
  <c r="CS195" i="1" s="1"/>
  <c r="R195" i="1" s="1"/>
  <c r="AF195" i="1"/>
  <c r="CT195" i="1" s="1"/>
  <c r="S195" i="1" s="1"/>
  <c r="AG195" i="1"/>
  <c r="CU195" i="1" s="1"/>
  <c r="T195" i="1" s="1"/>
  <c r="AH195" i="1"/>
  <c r="CV195" i="1" s="1"/>
  <c r="U195" i="1" s="1"/>
  <c r="AI195" i="1"/>
  <c r="CW195" i="1" s="1"/>
  <c r="V195" i="1" s="1"/>
  <c r="Z557" i="6" s="1"/>
  <c r="AJ195" i="1"/>
  <c r="CX195" i="1"/>
  <c r="W195" i="1" s="1"/>
  <c r="FR195" i="1"/>
  <c r="GL195" i="1"/>
  <c r="GN195" i="1"/>
  <c r="GO195" i="1"/>
  <c r="GV195" i="1"/>
  <c r="GX195" i="1"/>
  <c r="C196" i="1"/>
  <c r="D196" i="1"/>
  <c r="AC196" i="1"/>
  <c r="AE196" i="1"/>
  <c r="AD196" i="1" s="1"/>
  <c r="AF196" i="1"/>
  <c r="AG196" i="1"/>
  <c r="CU196" i="1" s="1"/>
  <c r="T196" i="1" s="1"/>
  <c r="AH196" i="1"/>
  <c r="AI196" i="1"/>
  <c r="CW196" i="1" s="1"/>
  <c r="V196" i="1" s="1"/>
  <c r="Z562" i="6" s="1"/>
  <c r="AJ196" i="1"/>
  <c r="CX196" i="1" s="1"/>
  <c r="W196" i="1" s="1"/>
  <c r="CQ196" i="1"/>
  <c r="P196" i="1" s="1"/>
  <c r="U562" i="6" s="1"/>
  <c r="CV196" i="1"/>
  <c r="U196" i="1" s="1"/>
  <c r="FR196" i="1"/>
  <c r="GL196" i="1"/>
  <c r="GN196" i="1"/>
  <c r="GO196" i="1"/>
  <c r="GV196" i="1"/>
  <c r="GX196" i="1" s="1"/>
  <c r="C197" i="1"/>
  <c r="D197" i="1"/>
  <c r="AC197" i="1"/>
  <c r="AE197" i="1"/>
  <c r="CS197" i="1" s="1"/>
  <c r="R197" i="1" s="1"/>
  <c r="AF197" i="1"/>
  <c r="AG197" i="1"/>
  <c r="CU197" i="1" s="1"/>
  <c r="T197" i="1" s="1"/>
  <c r="AH197" i="1"/>
  <c r="CV197" i="1" s="1"/>
  <c r="U197" i="1" s="1"/>
  <c r="AI197" i="1"/>
  <c r="AJ197" i="1"/>
  <c r="CT197" i="1"/>
  <c r="S197" i="1" s="1"/>
  <c r="CW197" i="1"/>
  <c r="V197" i="1" s="1"/>
  <c r="Z567" i="6" s="1"/>
  <c r="CX197" i="1"/>
  <c r="W197" i="1" s="1"/>
  <c r="FR197" i="1"/>
  <c r="GL197" i="1"/>
  <c r="GN197" i="1"/>
  <c r="GO197" i="1"/>
  <c r="GV197" i="1"/>
  <c r="GX197" i="1"/>
  <c r="B199" i="1"/>
  <c r="B158" i="1" s="1"/>
  <c r="C199" i="1"/>
  <c r="C158" i="1" s="1"/>
  <c r="D199" i="1"/>
  <c r="D158" i="1" s="1"/>
  <c r="F199" i="1"/>
  <c r="F158" i="1" s="1"/>
  <c r="G199" i="1"/>
  <c r="AO199" i="1"/>
  <c r="AO158" i="1" s="1"/>
  <c r="BX199" i="1"/>
  <c r="BX158" i="1" s="1"/>
  <c r="CK199" i="1"/>
  <c r="CK158" i="1" s="1"/>
  <c r="CL199" i="1"/>
  <c r="F203" i="1"/>
  <c r="D231" i="1"/>
  <c r="E233" i="1"/>
  <c r="Z233" i="1"/>
  <c r="AA233" i="1"/>
  <c r="AM233" i="1"/>
  <c r="AN233" i="1"/>
  <c r="BD233" i="1"/>
  <c r="BE233" i="1"/>
  <c r="BF233" i="1"/>
  <c r="BG233" i="1"/>
  <c r="BH233" i="1"/>
  <c r="BI233" i="1"/>
  <c r="BJ233" i="1"/>
  <c r="BK233" i="1"/>
  <c r="BL233" i="1"/>
  <c r="BM233" i="1"/>
  <c r="BN233" i="1"/>
  <c r="BO233" i="1"/>
  <c r="BP233" i="1"/>
  <c r="BQ233" i="1"/>
  <c r="BR233" i="1"/>
  <c r="BS233" i="1"/>
  <c r="BT233" i="1"/>
  <c r="BU233" i="1"/>
  <c r="BV233" i="1"/>
  <c r="BW233" i="1"/>
  <c r="CM233" i="1"/>
  <c r="CN233" i="1"/>
  <c r="CO233" i="1"/>
  <c r="CP233" i="1"/>
  <c r="CQ233" i="1"/>
  <c r="CR233" i="1"/>
  <c r="CS233" i="1"/>
  <c r="CT233" i="1"/>
  <c r="CU233" i="1"/>
  <c r="CV233" i="1"/>
  <c r="CW233" i="1"/>
  <c r="CX233" i="1"/>
  <c r="CY233" i="1"/>
  <c r="CZ233" i="1"/>
  <c r="DA233" i="1"/>
  <c r="DB233" i="1"/>
  <c r="DC233" i="1"/>
  <c r="DD233" i="1"/>
  <c r="DE233" i="1"/>
  <c r="DF233" i="1"/>
  <c r="DG233" i="1"/>
  <c r="DH233" i="1"/>
  <c r="DI233" i="1"/>
  <c r="DJ233" i="1"/>
  <c r="DK233" i="1"/>
  <c r="DL233" i="1"/>
  <c r="DM233" i="1"/>
  <c r="DN233" i="1"/>
  <c r="DO233" i="1"/>
  <c r="DP233" i="1"/>
  <c r="DQ233" i="1"/>
  <c r="DR233" i="1"/>
  <c r="DS233" i="1"/>
  <c r="DT233" i="1"/>
  <c r="DU233" i="1"/>
  <c r="DV233" i="1"/>
  <c r="DW233" i="1"/>
  <c r="DX233" i="1"/>
  <c r="DY233" i="1"/>
  <c r="DZ233" i="1"/>
  <c r="EA233" i="1"/>
  <c r="EB233" i="1"/>
  <c r="EC233" i="1"/>
  <c r="ED233" i="1"/>
  <c r="EE233" i="1"/>
  <c r="EF233" i="1"/>
  <c r="EG233" i="1"/>
  <c r="EH233" i="1"/>
  <c r="EI233" i="1"/>
  <c r="EJ233" i="1"/>
  <c r="EK233" i="1"/>
  <c r="EL233" i="1"/>
  <c r="EM233" i="1"/>
  <c r="EN233" i="1"/>
  <c r="EO233" i="1"/>
  <c r="EP233" i="1"/>
  <c r="EQ233" i="1"/>
  <c r="ER233" i="1"/>
  <c r="ES233" i="1"/>
  <c r="ET233" i="1"/>
  <c r="EU233" i="1"/>
  <c r="EV233" i="1"/>
  <c r="EW233" i="1"/>
  <c r="EX233" i="1"/>
  <c r="EY233" i="1"/>
  <c r="EZ233" i="1"/>
  <c r="FA233" i="1"/>
  <c r="FB233" i="1"/>
  <c r="FC233" i="1"/>
  <c r="FD233" i="1"/>
  <c r="FE233" i="1"/>
  <c r="FF233" i="1"/>
  <c r="FG233" i="1"/>
  <c r="FH233" i="1"/>
  <c r="FI233" i="1"/>
  <c r="FJ233" i="1"/>
  <c r="FK233" i="1"/>
  <c r="FL233" i="1"/>
  <c r="FM233" i="1"/>
  <c r="FN233" i="1"/>
  <c r="FO233" i="1"/>
  <c r="FP233" i="1"/>
  <c r="FQ233" i="1"/>
  <c r="FR233" i="1"/>
  <c r="FS233" i="1"/>
  <c r="FT233" i="1"/>
  <c r="FU233" i="1"/>
  <c r="FV233" i="1"/>
  <c r="FW233" i="1"/>
  <c r="FX233" i="1"/>
  <c r="FY233" i="1"/>
  <c r="FZ233" i="1"/>
  <c r="GA233" i="1"/>
  <c r="GB233" i="1"/>
  <c r="GC233" i="1"/>
  <c r="GD233" i="1"/>
  <c r="GE233" i="1"/>
  <c r="GF233" i="1"/>
  <c r="GG233" i="1"/>
  <c r="GH233" i="1"/>
  <c r="GI233" i="1"/>
  <c r="GJ233" i="1"/>
  <c r="GK233" i="1"/>
  <c r="GL233" i="1"/>
  <c r="GM233" i="1"/>
  <c r="GN233" i="1"/>
  <c r="GO233" i="1"/>
  <c r="GP233" i="1"/>
  <c r="GQ233" i="1"/>
  <c r="GR233" i="1"/>
  <c r="GS233" i="1"/>
  <c r="GT233" i="1"/>
  <c r="GU233" i="1"/>
  <c r="GV233" i="1"/>
  <c r="GW233" i="1"/>
  <c r="GX233" i="1"/>
  <c r="C235" i="1"/>
  <c r="D235" i="1"/>
  <c r="AC235" i="1"/>
  <c r="AD235" i="1"/>
  <c r="CR235" i="1" s="1"/>
  <c r="Q235" i="1" s="1"/>
  <c r="W581" i="6" s="1"/>
  <c r="AE235" i="1"/>
  <c r="CS235" i="1" s="1"/>
  <c r="R235" i="1" s="1"/>
  <c r="X581" i="6" s="1"/>
  <c r="AF235" i="1"/>
  <c r="AG235" i="1"/>
  <c r="AH235" i="1"/>
  <c r="AI235" i="1"/>
  <c r="CW235" i="1" s="1"/>
  <c r="V235" i="1" s="1"/>
  <c r="Z581" i="6" s="1"/>
  <c r="AJ235" i="1"/>
  <c r="CU235" i="1"/>
  <c r="T235" i="1" s="1"/>
  <c r="CV235" i="1"/>
  <c r="U235" i="1" s="1"/>
  <c r="CX235" i="1"/>
  <c r="W235" i="1" s="1"/>
  <c r="FR235" i="1"/>
  <c r="GK235" i="1"/>
  <c r="GL235" i="1"/>
  <c r="GN235" i="1"/>
  <c r="GP235" i="1"/>
  <c r="GV235" i="1"/>
  <c r="GX235" i="1" s="1"/>
  <c r="C236" i="1"/>
  <c r="D236" i="1"/>
  <c r="AC236" i="1"/>
  <c r="AE236" i="1"/>
  <c r="AF236" i="1"/>
  <c r="AG236" i="1"/>
  <c r="CU236" i="1" s="1"/>
  <c r="T236" i="1" s="1"/>
  <c r="AH236" i="1"/>
  <c r="AI236" i="1"/>
  <c r="AJ236" i="1"/>
  <c r="CX236" i="1" s="1"/>
  <c r="W236" i="1" s="1"/>
  <c r="CV236" i="1"/>
  <c r="U236" i="1" s="1"/>
  <c r="CW236" i="1"/>
  <c r="V236" i="1" s="1"/>
  <c r="Z589" i="6" s="1"/>
  <c r="FR236" i="1"/>
  <c r="GL236" i="1"/>
  <c r="GN236" i="1"/>
  <c r="GP236" i="1"/>
  <c r="GV236" i="1"/>
  <c r="GX236" i="1" s="1"/>
  <c r="I237" i="1"/>
  <c r="AC237" i="1"/>
  <c r="AE237" i="1"/>
  <c r="AD237" i="1" s="1"/>
  <c r="AF237" i="1"/>
  <c r="AG237" i="1"/>
  <c r="AH237" i="1"/>
  <c r="CV237" i="1" s="1"/>
  <c r="U237" i="1" s="1"/>
  <c r="Y597" i="6" s="1"/>
  <c r="AI237" i="1"/>
  <c r="CW237" i="1" s="1"/>
  <c r="AJ237" i="1"/>
  <c r="CX237" i="1" s="1"/>
  <c r="CS237" i="1"/>
  <c r="R237" i="1" s="1"/>
  <c r="CU237" i="1"/>
  <c r="T237" i="1" s="1"/>
  <c r="FR237" i="1"/>
  <c r="GL237" i="1"/>
  <c r="GN237" i="1"/>
  <c r="GP237" i="1"/>
  <c r="GV237" i="1"/>
  <c r="C238" i="1"/>
  <c r="D238" i="1"/>
  <c r="I238" i="1"/>
  <c r="AC238" i="1"/>
  <c r="AE238" i="1"/>
  <c r="AD238" i="1" s="1"/>
  <c r="CR238" i="1" s="1"/>
  <c r="AF238" i="1"/>
  <c r="AG238" i="1"/>
  <c r="CU238" i="1" s="1"/>
  <c r="AH238" i="1"/>
  <c r="AI238" i="1"/>
  <c r="AJ238" i="1"/>
  <c r="CX238" i="1" s="1"/>
  <c r="CS238" i="1"/>
  <c r="R238" i="1" s="1"/>
  <c r="CV238" i="1"/>
  <c r="CW238" i="1"/>
  <c r="FR238" i="1"/>
  <c r="GL238" i="1"/>
  <c r="GN238" i="1"/>
  <c r="GP238" i="1"/>
  <c r="GV238" i="1"/>
  <c r="GX238" i="1"/>
  <c r="AC239" i="1"/>
  <c r="AD239" i="1"/>
  <c r="AE239" i="1"/>
  <c r="AF239" i="1"/>
  <c r="AG239" i="1"/>
  <c r="AH239" i="1"/>
  <c r="CV239" i="1" s="1"/>
  <c r="AI239" i="1"/>
  <c r="AJ239" i="1"/>
  <c r="CX239" i="1" s="1"/>
  <c r="CQ239" i="1"/>
  <c r="CR239" i="1"/>
  <c r="CS239" i="1"/>
  <c r="CU239" i="1"/>
  <c r="CW239" i="1"/>
  <c r="FR239" i="1"/>
  <c r="GL239" i="1"/>
  <c r="GN239" i="1"/>
  <c r="GP239" i="1"/>
  <c r="GV239" i="1"/>
  <c r="C240" i="1"/>
  <c r="D240" i="1"/>
  <c r="AC240" i="1"/>
  <c r="AD240" i="1"/>
  <c r="CR240" i="1" s="1"/>
  <c r="Q240" i="1" s="1"/>
  <c r="W609" i="6" s="1"/>
  <c r="AE240" i="1"/>
  <c r="CS240" i="1" s="1"/>
  <c r="R240" i="1" s="1"/>
  <c r="AF240" i="1"/>
  <c r="AG240" i="1"/>
  <c r="AH240" i="1"/>
  <c r="CV240" i="1" s="1"/>
  <c r="U240" i="1" s="1"/>
  <c r="AI240" i="1"/>
  <c r="AJ240" i="1"/>
  <c r="CX240" i="1" s="1"/>
  <c r="W240" i="1" s="1"/>
  <c r="CT240" i="1"/>
  <c r="S240" i="1" s="1"/>
  <c r="CU240" i="1"/>
  <c r="T240" i="1" s="1"/>
  <c r="CW240" i="1"/>
  <c r="V240" i="1" s="1"/>
  <c r="Z609" i="6" s="1"/>
  <c r="FR240" i="1"/>
  <c r="GL240" i="1"/>
  <c r="GN240" i="1"/>
  <c r="GP240" i="1"/>
  <c r="GV240" i="1"/>
  <c r="GX240" i="1"/>
  <c r="I241" i="1"/>
  <c r="AC241" i="1"/>
  <c r="AE241" i="1"/>
  <c r="AD241" i="1" s="1"/>
  <c r="CR241" i="1" s="1"/>
  <c r="AF241" i="1"/>
  <c r="AG241" i="1"/>
  <c r="CU241" i="1" s="1"/>
  <c r="AH241" i="1"/>
  <c r="CV241" i="1" s="1"/>
  <c r="AI241" i="1"/>
  <c r="CW241" i="1" s="1"/>
  <c r="AJ241" i="1"/>
  <c r="CX241" i="1" s="1"/>
  <c r="W241" i="1" s="1"/>
  <c r="CS241" i="1"/>
  <c r="R241" i="1" s="1"/>
  <c r="FR241" i="1"/>
  <c r="GL241" i="1"/>
  <c r="GN241" i="1"/>
  <c r="GP241" i="1"/>
  <c r="GV241" i="1"/>
  <c r="C242" i="1"/>
  <c r="D242" i="1"/>
  <c r="I242" i="1"/>
  <c r="S242" i="1"/>
  <c r="AC242" i="1"/>
  <c r="AE242" i="1"/>
  <c r="H537" i="5" s="1"/>
  <c r="R537" i="5" s="1"/>
  <c r="AF242" i="1"/>
  <c r="AG242" i="1"/>
  <c r="CU242" i="1" s="1"/>
  <c r="T242" i="1" s="1"/>
  <c r="AH242" i="1"/>
  <c r="CV242" i="1" s="1"/>
  <c r="U242" i="1" s="1"/>
  <c r="AI242" i="1"/>
  <c r="AJ242" i="1"/>
  <c r="CQ242" i="1"/>
  <c r="P242" i="1" s="1"/>
  <c r="CT242" i="1"/>
  <c r="CW242" i="1"/>
  <c r="V242" i="1" s="1"/>
  <c r="Z619" i="6" s="1"/>
  <c r="CX242" i="1"/>
  <c r="W242" i="1" s="1"/>
  <c r="FR242" i="1"/>
  <c r="GL242" i="1"/>
  <c r="GN242" i="1"/>
  <c r="GP242" i="1"/>
  <c r="GV242" i="1"/>
  <c r="I243" i="1"/>
  <c r="AB243" i="1"/>
  <c r="G627" i="6" s="1"/>
  <c r="AC243" i="1"/>
  <c r="AE243" i="1"/>
  <c r="AD243" i="1" s="1"/>
  <c r="AF243" i="1"/>
  <c r="AG243" i="1"/>
  <c r="CU243" i="1" s="1"/>
  <c r="T243" i="1" s="1"/>
  <c r="AH243" i="1"/>
  <c r="CV243" i="1" s="1"/>
  <c r="U243" i="1" s="1"/>
  <c r="Y627" i="6" s="1"/>
  <c r="AI243" i="1"/>
  <c r="AJ243" i="1"/>
  <c r="CX243" i="1" s="1"/>
  <c r="W243" i="1" s="1"/>
  <c r="CR243" i="1"/>
  <c r="Q243" i="1" s="1"/>
  <c r="CS243" i="1"/>
  <c r="CW243" i="1"/>
  <c r="V243" i="1" s="1"/>
  <c r="Z627" i="6" s="1"/>
  <c r="FR243" i="1"/>
  <c r="GL243" i="1"/>
  <c r="GN243" i="1"/>
  <c r="GP243" i="1"/>
  <c r="GV243" i="1"/>
  <c r="GX243" i="1" s="1"/>
  <c r="C244" i="1"/>
  <c r="D244" i="1"/>
  <c r="AC244" i="1"/>
  <c r="AD244" i="1"/>
  <c r="CR244" i="1" s="1"/>
  <c r="Q244" i="1" s="1"/>
  <c r="W629" i="6" s="1"/>
  <c r="AE244" i="1"/>
  <c r="CS244" i="1" s="1"/>
  <c r="R244" i="1" s="1"/>
  <c r="X629" i="6" s="1"/>
  <c r="AF244" i="1"/>
  <c r="AG244" i="1"/>
  <c r="CU244" i="1" s="1"/>
  <c r="T244" i="1" s="1"/>
  <c r="AH244" i="1"/>
  <c r="CV244" i="1" s="1"/>
  <c r="U244" i="1" s="1"/>
  <c r="AI244" i="1"/>
  <c r="CW244" i="1" s="1"/>
  <c r="V244" i="1" s="1"/>
  <c r="Z629" i="6" s="1"/>
  <c r="AJ244" i="1"/>
  <c r="CT244" i="1"/>
  <c r="S244" i="1" s="1"/>
  <c r="CX244" i="1"/>
  <c r="W244" i="1" s="1"/>
  <c r="FR244" i="1"/>
  <c r="GK244" i="1"/>
  <c r="GL244" i="1"/>
  <c r="GN244" i="1"/>
  <c r="GP244" i="1"/>
  <c r="GV244" i="1"/>
  <c r="GX244" i="1" s="1"/>
  <c r="B246" i="1"/>
  <c r="B233" i="1" s="1"/>
  <c r="C246" i="1"/>
  <c r="C233" i="1" s="1"/>
  <c r="D246" i="1"/>
  <c r="D233" i="1" s="1"/>
  <c r="F246" i="1"/>
  <c r="F233" i="1" s="1"/>
  <c r="G246" i="1"/>
  <c r="BX246" i="1"/>
  <c r="CK246" i="1"/>
  <c r="BB246" i="1" s="1"/>
  <c r="F259" i="1" s="1"/>
  <c r="CL246" i="1"/>
  <c r="CL233" i="1" s="1"/>
  <c r="B275" i="1"/>
  <c r="B22" i="1" s="1"/>
  <c r="C275" i="1"/>
  <c r="C22" i="1" s="1"/>
  <c r="D275" i="1"/>
  <c r="D22" i="1" s="1"/>
  <c r="F275" i="1"/>
  <c r="F22" i="1" s="1"/>
  <c r="G275" i="1"/>
  <c r="B307" i="1"/>
  <c r="B18" i="1" s="1"/>
  <c r="C307" i="1"/>
  <c r="C18" i="1" s="1"/>
  <c r="D307" i="1"/>
  <c r="D18" i="1" s="1"/>
  <c r="F307" i="1"/>
  <c r="F18" i="1" s="1"/>
  <c r="G307" i="1"/>
  <c r="G18" i="1" s="1"/>
  <c r="V557" i="6" l="1"/>
  <c r="K481" i="5"/>
  <c r="Y442" i="6"/>
  <c r="L377" i="5"/>
  <c r="Q377" i="5" s="1"/>
  <c r="L375" i="5"/>
  <c r="BY158" i="1"/>
  <c r="AP199" i="1"/>
  <c r="X567" i="6"/>
  <c r="GK197" i="1"/>
  <c r="CY71" i="1"/>
  <c r="X71" i="1" s="1"/>
  <c r="V242" i="6"/>
  <c r="U216" i="6"/>
  <c r="K174" i="5"/>
  <c r="Y204" i="6"/>
  <c r="L169" i="5"/>
  <c r="Q169" i="5" s="1"/>
  <c r="L166" i="5"/>
  <c r="Y629" i="6"/>
  <c r="L549" i="5"/>
  <c r="L550" i="5"/>
  <c r="Q550" i="5" s="1"/>
  <c r="GK177" i="1"/>
  <c r="K410" i="5"/>
  <c r="X482" i="6"/>
  <c r="Y482" i="6"/>
  <c r="L416" i="5"/>
  <c r="Q416" i="5" s="1"/>
  <c r="L414" i="5"/>
  <c r="Y408" i="6"/>
  <c r="L346" i="5"/>
  <c r="Q346" i="5" s="1"/>
  <c r="L345" i="5"/>
  <c r="V322" i="6"/>
  <c r="K262" i="5"/>
  <c r="V314" i="6"/>
  <c r="K254" i="5"/>
  <c r="U244" i="6"/>
  <c r="GK69" i="1"/>
  <c r="X230" i="6"/>
  <c r="K184" i="5"/>
  <c r="CY67" i="1"/>
  <c r="X67" i="1" s="1"/>
  <c r="V226" i="6"/>
  <c r="CY65" i="1"/>
  <c r="X65" i="1" s="1"/>
  <c r="V214" i="6"/>
  <c r="AB212" i="6"/>
  <c r="V167" i="5"/>
  <c r="Y184" i="6"/>
  <c r="L149" i="5"/>
  <c r="Q149" i="5" s="1"/>
  <c r="L148" i="5"/>
  <c r="K143" i="5"/>
  <c r="W184" i="6"/>
  <c r="X182" i="6"/>
  <c r="GK60" i="1"/>
  <c r="GK43" i="1"/>
  <c r="X132" i="6"/>
  <c r="L271" i="5"/>
  <c r="Q271" i="5" s="1"/>
  <c r="Y322" i="6"/>
  <c r="L268" i="5"/>
  <c r="Y581" i="6"/>
  <c r="L507" i="5"/>
  <c r="Q507" i="5" s="1"/>
  <c r="L506" i="5"/>
  <c r="U532" i="6"/>
  <c r="U514" i="6"/>
  <c r="K444" i="5"/>
  <c r="GK179" i="1"/>
  <c r="X492" i="6"/>
  <c r="K421" i="5"/>
  <c r="T168" i="1"/>
  <c r="CR160" i="1"/>
  <c r="Q160" i="1" s="1"/>
  <c r="H308" i="5"/>
  <c r="Y216" i="6"/>
  <c r="L180" i="5"/>
  <c r="Q180" i="5" s="1"/>
  <c r="L177" i="5"/>
  <c r="V629" i="6"/>
  <c r="K545" i="5"/>
  <c r="AB244" i="1"/>
  <c r="G629" i="6" s="1"/>
  <c r="H546" i="5"/>
  <c r="V619" i="6"/>
  <c r="K535" i="5"/>
  <c r="GK241" i="1"/>
  <c r="X617" i="6"/>
  <c r="F617" i="6"/>
  <c r="E531" i="5"/>
  <c r="CT239" i="1"/>
  <c r="U523" i="5"/>
  <c r="GK238" i="1"/>
  <c r="X599" i="6"/>
  <c r="G595" i="6"/>
  <c r="G594" i="6"/>
  <c r="H509" i="5"/>
  <c r="R509" i="5" s="1"/>
  <c r="U508" i="5"/>
  <c r="S508" i="5"/>
  <c r="GK193" i="1"/>
  <c r="X550" i="6"/>
  <c r="F550" i="6"/>
  <c r="E472" i="5"/>
  <c r="CR192" i="1"/>
  <c r="Q192" i="1" s="1"/>
  <c r="H466" i="5"/>
  <c r="S459" i="5"/>
  <c r="U459" i="5"/>
  <c r="G531" i="6"/>
  <c r="G529" i="6"/>
  <c r="G530" i="6"/>
  <c r="H451" i="5"/>
  <c r="U450" i="5"/>
  <c r="S450" i="5"/>
  <c r="CT186" i="1"/>
  <c r="S186" i="1" s="1"/>
  <c r="GK183" i="1"/>
  <c r="X512" i="6"/>
  <c r="CR177" i="1"/>
  <c r="Q177" i="1" s="1"/>
  <c r="GK171" i="1"/>
  <c r="K382" i="5"/>
  <c r="X452" i="6"/>
  <c r="CT170" i="1"/>
  <c r="S170" i="1" s="1"/>
  <c r="V450" i="6" s="1"/>
  <c r="U376" i="5"/>
  <c r="S376" i="5"/>
  <c r="V442" i="6"/>
  <c r="K371" i="5"/>
  <c r="GX168" i="1"/>
  <c r="CQ164" i="1"/>
  <c r="P164" i="1" s="1"/>
  <c r="H342" i="5"/>
  <c r="G381" i="6"/>
  <c r="U306" i="5"/>
  <c r="H311" i="5" s="1"/>
  <c r="G382" i="6"/>
  <c r="S306" i="5"/>
  <c r="H310" i="5" s="1"/>
  <c r="H307" i="5"/>
  <c r="CT121" i="1"/>
  <c r="S121" i="1" s="1"/>
  <c r="V346" i="6" s="1"/>
  <c r="U280" i="5"/>
  <c r="S280" i="5"/>
  <c r="GK120" i="1"/>
  <c r="X336" i="6"/>
  <c r="K275" i="5"/>
  <c r="CQ119" i="1"/>
  <c r="H270" i="5"/>
  <c r="W270" i="5" s="1"/>
  <c r="S74" i="1"/>
  <c r="CZ74" i="1" s="1"/>
  <c r="Y74" i="1" s="1"/>
  <c r="CT73" i="1"/>
  <c r="G259" i="6"/>
  <c r="G261" i="6"/>
  <c r="S201" i="5"/>
  <c r="H206" i="5" s="1"/>
  <c r="H203" i="5"/>
  <c r="U201" i="5"/>
  <c r="H207" i="5" s="1"/>
  <c r="X228" i="6"/>
  <c r="GK68" i="1"/>
  <c r="CP67" i="1"/>
  <c r="O67" i="1" s="1"/>
  <c r="U226" i="6"/>
  <c r="H163" i="5"/>
  <c r="CQ63" i="1"/>
  <c r="P63" i="1" s="1"/>
  <c r="U150" i="5"/>
  <c r="H156" i="5" s="1"/>
  <c r="G201" i="6"/>
  <c r="S150" i="5"/>
  <c r="H155" i="5" s="1"/>
  <c r="G199" i="6"/>
  <c r="H151" i="5"/>
  <c r="GK61" i="1"/>
  <c r="X184" i="6"/>
  <c r="K144" i="5"/>
  <c r="F182" i="6"/>
  <c r="E139" i="5"/>
  <c r="Y168" i="6"/>
  <c r="L140" i="5"/>
  <c r="Q140" i="5" s="1"/>
  <c r="L136" i="5"/>
  <c r="CS54" i="1"/>
  <c r="R54" i="1" s="1"/>
  <c r="AD54" i="1"/>
  <c r="CR54" i="1" s="1"/>
  <c r="Q54" i="1" s="1"/>
  <c r="W162" i="6" s="1"/>
  <c r="CQ53" i="1"/>
  <c r="P53" i="1" s="1"/>
  <c r="U160" i="6" s="1"/>
  <c r="GK45" i="1"/>
  <c r="X144" i="6"/>
  <c r="CQ45" i="1"/>
  <c r="P45" i="1" s="1"/>
  <c r="U144" i="6" s="1"/>
  <c r="H117" i="5"/>
  <c r="W117" i="5" s="1"/>
  <c r="V128" i="6"/>
  <c r="U96" i="6"/>
  <c r="K82" i="5"/>
  <c r="Y96" i="6"/>
  <c r="L86" i="5"/>
  <c r="Q86" i="5" s="1"/>
  <c r="L85" i="5"/>
  <c r="Y74" i="6"/>
  <c r="L68" i="5"/>
  <c r="Q68" i="5" s="1"/>
  <c r="L65" i="5"/>
  <c r="U64" i="6"/>
  <c r="H46" i="5"/>
  <c r="R46" i="5" s="1"/>
  <c r="CS30" i="1"/>
  <c r="R30" i="1" s="1"/>
  <c r="CY30" i="1" s="1"/>
  <c r="X30" i="1" s="1"/>
  <c r="X46" i="6"/>
  <c r="K38" i="5"/>
  <c r="F627" i="6"/>
  <c r="E542" i="5"/>
  <c r="V609" i="6"/>
  <c r="K526" i="5"/>
  <c r="GK237" i="1"/>
  <c r="X597" i="6"/>
  <c r="P237" i="1"/>
  <c r="U597" i="6" s="1"/>
  <c r="F597" i="6"/>
  <c r="E514" i="5"/>
  <c r="Y589" i="6"/>
  <c r="L515" i="5"/>
  <c r="Q515" i="5" s="1"/>
  <c r="L513" i="5"/>
  <c r="AD236" i="1"/>
  <c r="CR236" i="1" s="1"/>
  <c r="Q236" i="1" s="1"/>
  <c r="W589" i="6" s="1"/>
  <c r="CS236" i="1"/>
  <c r="R236" i="1" s="1"/>
  <c r="CT196" i="1"/>
  <c r="S196" i="1" s="1"/>
  <c r="G564" i="6"/>
  <c r="G565" i="6"/>
  <c r="U486" i="5"/>
  <c r="H489" i="5" s="1"/>
  <c r="S486" i="5"/>
  <c r="H488" i="5" s="1"/>
  <c r="H487" i="5"/>
  <c r="GX193" i="1"/>
  <c r="AB192" i="1"/>
  <c r="G542" i="6" s="1"/>
  <c r="H468" i="5"/>
  <c r="CQ190" i="1"/>
  <c r="H460" i="5"/>
  <c r="X460" i="5" s="1"/>
  <c r="F536" i="6"/>
  <c r="E459" i="5"/>
  <c r="R188" i="1"/>
  <c r="GX187" i="1"/>
  <c r="CS187" i="1"/>
  <c r="R187" i="1" s="1"/>
  <c r="AB186" i="1"/>
  <c r="G524" i="6" s="1"/>
  <c r="H452" i="5"/>
  <c r="GK185" i="1"/>
  <c r="CT184" i="1"/>
  <c r="S184" i="1" s="1"/>
  <c r="G519" i="6"/>
  <c r="H441" i="5"/>
  <c r="G520" i="6"/>
  <c r="U440" i="5"/>
  <c r="S440" i="5"/>
  <c r="CT181" i="1"/>
  <c r="S181" i="1" s="1"/>
  <c r="G508" i="6"/>
  <c r="G507" i="6"/>
  <c r="U428" i="5"/>
  <c r="S428" i="5"/>
  <c r="H430" i="5"/>
  <c r="R430" i="5" s="1"/>
  <c r="H422" i="5"/>
  <c r="CQ179" i="1"/>
  <c r="GK174" i="1"/>
  <c r="X470" i="6"/>
  <c r="GK173" i="1"/>
  <c r="X462" i="6"/>
  <c r="F452" i="6"/>
  <c r="E378" i="5"/>
  <c r="C379" i="5"/>
  <c r="GK166" i="1"/>
  <c r="X424" i="6"/>
  <c r="Y416" i="6"/>
  <c r="L351" i="5"/>
  <c r="L352" i="5"/>
  <c r="Q352" i="5" s="1"/>
  <c r="AD162" i="1"/>
  <c r="H326" i="5" s="1"/>
  <c r="H327" i="5"/>
  <c r="R327" i="5" s="1"/>
  <c r="W161" i="1"/>
  <c r="BX114" i="1"/>
  <c r="AO127" i="1"/>
  <c r="F334" i="6"/>
  <c r="E270" i="5"/>
  <c r="Y314" i="6"/>
  <c r="L260" i="5"/>
  <c r="Q260" i="5" s="1"/>
  <c r="L259" i="5"/>
  <c r="BB83" i="1"/>
  <c r="AB306" i="6"/>
  <c r="V245" i="5"/>
  <c r="Y304" i="6"/>
  <c r="L244" i="5"/>
  <c r="Q244" i="5" s="1"/>
  <c r="CS78" i="1"/>
  <c r="R78" i="1" s="1"/>
  <c r="CY78" i="1" s="1"/>
  <c r="X78" i="1" s="1"/>
  <c r="AD78" i="1"/>
  <c r="CR78" i="1" s="1"/>
  <c r="Q78" i="1" s="1"/>
  <c r="W294" i="6" s="1"/>
  <c r="CT77" i="1"/>
  <c r="S77" i="1" s="1"/>
  <c r="G292" i="6"/>
  <c r="G291" i="6"/>
  <c r="G293" i="6"/>
  <c r="H227" i="5"/>
  <c r="S226" i="5"/>
  <c r="U226" i="5"/>
  <c r="GK77" i="1"/>
  <c r="X286" i="6"/>
  <c r="K229" i="5"/>
  <c r="GK76" i="1"/>
  <c r="X284" i="6"/>
  <c r="CQ76" i="1"/>
  <c r="P76" i="1" s="1"/>
  <c r="U284" i="6" s="1"/>
  <c r="H224" i="5"/>
  <c r="W224" i="5" s="1"/>
  <c r="G279" i="6"/>
  <c r="G283" i="6"/>
  <c r="G281" i="6"/>
  <c r="U217" i="5"/>
  <c r="S217" i="5"/>
  <c r="H219" i="5"/>
  <c r="CT75" i="1"/>
  <c r="S75" i="1" s="1"/>
  <c r="GX74" i="1"/>
  <c r="G269" i="6"/>
  <c r="G273" i="6"/>
  <c r="G271" i="6"/>
  <c r="S210" i="5"/>
  <c r="H213" i="5" s="1"/>
  <c r="H212" i="5"/>
  <c r="U210" i="5"/>
  <c r="H214" i="5" s="1"/>
  <c r="H205" i="5"/>
  <c r="R205" i="5" s="1"/>
  <c r="AD73" i="1"/>
  <c r="CQ70" i="1"/>
  <c r="P70" i="1" s="1"/>
  <c r="U240" i="6" s="1"/>
  <c r="H189" i="5"/>
  <c r="W189" i="5" s="1"/>
  <c r="AD69" i="1"/>
  <c r="H173" i="5"/>
  <c r="R173" i="5" s="1"/>
  <c r="AD66" i="1"/>
  <c r="CQ65" i="1"/>
  <c r="P65" i="1" s="1"/>
  <c r="U214" i="6" s="1"/>
  <c r="H168" i="5"/>
  <c r="W168" i="5" s="1"/>
  <c r="AD64" i="1"/>
  <c r="CR64" i="1" s="1"/>
  <c r="Q64" i="1" s="1"/>
  <c r="W212" i="6" s="1"/>
  <c r="H153" i="5"/>
  <c r="R153" i="5" s="1"/>
  <c r="AD62" i="1"/>
  <c r="CS62" i="1"/>
  <c r="R62" i="1" s="1"/>
  <c r="CQ59" i="1"/>
  <c r="CT58" i="1"/>
  <c r="S58" i="1" s="1"/>
  <c r="S137" i="5"/>
  <c r="U137" i="5"/>
  <c r="F158" i="6"/>
  <c r="E124" i="5"/>
  <c r="GK50" i="1"/>
  <c r="CQ50" i="1"/>
  <c r="CQ49" i="1"/>
  <c r="P49" i="1" s="1"/>
  <c r="H121" i="5"/>
  <c r="W121" i="5" s="1"/>
  <c r="F144" i="6"/>
  <c r="E117" i="5"/>
  <c r="V74" i="6"/>
  <c r="K60" i="5"/>
  <c r="AD30" i="1"/>
  <c r="G233" i="1"/>
  <c r="C638" i="6"/>
  <c r="A552" i="5"/>
  <c r="CS242" i="1"/>
  <c r="R242" i="1" s="1"/>
  <c r="CY242" i="1" s="1"/>
  <c r="X242" i="1" s="1"/>
  <c r="Y619" i="6"/>
  <c r="L541" i="5"/>
  <c r="L543" i="5"/>
  <c r="Q543" i="5" s="1"/>
  <c r="AD242" i="1"/>
  <c r="GX242" i="1"/>
  <c r="F619" i="6"/>
  <c r="C534" i="5"/>
  <c r="E533" i="5"/>
  <c r="AB240" i="1"/>
  <c r="G609" i="6" s="1"/>
  <c r="G614" i="6"/>
  <c r="U525" i="5"/>
  <c r="H529" i="5" s="1"/>
  <c r="S525" i="5"/>
  <c r="G615" i="6"/>
  <c r="H526" i="5"/>
  <c r="AB239" i="1"/>
  <c r="G607" i="6" s="1"/>
  <c r="V238" i="1"/>
  <c r="Z599" i="6" s="1"/>
  <c r="Q238" i="1"/>
  <c r="W599" i="6" s="1"/>
  <c r="CT237" i="1"/>
  <c r="S514" i="5"/>
  <c r="U514" i="5"/>
  <c r="CT236" i="1"/>
  <c r="S236" i="1" s="1"/>
  <c r="G587" i="6"/>
  <c r="G588" i="6"/>
  <c r="G586" i="6"/>
  <c r="U502" i="5"/>
  <c r="H505" i="5" s="1"/>
  <c r="S502" i="5"/>
  <c r="H504" i="5" s="1"/>
  <c r="H503" i="5"/>
  <c r="CT235" i="1"/>
  <c r="S235" i="1" s="1"/>
  <c r="CK233" i="1"/>
  <c r="V567" i="6"/>
  <c r="K493" i="5"/>
  <c r="Y567" i="6"/>
  <c r="L497" i="5"/>
  <c r="Q497" i="5" s="1"/>
  <c r="L496" i="5"/>
  <c r="AD197" i="1"/>
  <c r="CR197" i="1" s="1"/>
  <c r="Q197" i="1" s="1"/>
  <c r="W567" i="6" s="1"/>
  <c r="Y552" i="6"/>
  <c r="L479" i="5"/>
  <c r="Q479" i="5" s="1"/>
  <c r="L478" i="5"/>
  <c r="Q193" i="1"/>
  <c r="W550" i="6" s="1"/>
  <c r="F542" i="6"/>
  <c r="E463" i="5"/>
  <c r="C464" i="5"/>
  <c r="F540" i="6"/>
  <c r="E461" i="5"/>
  <c r="CS190" i="1"/>
  <c r="R190" i="1" s="1"/>
  <c r="F538" i="6"/>
  <c r="E460" i="5"/>
  <c r="CT189" i="1"/>
  <c r="S189" i="1" s="1"/>
  <c r="V536" i="6" s="1"/>
  <c r="U189" i="1"/>
  <c r="Y536" i="6" s="1"/>
  <c r="Q189" i="1"/>
  <c r="W536" i="6" s="1"/>
  <c r="GX188" i="1"/>
  <c r="CQ188" i="1"/>
  <c r="P188" i="1" s="1"/>
  <c r="U534" i="6" s="1"/>
  <c r="Y524" i="6"/>
  <c r="L462" i="5"/>
  <c r="Q462" i="5" s="1"/>
  <c r="L456" i="5"/>
  <c r="P185" i="1"/>
  <c r="U522" i="6" s="1"/>
  <c r="AD184" i="1"/>
  <c r="H442" i="5" s="1"/>
  <c r="H443" i="5"/>
  <c r="R443" i="5" s="1"/>
  <c r="CS184" i="1"/>
  <c r="R184" i="1" s="1"/>
  <c r="T183" i="1"/>
  <c r="F512" i="6"/>
  <c r="E438" i="5"/>
  <c r="AD182" i="1"/>
  <c r="CR182" i="1" s="1"/>
  <c r="H432" i="5"/>
  <c r="R432" i="5" s="1"/>
  <c r="AD181" i="1"/>
  <c r="P179" i="1"/>
  <c r="F492" i="6"/>
  <c r="C418" i="5"/>
  <c r="E417" i="5"/>
  <c r="X490" i="6"/>
  <c r="GK178" i="1"/>
  <c r="F490" i="6"/>
  <c r="E415" i="5"/>
  <c r="GK176" i="1"/>
  <c r="X480" i="6"/>
  <c r="CQ176" i="1"/>
  <c r="P176" i="1" s="1"/>
  <c r="U480" i="6" s="1"/>
  <c r="H405" i="5"/>
  <c r="X405" i="5" s="1"/>
  <c r="CQ175" i="1"/>
  <c r="P175" i="1" s="1"/>
  <c r="AB173" i="1"/>
  <c r="G462" i="6" s="1"/>
  <c r="G467" i="6"/>
  <c r="G469" i="6"/>
  <c r="S389" i="5"/>
  <c r="G468" i="6"/>
  <c r="H390" i="5"/>
  <c r="U389" i="5"/>
  <c r="H393" i="5" s="1"/>
  <c r="CT173" i="1"/>
  <c r="S173" i="1" s="1"/>
  <c r="CZ173" i="1" s="1"/>
  <c r="Y173" i="1" s="1"/>
  <c r="V171" i="1"/>
  <c r="Z452" i="6" s="1"/>
  <c r="AD171" i="1"/>
  <c r="H382" i="5"/>
  <c r="R382" i="5" s="1"/>
  <c r="H376" i="5"/>
  <c r="X376" i="5" s="1"/>
  <c r="CQ170" i="1"/>
  <c r="CY166" i="1"/>
  <c r="X166" i="1" s="1"/>
  <c r="V424" i="6"/>
  <c r="K354" i="5"/>
  <c r="L358" i="5"/>
  <c r="Q358" i="5" s="1"/>
  <c r="L357" i="5"/>
  <c r="Y424" i="6"/>
  <c r="AD166" i="1"/>
  <c r="CR166" i="1" s="1"/>
  <c r="Q166" i="1" s="1"/>
  <c r="W424" i="6" s="1"/>
  <c r="CS165" i="1"/>
  <c r="R165" i="1" s="1"/>
  <c r="AB165" i="1"/>
  <c r="G416" i="6" s="1"/>
  <c r="CT164" i="1"/>
  <c r="S164" i="1" s="1"/>
  <c r="G413" i="6"/>
  <c r="G414" i="6"/>
  <c r="H340" i="5"/>
  <c r="U339" i="5"/>
  <c r="H344" i="5" s="1"/>
  <c r="S339" i="5"/>
  <c r="H343" i="5" s="1"/>
  <c r="GK163" i="1"/>
  <c r="X400" i="6"/>
  <c r="U162" i="1"/>
  <c r="P162" i="1"/>
  <c r="U392" i="6" s="1"/>
  <c r="GX161" i="1"/>
  <c r="V161" i="1"/>
  <c r="Z384" i="6" s="1"/>
  <c r="AD161" i="1"/>
  <c r="H317" i="5" s="1"/>
  <c r="H318" i="5"/>
  <c r="R318" i="5" s="1"/>
  <c r="CT160" i="1"/>
  <c r="S160" i="1" s="1"/>
  <c r="Y376" i="6"/>
  <c r="L313" i="5"/>
  <c r="Q313" i="5" s="1"/>
  <c r="L312" i="5"/>
  <c r="G114" i="1"/>
  <c r="C371" i="6"/>
  <c r="A301" i="5"/>
  <c r="U125" i="1"/>
  <c r="P125" i="1"/>
  <c r="U362" i="6" s="1"/>
  <c r="CT123" i="1"/>
  <c r="S123" i="1" s="1"/>
  <c r="G359" i="6"/>
  <c r="G357" i="6"/>
  <c r="G355" i="6"/>
  <c r="H284" i="5"/>
  <c r="S283" i="5"/>
  <c r="U283" i="5"/>
  <c r="AD122" i="1"/>
  <c r="CR122" i="1" s="1"/>
  <c r="Q122" i="1" s="1"/>
  <c r="W348" i="6" s="1"/>
  <c r="H280" i="5"/>
  <c r="W280" i="5" s="1"/>
  <c r="CQ121" i="1"/>
  <c r="P121" i="1" s="1"/>
  <c r="U346" i="6" s="1"/>
  <c r="W118" i="1"/>
  <c r="U269" i="5"/>
  <c r="S269" i="5"/>
  <c r="CC127" i="1"/>
  <c r="CC114" i="1" s="1"/>
  <c r="G319" i="6"/>
  <c r="G320" i="6"/>
  <c r="S253" i="5"/>
  <c r="H257" i="5" s="1"/>
  <c r="H254" i="5"/>
  <c r="U253" i="5"/>
  <c r="H258" i="5" s="1"/>
  <c r="AA306" i="6"/>
  <c r="T245" i="5"/>
  <c r="AA304" i="6"/>
  <c r="T243" i="5"/>
  <c r="L242" i="5"/>
  <c r="Q242" i="5" s="1"/>
  <c r="L241" i="5"/>
  <c r="Y296" i="6"/>
  <c r="AD79" i="1"/>
  <c r="CR79" i="1" s="1"/>
  <c r="Q79" i="1" s="1"/>
  <c r="W296" i="6" s="1"/>
  <c r="CS79" i="1"/>
  <c r="R79" i="1" s="1"/>
  <c r="H234" i="5"/>
  <c r="W234" i="5" s="1"/>
  <c r="U286" i="6"/>
  <c r="K230" i="5"/>
  <c r="U224" i="5"/>
  <c r="S224" i="5"/>
  <c r="V74" i="1"/>
  <c r="Z264" i="6" s="1"/>
  <c r="Q74" i="1"/>
  <c r="W264" i="6" s="1"/>
  <c r="CS73" i="1"/>
  <c r="R73" i="1" s="1"/>
  <c r="G249" i="6"/>
  <c r="U192" i="5"/>
  <c r="H198" i="5" s="1"/>
  <c r="H194" i="5"/>
  <c r="S192" i="5"/>
  <c r="H197" i="5" s="1"/>
  <c r="G253" i="6"/>
  <c r="G251" i="6"/>
  <c r="CT72" i="1"/>
  <c r="S72" i="1" s="1"/>
  <c r="GK71" i="1"/>
  <c r="GX71" i="1"/>
  <c r="F242" i="6"/>
  <c r="E190" i="5"/>
  <c r="F228" i="6"/>
  <c r="E179" i="5"/>
  <c r="CS66" i="1"/>
  <c r="R66" i="1" s="1"/>
  <c r="AB65" i="1"/>
  <c r="G214" i="6" s="1"/>
  <c r="S168" i="5"/>
  <c r="U168" i="5"/>
  <c r="AB64" i="1"/>
  <c r="G212" i="6" s="1"/>
  <c r="H167" i="5"/>
  <c r="W167" i="5" s="1"/>
  <c r="CT63" i="1"/>
  <c r="S63" i="1" s="1"/>
  <c r="G210" i="6"/>
  <c r="S159" i="5"/>
  <c r="G209" i="6"/>
  <c r="U159" i="5"/>
  <c r="H165" i="5" s="1"/>
  <c r="H160" i="5"/>
  <c r="R160" i="5" s="1"/>
  <c r="CT62" i="1"/>
  <c r="S62" i="1" s="1"/>
  <c r="CP61" i="1"/>
  <c r="O61" i="1" s="1"/>
  <c r="U184" i="6"/>
  <c r="K145" i="5"/>
  <c r="CT59" i="1"/>
  <c r="F168" i="6"/>
  <c r="C131" i="5"/>
  <c r="E130" i="5"/>
  <c r="H128" i="5"/>
  <c r="W128" i="5" s="1"/>
  <c r="F164" i="6"/>
  <c r="E127" i="5"/>
  <c r="T54" i="1"/>
  <c r="F160" i="6"/>
  <c r="E125" i="5"/>
  <c r="AD51" i="1"/>
  <c r="CR51" i="1" s="1"/>
  <c r="CS51" i="1"/>
  <c r="R51" i="1" s="1"/>
  <c r="CS49" i="1"/>
  <c r="R49" i="1" s="1"/>
  <c r="CY49" i="1" s="1"/>
  <c r="X49" i="1" s="1"/>
  <c r="GX47" i="1"/>
  <c r="S47" i="1"/>
  <c r="V148" i="6" s="1"/>
  <c r="AB47" i="1"/>
  <c r="G148" i="6" s="1"/>
  <c r="H119" i="5"/>
  <c r="W119" i="5" s="1"/>
  <c r="V45" i="1"/>
  <c r="Z144" i="6" s="1"/>
  <c r="GK44" i="1"/>
  <c r="X134" i="6"/>
  <c r="K112" i="5"/>
  <c r="L129" i="5"/>
  <c r="Q129" i="5" s="1"/>
  <c r="L116" i="5"/>
  <c r="Y134" i="6"/>
  <c r="CR44" i="1"/>
  <c r="Q44" i="1" s="1"/>
  <c r="CP44" i="1" s="1"/>
  <c r="O44" i="1" s="1"/>
  <c r="H111" i="5"/>
  <c r="CT43" i="1"/>
  <c r="S107" i="5"/>
  <c r="U107" i="5"/>
  <c r="CS41" i="1"/>
  <c r="R41" i="1" s="1"/>
  <c r="CY41" i="1" s="1"/>
  <c r="X41" i="1" s="1"/>
  <c r="U116" i="6"/>
  <c r="K100" i="5"/>
  <c r="G113" i="6"/>
  <c r="G111" i="6"/>
  <c r="U87" i="5"/>
  <c r="H93" i="5" s="1"/>
  <c r="H88" i="5"/>
  <c r="S87" i="5"/>
  <c r="H92" i="5" s="1"/>
  <c r="CT38" i="1"/>
  <c r="S38" i="1" s="1"/>
  <c r="CZ38" i="1" s="1"/>
  <c r="Y38" i="1" s="1"/>
  <c r="R35" i="1"/>
  <c r="V35" i="1"/>
  <c r="Z84" i="6" s="1"/>
  <c r="S66" i="5"/>
  <c r="U66" i="5"/>
  <c r="V54" i="6"/>
  <c r="K44" i="5"/>
  <c r="AD29" i="1"/>
  <c r="H37" i="5" s="1"/>
  <c r="H38" i="5"/>
  <c r="R38" i="5" s="1"/>
  <c r="CS28" i="1"/>
  <c r="R28" i="1" s="1"/>
  <c r="Y38" i="6"/>
  <c r="L34" i="5"/>
  <c r="Q34" i="5" s="1"/>
  <c r="L33" i="5"/>
  <c r="CP243" i="1"/>
  <c r="O243" i="1" s="1"/>
  <c r="W627" i="6"/>
  <c r="CB246" i="1"/>
  <c r="Y609" i="6"/>
  <c r="L532" i="5"/>
  <c r="Q532" i="5" s="1"/>
  <c r="L530" i="5"/>
  <c r="F599" i="6"/>
  <c r="E516" i="5"/>
  <c r="C517" i="5"/>
  <c r="H514" i="5"/>
  <c r="X514" i="5" s="1"/>
  <c r="CQ237" i="1"/>
  <c r="GK195" i="1"/>
  <c r="X557" i="6"/>
  <c r="CT194" i="1"/>
  <c r="S194" i="1" s="1"/>
  <c r="G555" i="6"/>
  <c r="G556" i="6"/>
  <c r="G554" i="6"/>
  <c r="H475" i="5"/>
  <c r="U474" i="5"/>
  <c r="H477" i="5" s="1"/>
  <c r="S474" i="5"/>
  <c r="H476" i="5" s="1"/>
  <c r="V542" i="6"/>
  <c r="K465" i="5"/>
  <c r="Y542" i="6"/>
  <c r="L471" i="5"/>
  <c r="L473" i="5"/>
  <c r="Q473" i="5" s="1"/>
  <c r="GK191" i="1"/>
  <c r="X540" i="6"/>
  <c r="F534" i="6"/>
  <c r="E458" i="5"/>
  <c r="F532" i="6"/>
  <c r="E457" i="5"/>
  <c r="F522" i="6"/>
  <c r="E448" i="5"/>
  <c r="Y514" i="6"/>
  <c r="L447" i="5"/>
  <c r="L449" i="5"/>
  <c r="Q449" i="5" s="1"/>
  <c r="U502" i="6"/>
  <c r="K433" i="5"/>
  <c r="AD179" i="1"/>
  <c r="H420" i="5" s="1"/>
  <c r="H421" i="5"/>
  <c r="R421" i="5" s="1"/>
  <c r="CS175" i="1"/>
  <c r="R175" i="1" s="1"/>
  <c r="H400" i="5"/>
  <c r="R400" i="5" s="1"/>
  <c r="CQ174" i="1"/>
  <c r="P174" i="1" s="1"/>
  <c r="U470" i="6" s="1"/>
  <c r="H395" i="5"/>
  <c r="X395" i="5" s="1"/>
  <c r="CQ173" i="1"/>
  <c r="P173" i="1" s="1"/>
  <c r="H391" i="5"/>
  <c r="CQ169" i="1"/>
  <c r="P169" i="1" s="1"/>
  <c r="H372" i="5"/>
  <c r="Q168" i="1"/>
  <c r="W440" i="6" s="1"/>
  <c r="F384" i="6"/>
  <c r="E314" i="5"/>
  <c r="C315" i="5"/>
  <c r="CT125" i="1"/>
  <c r="S125" i="1" s="1"/>
  <c r="G367" i="6"/>
  <c r="G368" i="6"/>
  <c r="G369" i="6"/>
  <c r="H295" i="5"/>
  <c r="U293" i="5"/>
  <c r="H297" i="5" s="1"/>
  <c r="S293" i="5"/>
  <c r="H296" i="5" s="1"/>
  <c r="S234" i="5"/>
  <c r="U234" i="5"/>
  <c r="CT78" i="1"/>
  <c r="S78" i="1" s="1"/>
  <c r="V294" i="6" s="1"/>
  <c r="CP75" i="1"/>
  <c r="O75" i="1" s="1"/>
  <c r="U274" i="6"/>
  <c r="K220" i="5"/>
  <c r="F264" i="6"/>
  <c r="C211" i="5"/>
  <c r="E210" i="5"/>
  <c r="E189" i="5"/>
  <c r="F240" i="6"/>
  <c r="CT66" i="1"/>
  <c r="S66" i="1" s="1"/>
  <c r="G221" i="6"/>
  <c r="G223" i="6"/>
  <c r="H171" i="5"/>
  <c r="U170" i="5"/>
  <c r="S170" i="5"/>
  <c r="CY64" i="1"/>
  <c r="X64" i="1" s="1"/>
  <c r="V212" i="6"/>
  <c r="GX54" i="1"/>
  <c r="F162" i="6"/>
  <c r="E126" i="5"/>
  <c r="W130" i="6"/>
  <c r="GK39" i="1"/>
  <c r="X116" i="6"/>
  <c r="K99" i="5"/>
  <c r="K73" i="5"/>
  <c r="U86" i="6"/>
  <c r="CR33" i="1"/>
  <c r="Q33" i="1" s="1"/>
  <c r="H61" i="5"/>
  <c r="AD31" i="1"/>
  <c r="CR31" i="1" s="1"/>
  <c r="Q31" i="1" s="1"/>
  <c r="W62" i="6" s="1"/>
  <c r="CS31" i="1"/>
  <c r="R31" i="1" s="1"/>
  <c r="V38" i="6"/>
  <c r="K30" i="5"/>
  <c r="S542" i="5"/>
  <c r="U542" i="5"/>
  <c r="CT243" i="1"/>
  <c r="S243" i="1" s="1"/>
  <c r="V627" i="6" s="1"/>
  <c r="GX241" i="1"/>
  <c r="U531" i="5"/>
  <c r="S531" i="5"/>
  <c r="W238" i="1"/>
  <c r="CT238" i="1"/>
  <c r="S238" i="1" s="1"/>
  <c r="CY238" i="1" s="1"/>
  <c r="X238" i="1" s="1"/>
  <c r="G604" i="6"/>
  <c r="G605" i="6"/>
  <c r="U516" i="5"/>
  <c r="H521" i="5" s="1"/>
  <c r="H518" i="5"/>
  <c r="S516" i="5"/>
  <c r="BB199" i="1"/>
  <c r="BB158" i="1" s="1"/>
  <c r="Y557" i="6"/>
  <c r="L485" i="5"/>
  <c r="Q485" i="5" s="1"/>
  <c r="L484" i="5"/>
  <c r="AD195" i="1"/>
  <c r="CR195" i="1" s="1"/>
  <c r="Q195" i="1" s="1"/>
  <c r="W557" i="6" s="1"/>
  <c r="U472" i="5"/>
  <c r="S472" i="5"/>
  <c r="CT193" i="1"/>
  <c r="S193" i="1" s="1"/>
  <c r="V550" i="6" s="1"/>
  <c r="CQ192" i="1"/>
  <c r="P192" i="1" s="1"/>
  <c r="V188" i="1"/>
  <c r="Z534" i="6" s="1"/>
  <c r="H457" i="5"/>
  <c r="X457" i="5" s="1"/>
  <c r="GX185" i="1"/>
  <c r="H438" i="5"/>
  <c r="X438" i="5" s="1"/>
  <c r="GK181" i="1"/>
  <c r="X502" i="6"/>
  <c r="K432" i="5"/>
  <c r="U426" i="5"/>
  <c r="S426" i="5"/>
  <c r="Y492" i="6"/>
  <c r="L427" i="5"/>
  <c r="Q427" i="5" s="1"/>
  <c r="L425" i="5"/>
  <c r="U415" i="5"/>
  <c r="S415" i="5"/>
  <c r="U482" i="6"/>
  <c r="K411" i="5"/>
  <c r="V472" i="6"/>
  <c r="K398" i="5"/>
  <c r="Y472" i="6"/>
  <c r="L406" i="5"/>
  <c r="Q406" i="5" s="1"/>
  <c r="L404" i="5"/>
  <c r="F470" i="6"/>
  <c r="E395" i="5"/>
  <c r="GK169" i="1"/>
  <c r="X442" i="6"/>
  <c r="H368" i="5"/>
  <c r="X368" i="5" s="1"/>
  <c r="CT167" i="1"/>
  <c r="S167" i="1" s="1"/>
  <c r="G437" i="6"/>
  <c r="H361" i="5"/>
  <c r="U359" i="5"/>
  <c r="G438" i="6"/>
  <c r="S359" i="5"/>
  <c r="CP165" i="1"/>
  <c r="O165" i="1" s="1"/>
  <c r="U416" i="6"/>
  <c r="G405" i="6"/>
  <c r="G406" i="6"/>
  <c r="H333" i="5"/>
  <c r="U332" i="5"/>
  <c r="H336" i="5" s="1"/>
  <c r="S332" i="5"/>
  <c r="H335" i="5" s="1"/>
  <c r="CT161" i="1"/>
  <c r="S161" i="1" s="1"/>
  <c r="G389" i="6"/>
  <c r="G390" i="6"/>
  <c r="H316" i="5"/>
  <c r="U314" i="5"/>
  <c r="H320" i="5" s="1"/>
  <c r="S314" i="5"/>
  <c r="H319" i="5" s="1"/>
  <c r="CS160" i="1"/>
  <c r="R160" i="1" s="1"/>
  <c r="CZ160" i="1" s="1"/>
  <c r="Y160" i="1" s="1"/>
  <c r="H309" i="5"/>
  <c r="R309" i="5" s="1"/>
  <c r="CG127" i="1"/>
  <c r="CG114" i="1" s="1"/>
  <c r="CT124" i="1"/>
  <c r="S124" i="1" s="1"/>
  <c r="V360" i="6" s="1"/>
  <c r="U291" i="5"/>
  <c r="S291" i="5"/>
  <c r="GK123" i="1"/>
  <c r="X350" i="6"/>
  <c r="K286" i="5"/>
  <c r="GK122" i="1"/>
  <c r="X348" i="6"/>
  <c r="G343" i="6"/>
  <c r="G341" i="6"/>
  <c r="H273" i="5"/>
  <c r="S272" i="5"/>
  <c r="U272" i="5"/>
  <c r="GK119" i="1"/>
  <c r="X334" i="6"/>
  <c r="Y306" i="6"/>
  <c r="L246" i="5"/>
  <c r="Q246" i="5" s="1"/>
  <c r="AB304" i="6"/>
  <c r="V243" i="5"/>
  <c r="G302" i="6"/>
  <c r="S236" i="5"/>
  <c r="H239" i="5" s="1"/>
  <c r="G301" i="6"/>
  <c r="H237" i="5"/>
  <c r="U236" i="5"/>
  <c r="H240" i="5" s="1"/>
  <c r="BY83" i="1"/>
  <c r="AP83" i="1" s="1"/>
  <c r="AP26" i="1" s="1"/>
  <c r="GK75" i="1"/>
  <c r="X274" i="6"/>
  <c r="W74" i="1"/>
  <c r="AD71" i="1"/>
  <c r="CR71" i="1" s="1"/>
  <c r="Q71" i="1" s="1"/>
  <c r="W242" i="6" s="1"/>
  <c r="Y230" i="6"/>
  <c r="L191" i="5"/>
  <c r="Q191" i="5" s="1"/>
  <c r="L188" i="5"/>
  <c r="AB68" i="1"/>
  <c r="G228" i="6" s="1"/>
  <c r="S179" i="5"/>
  <c r="U179" i="5"/>
  <c r="CT68" i="1"/>
  <c r="S68" i="1" s="1"/>
  <c r="GK65" i="1"/>
  <c r="X214" i="6"/>
  <c r="F212" i="6"/>
  <c r="E167" i="5"/>
  <c r="X204" i="6"/>
  <c r="K162" i="5"/>
  <c r="AB61" i="1"/>
  <c r="G184" i="6" s="1"/>
  <c r="H143" i="5"/>
  <c r="CQ60" i="1"/>
  <c r="P60" i="1" s="1"/>
  <c r="H139" i="5"/>
  <c r="W139" i="5" s="1"/>
  <c r="P58" i="1"/>
  <c r="U178" i="6" s="1"/>
  <c r="F178" i="6"/>
  <c r="E137" i="5"/>
  <c r="CY53" i="1"/>
  <c r="X53" i="1" s="1"/>
  <c r="V160" i="6"/>
  <c r="CQ52" i="1"/>
  <c r="P52" i="1" s="1"/>
  <c r="U158" i="6" s="1"/>
  <c r="V134" i="6"/>
  <c r="K110" i="5"/>
  <c r="AB36" i="1"/>
  <c r="G86" i="6" s="1"/>
  <c r="G95" i="6"/>
  <c r="G93" i="6"/>
  <c r="G91" i="6"/>
  <c r="U69" i="5"/>
  <c r="H75" i="5" s="1"/>
  <c r="H70" i="5"/>
  <c r="S69" i="5"/>
  <c r="H74" i="5" s="1"/>
  <c r="CT36" i="1"/>
  <c r="S36" i="1" s="1"/>
  <c r="F84" i="6"/>
  <c r="E67" i="5"/>
  <c r="CT32" i="1"/>
  <c r="S32" i="1" s="1"/>
  <c r="CP32" i="1" s="1"/>
  <c r="O32" i="1" s="1"/>
  <c r="G71" i="6"/>
  <c r="G69" i="6"/>
  <c r="S53" i="5"/>
  <c r="H55" i="5" s="1"/>
  <c r="H54" i="5"/>
  <c r="U53" i="5"/>
  <c r="H56" i="5" s="1"/>
  <c r="Y54" i="6"/>
  <c r="L52" i="5"/>
  <c r="Q52" i="5" s="1"/>
  <c r="L50" i="5"/>
  <c r="R243" i="1"/>
  <c r="CQ243" i="1"/>
  <c r="P243" i="1" s="1"/>
  <c r="U627" i="6" s="1"/>
  <c r="H542" i="5"/>
  <c r="X542" i="5" s="1"/>
  <c r="U619" i="6"/>
  <c r="K538" i="5"/>
  <c r="AB242" i="1"/>
  <c r="G619" i="6" s="1"/>
  <c r="H538" i="5"/>
  <c r="CT241" i="1"/>
  <c r="S241" i="1" s="1"/>
  <c r="V617" i="6" s="1"/>
  <c r="U241" i="1"/>
  <c r="Y617" i="6" s="1"/>
  <c r="CQ241" i="1"/>
  <c r="P241" i="1" s="1"/>
  <c r="U617" i="6" s="1"/>
  <c r="H531" i="5"/>
  <c r="X531" i="5" s="1"/>
  <c r="GK240" i="1"/>
  <c r="X609" i="6"/>
  <c r="H523" i="5"/>
  <c r="X523" i="5" s="1"/>
  <c r="U238" i="1"/>
  <c r="CQ238" i="1"/>
  <c r="H519" i="5"/>
  <c r="AB238" i="1"/>
  <c r="G599" i="6" s="1"/>
  <c r="GX237" i="1"/>
  <c r="V237" i="1"/>
  <c r="Z597" i="6" s="1"/>
  <c r="Y562" i="6"/>
  <c r="L491" i="5"/>
  <c r="Q491" i="5" s="1"/>
  <c r="L490" i="5"/>
  <c r="G560" i="6"/>
  <c r="G559" i="6"/>
  <c r="S480" i="5"/>
  <c r="H482" i="5" s="1"/>
  <c r="H481" i="5"/>
  <c r="U480" i="5"/>
  <c r="H483" i="5" s="1"/>
  <c r="V193" i="1"/>
  <c r="Z550" i="6" s="1"/>
  <c r="AB193" i="1"/>
  <c r="G550" i="6" s="1"/>
  <c r="H472" i="5"/>
  <c r="X472" i="5" s="1"/>
  <c r="CS192" i="1"/>
  <c r="R192" i="1" s="1"/>
  <c r="H467" i="5"/>
  <c r="R467" i="5" s="1"/>
  <c r="U540" i="6"/>
  <c r="H461" i="5"/>
  <c r="X461" i="5" s="1"/>
  <c r="GX189" i="1"/>
  <c r="R189" i="1"/>
  <c r="T189" i="1"/>
  <c r="AB189" i="1"/>
  <c r="G536" i="6" s="1"/>
  <c r="H459" i="5"/>
  <c r="X459" i="5" s="1"/>
  <c r="S188" i="1"/>
  <c r="V534" i="6" s="1"/>
  <c r="U187" i="1"/>
  <c r="Y532" i="6" s="1"/>
  <c r="W187" i="1"/>
  <c r="CT187" i="1"/>
  <c r="S187" i="1" s="1"/>
  <c r="S457" i="5"/>
  <c r="U457" i="5"/>
  <c r="CS186" i="1"/>
  <c r="R186" i="1" s="1"/>
  <c r="CZ186" i="1" s="1"/>
  <c r="Y186" i="1" s="1"/>
  <c r="W185" i="1"/>
  <c r="U448" i="5"/>
  <c r="S448" i="5"/>
  <c r="CT185" i="1"/>
  <c r="S185" i="1" s="1"/>
  <c r="CQ180" i="1"/>
  <c r="CT179" i="1"/>
  <c r="G497" i="6"/>
  <c r="G498" i="6"/>
  <c r="S417" i="5"/>
  <c r="H423" i="5" s="1"/>
  <c r="H419" i="5"/>
  <c r="R419" i="5" s="1"/>
  <c r="U417" i="5"/>
  <c r="AB176" i="1"/>
  <c r="G480" i="6" s="1"/>
  <c r="S405" i="5"/>
  <c r="U405" i="5"/>
  <c r="V174" i="1"/>
  <c r="Z470" i="6" s="1"/>
  <c r="Q174" i="1"/>
  <c r="W470" i="6" s="1"/>
  <c r="I172" i="1"/>
  <c r="Q172" i="1" s="1"/>
  <c r="W460" i="6" s="1"/>
  <c r="U171" i="1"/>
  <c r="CQ171" i="1"/>
  <c r="P171" i="1" s="1"/>
  <c r="H383" i="5"/>
  <c r="CS170" i="1"/>
  <c r="R170" i="1" s="1"/>
  <c r="Y432" i="6"/>
  <c r="L369" i="5"/>
  <c r="Q369" i="5" s="1"/>
  <c r="L367" i="5"/>
  <c r="H364" i="5"/>
  <c r="CQ167" i="1"/>
  <c r="P167" i="1" s="1"/>
  <c r="AD164" i="1"/>
  <c r="CS164" i="1"/>
  <c r="R164" i="1" s="1"/>
  <c r="CT163" i="1"/>
  <c r="S163" i="1" s="1"/>
  <c r="Y400" i="6"/>
  <c r="L337" i="5"/>
  <c r="L338" i="5"/>
  <c r="Q338" i="5" s="1"/>
  <c r="CR163" i="1"/>
  <c r="Q163" i="1" s="1"/>
  <c r="H334" i="5"/>
  <c r="CS162" i="1"/>
  <c r="R162" i="1" s="1"/>
  <c r="C324" i="5"/>
  <c r="E323" i="5"/>
  <c r="F392" i="6"/>
  <c r="U161" i="1"/>
  <c r="GK125" i="1"/>
  <c r="X362" i="6"/>
  <c r="CX174" i="3"/>
  <c r="F362" i="6"/>
  <c r="E293" i="5"/>
  <c r="C294" i="5"/>
  <c r="H291" i="5"/>
  <c r="W291" i="5" s="1"/>
  <c r="CQ124" i="1"/>
  <c r="P124" i="1" s="1"/>
  <c r="U360" i="6" s="1"/>
  <c r="AD123" i="1"/>
  <c r="H285" i="5" s="1"/>
  <c r="H286" i="5"/>
  <c r="R286" i="5" s="1"/>
  <c r="AB122" i="1"/>
  <c r="G348" i="6" s="1"/>
  <c r="H281" i="5"/>
  <c r="W281" i="5" s="1"/>
  <c r="CT120" i="1"/>
  <c r="S120" i="1" s="1"/>
  <c r="Y336" i="6"/>
  <c r="L282" i="5"/>
  <c r="Q282" i="5" s="1"/>
  <c r="L279" i="5"/>
  <c r="CQ120" i="1"/>
  <c r="P120" i="1" s="1"/>
  <c r="H276" i="5"/>
  <c r="V119" i="1"/>
  <c r="Z334" i="6" s="1"/>
  <c r="AB119" i="1"/>
  <c r="G334" i="6" s="1"/>
  <c r="GK118" i="1"/>
  <c r="X332" i="6"/>
  <c r="GX118" i="1"/>
  <c r="F332" i="6"/>
  <c r="E269" i="5"/>
  <c r="G329" i="6"/>
  <c r="G327" i="6"/>
  <c r="H262" i="5"/>
  <c r="R262" i="5" s="1"/>
  <c r="S261" i="5"/>
  <c r="U261" i="5"/>
  <c r="G26" i="1"/>
  <c r="C309" i="6"/>
  <c r="A248" i="5"/>
  <c r="H306" i="6"/>
  <c r="T306" i="6"/>
  <c r="K245" i="5"/>
  <c r="J246" i="5" s="1"/>
  <c r="P246" i="5" s="1"/>
  <c r="T304" i="6"/>
  <c r="H304" i="6"/>
  <c r="K243" i="5"/>
  <c r="J244" i="5" s="1"/>
  <c r="P244" i="5" s="1"/>
  <c r="CT79" i="1"/>
  <c r="S79" i="1" s="1"/>
  <c r="U294" i="6"/>
  <c r="K228" i="5"/>
  <c r="W286" i="6"/>
  <c r="Y286" i="6"/>
  <c r="L235" i="5"/>
  <c r="Q235" i="5" s="1"/>
  <c r="L233" i="5"/>
  <c r="AB77" i="1"/>
  <c r="G286" i="6" s="1"/>
  <c r="H228" i="5"/>
  <c r="Y274" i="6"/>
  <c r="L225" i="5"/>
  <c r="Q225" i="5" s="1"/>
  <c r="L223" i="5"/>
  <c r="U74" i="1"/>
  <c r="CS72" i="1"/>
  <c r="R72" i="1" s="1"/>
  <c r="H196" i="5"/>
  <c r="R196" i="5" s="1"/>
  <c r="AD72" i="1"/>
  <c r="S190" i="5"/>
  <c r="U190" i="5"/>
  <c r="GX70" i="1"/>
  <c r="S189" i="5"/>
  <c r="U189" i="5"/>
  <c r="CT69" i="1"/>
  <c r="S69" i="1" s="1"/>
  <c r="G237" i="6"/>
  <c r="G235" i="6"/>
  <c r="H182" i="5"/>
  <c r="U181" i="5"/>
  <c r="H187" i="5" s="1"/>
  <c r="S181" i="5"/>
  <c r="CQ68" i="1"/>
  <c r="P68" i="1" s="1"/>
  <c r="U228" i="6" s="1"/>
  <c r="H179" i="5"/>
  <c r="W179" i="5" s="1"/>
  <c r="W64" i="1"/>
  <c r="AD63" i="1"/>
  <c r="H161" i="5" s="1"/>
  <c r="H162" i="5"/>
  <c r="R162" i="5" s="1"/>
  <c r="U194" i="6"/>
  <c r="K154" i="5"/>
  <c r="CT61" i="1"/>
  <c r="S61" i="1" s="1"/>
  <c r="U141" i="5"/>
  <c r="H147" i="5" s="1"/>
  <c r="S141" i="5"/>
  <c r="H146" i="5" s="1"/>
  <c r="G191" i="6"/>
  <c r="G193" i="6"/>
  <c r="H142" i="5"/>
  <c r="G189" i="6"/>
  <c r="V60" i="1"/>
  <c r="Z182" i="6" s="1"/>
  <c r="CS59" i="1"/>
  <c r="AD59" i="1"/>
  <c r="CR59" i="1" s="1"/>
  <c r="R58" i="1"/>
  <c r="H137" i="5"/>
  <c r="W137" i="5" s="1"/>
  <c r="G175" i="6"/>
  <c r="U130" i="5"/>
  <c r="S130" i="5"/>
  <c r="G173" i="6"/>
  <c r="H132" i="5"/>
  <c r="CT57" i="1"/>
  <c r="S57" i="1" s="1"/>
  <c r="GK56" i="1"/>
  <c r="X166" i="6"/>
  <c r="AB55" i="1"/>
  <c r="G164" i="6" s="1"/>
  <c r="S127" i="5"/>
  <c r="U127" i="5"/>
  <c r="CT55" i="1"/>
  <c r="S55" i="1" s="1"/>
  <c r="V164" i="6" s="1"/>
  <c r="U126" i="5"/>
  <c r="S126" i="5"/>
  <c r="CT54" i="1"/>
  <c r="S54" i="1" s="1"/>
  <c r="CQ51" i="1"/>
  <c r="P51" i="1" s="1"/>
  <c r="U156" i="6" s="1"/>
  <c r="H123" i="5"/>
  <c r="W123" i="5" s="1"/>
  <c r="GK48" i="1"/>
  <c r="X150" i="6"/>
  <c r="F148" i="6"/>
  <c r="E119" i="5"/>
  <c r="CT46" i="1"/>
  <c r="S46" i="1" s="1"/>
  <c r="V146" i="6" s="1"/>
  <c r="U118" i="5"/>
  <c r="S118" i="5"/>
  <c r="P46" i="1"/>
  <c r="U146" i="6" s="1"/>
  <c r="F146" i="6"/>
  <c r="E118" i="5"/>
  <c r="U134" i="6"/>
  <c r="K113" i="5"/>
  <c r="AB43" i="1"/>
  <c r="G132" i="6" s="1"/>
  <c r="CR43" i="1"/>
  <c r="Q43" i="1" s="1"/>
  <c r="W132" i="6" s="1"/>
  <c r="GK42" i="1"/>
  <c r="X130" i="6"/>
  <c r="CQ42" i="1"/>
  <c r="P42" i="1" s="1"/>
  <c r="U130" i="6" s="1"/>
  <c r="H106" i="5"/>
  <c r="W106" i="5" s="1"/>
  <c r="U104" i="5"/>
  <c r="S104" i="5"/>
  <c r="CT39" i="1"/>
  <c r="S39" i="1" s="1"/>
  <c r="CP39" i="1" s="1"/>
  <c r="O39" i="1" s="1"/>
  <c r="G123" i="6"/>
  <c r="G121" i="6"/>
  <c r="U96" i="5"/>
  <c r="H97" i="5"/>
  <c r="S96" i="5"/>
  <c r="H90" i="5"/>
  <c r="R90" i="5" s="1"/>
  <c r="CS38" i="1"/>
  <c r="R38" i="1" s="1"/>
  <c r="AD38" i="1"/>
  <c r="X96" i="6"/>
  <c r="K81" i="5"/>
  <c r="Q35" i="1"/>
  <c r="W84" i="6" s="1"/>
  <c r="U35" i="1"/>
  <c r="Y84" i="6" s="1"/>
  <c r="AD34" i="1"/>
  <c r="CR34" i="1" s="1"/>
  <c r="Q34" i="1" s="1"/>
  <c r="W82" i="6" s="1"/>
  <c r="CS34" i="1"/>
  <c r="R34" i="1" s="1"/>
  <c r="CY34" i="1" s="1"/>
  <c r="X34" i="1" s="1"/>
  <c r="GK33" i="1"/>
  <c r="X74" i="6"/>
  <c r="S51" i="5"/>
  <c r="U51" i="5"/>
  <c r="Y46" i="6"/>
  <c r="L41" i="5"/>
  <c r="L42" i="5"/>
  <c r="Q42" i="5" s="1"/>
  <c r="G22" i="1"/>
  <c r="C642" i="6"/>
  <c r="G635" i="6"/>
  <c r="G634" i="6"/>
  <c r="H545" i="5"/>
  <c r="U544" i="5"/>
  <c r="H548" i="5" s="1"/>
  <c r="S544" i="5"/>
  <c r="H547" i="5" s="1"/>
  <c r="G624" i="6"/>
  <c r="G625" i="6"/>
  <c r="U533" i="5"/>
  <c r="S533" i="5"/>
  <c r="H539" i="5" s="1"/>
  <c r="H535" i="5"/>
  <c r="R535" i="5" s="1"/>
  <c r="V241" i="1"/>
  <c r="Z617" i="6" s="1"/>
  <c r="Q241" i="1"/>
  <c r="W617" i="6" s="1"/>
  <c r="CQ240" i="1"/>
  <c r="P240" i="1" s="1"/>
  <c r="H527" i="5"/>
  <c r="BZ246" i="1"/>
  <c r="T238" i="1"/>
  <c r="CQ236" i="1"/>
  <c r="P236" i="1" s="1"/>
  <c r="H510" i="5"/>
  <c r="CD246" i="1"/>
  <c r="AB235" i="1"/>
  <c r="G581" i="6" s="1"/>
  <c r="G158" i="1"/>
  <c r="C573" i="6"/>
  <c r="A499" i="5"/>
  <c r="G569" i="6"/>
  <c r="G570" i="6"/>
  <c r="H493" i="5"/>
  <c r="U492" i="5"/>
  <c r="H495" i="5" s="1"/>
  <c r="S492" i="5"/>
  <c r="H494" i="5" s="1"/>
  <c r="U193" i="1"/>
  <c r="Y550" i="6" s="1"/>
  <c r="G547" i="6"/>
  <c r="G548" i="6"/>
  <c r="U463" i="5"/>
  <c r="H465" i="5"/>
  <c r="R465" i="5" s="1"/>
  <c r="S463" i="5"/>
  <c r="GX191" i="1"/>
  <c r="W191" i="1"/>
  <c r="CT191" i="1"/>
  <c r="S191" i="1" s="1"/>
  <c r="S461" i="5"/>
  <c r="U461" i="5"/>
  <c r="GX190" i="1"/>
  <c r="W190" i="1"/>
  <c r="S460" i="5"/>
  <c r="U460" i="5"/>
  <c r="W188" i="1"/>
  <c r="S458" i="5"/>
  <c r="U458" i="5"/>
  <c r="CQ186" i="1"/>
  <c r="P186" i="1" s="1"/>
  <c r="H453" i="5"/>
  <c r="H448" i="5"/>
  <c r="X448" i="5" s="1"/>
  <c r="S438" i="5"/>
  <c r="U438" i="5"/>
  <c r="U437" i="5"/>
  <c r="Y502" i="6"/>
  <c r="L436" i="5"/>
  <c r="L439" i="5"/>
  <c r="Q439" i="5" s="1"/>
  <c r="F502" i="6"/>
  <c r="C429" i="5"/>
  <c r="E428" i="5"/>
  <c r="GX178" i="1"/>
  <c r="CQ178" i="1"/>
  <c r="P178" i="1" s="1"/>
  <c r="U490" i="6" s="1"/>
  <c r="CT177" i="1"/>
  <c r="S177" i="1" s="1"/>
  <c r="CP177" i="1" s="1"/>
  <c r="O177" i="1" s="1"/>
  <c r="G487" i="6"/>
  <c r="G488" i="6"/>
  <c r="H408" i="5"/>
  <c r="U407" i="5"/>
  <c r="S407" i="5"/>
  <c r="V176" i="1"/>
  <c r="Z480" i="6" s="1"/>
  <c r="F480" i="6"/>
  <c r="E405" i="5"/>
  <c r="G478" i="6"/>
  <c r="G477" i="6"/>
  <c r="S397" i="5"/>
  <c r="H398" i="5"/>
  <c r="U397" i="5"/>
  <c r="W174" i="1"/>
  <c r="U395" i="5"/>
  <c r="S395" i="5"/>
  <c r="Y462" i="6"/>
  <c r="L396" i="5"/>
  <c r="Q396" i="5" s="1"/>
  <c r="L394" i="5"/>
  <c r="CT172" i="1"/>
  <c r="S172" i="1" s="1"/>
  <c r="V460" i="6" s="1"/>
  <c r="W171" i="1"/>
  <c r="CT171" i="1"/>
  <c r="S171" i="1" s="1"/>
  <c r="G458" i="6"/>
  <c r="G457" i="6"/>
  <c r="H380" i="5"/>
  <c r="U378" i="5"/>
  <c r="S378" i="5"/>
  <c r="U170" i="1"/>
  <c r="Y450" i="6" s="1"/>
  <c r="F450" i="6"/>
  <c r="E376" i="5"/>
  <c r="G447" i="6"/>
  <c r="G448" i="6"/>
  <c r="S370" i="5"/>
  <c r="H371" i="5"/>
  <c r="U370" i="5"/>
  <c r="W168" i="1"/>
  <c r="I168" i="1"/>
  <c r="U168" i="1" s="1"/>
  <c r="Y440" i="6" s="1"/>
  <c r="F432" i="6"/>
  <c r="E359" i="5"/>
  <c r="C360" i="5"/>
  <c r="G430" i="6"/>
  <c r="G429" i="6"/>
  <c r="H354" i="5"/>
  <c r="U353" i="5"/>
  <c r="H356" i="5" s="1"/>
  <c r="S353" i="5"/>
  <c r="H355" i="5" s="1"/>
  <c r="CT165" i="1"/>
  <c r="S165" i="1" s="1"/>
  <c r="G423" i="6"/>
  <c r="G422" i="6"/>
  <c r="H348" i="5"/>
  <c r="U347" i="5"/>
  <c r="H350" i="5" s="1"/>
  <c r="G421" i="6"/>
  <c r="S347" i="5"/>
  <c r="H349" i="5" s="1"/>
  <c r="AB163" i="1"/>
  <c r="G400" i="6" s="1"/>
  <c r="W162" i="1"/>
  <c r="CT162" i="1"/>
  <c r="S162" i="1" s="1"/>
  <c r="G397" i="6"/>
  <c r="U323" i="5"/>
  <c r="H329" i="5" s="1"/>
  <c r="G398" i="6"/>
  <c r="S323" i="5"/>
  <c r="H328" i="5" s="1"/>
  <c r="H325" i="5"/>
  <c r="AB160" i="1"/>
  <c r="G376" i="6" s="1"/>
  <c r="V125" i="1"/>
  <c r="Z362" i="6" s="1"/>
  <c r="F360" i="6"/>
  <c r="E291" i="5"/>
  <c r="Y350" i="6"/>
  <c r="L292" i="5"/>
  <c r="Q292" i="5" s="1"/>
  <c r="L290" i="5"/>
  <c r="CQ123" i="1"/>
  <c r="P123" i="1" s="1"/>
  <c r="H287" i="5"/>
  <c r="U281" i="5"/>
  <c r="S281" i="5"/>
  <c r="E281" i="5"/>
  <c r="F348" i="6"/>
  <c r="F346" i="6"/>
  <c r="E280" i="5"/>
  <c r="AD120" i="1"/>
  <c r="H275" i="5"/>
  <c r="R275" i="5" s="1"/>
  <c r="GX119" i="1"/>
  <c r="W119" i="1"/>
  <c r="U270" i="5"/>
  <c r="S270" i="5"/>
  <c r="AB118" i="1"/>
  <c r="G332" i="6" s="1"/>
  <c r="H269" i="5"/>
  <c r="W269" i="5" s="1"/>
  <c r="G306" i="6"/>
  <c r="H245" i="5"/>
  <c r="H243" i="5"/>
  <c r="G304" i="6"/>
  <c r="CQ79" i="1"/>
  <c r="P79" i="1" s="1"/>
  <c r="H238" i="5"/>
  <c r="F294" i="6"/>
  <c r="E234" i="5"/>
  <c r="V76" i="1"/>
  <c r="Z284" i="6" s="1"/>
  <c r="F284" i="6"/>
  <c r="E224" i="5"/>
  <c r="F274" i="6"/>
  <c r="E217" i="5"/>
  <c r="C218" i="5"/>
  <c r="Y254" i="6"/>
  <c r="L209" i="5"/>
  <c r="Q209" i="5" s="1"/>
  <c r="L208" i="5"/>
  <c r="F254" i="6"/>
  <c r="C202" i="5"/>
  <c r="E201" i="5"/>
  <c r="Y244" i="6"/>
  <c r="L200" i="5"/>
  <c r="Q200" i="5" s="1"/>
  <c r="L199" i="5"/>
  <c r="F244" i="6"/>
  <c r="E192" i="5"/>
  <c r="C193" i="5"/>
  <c r="T71" i="1"/>
  <c r="V70" i="1"/>
  <c r="Z240" i="6" s="1"/>
  <c r="K185" i="5"/>
  <c r="U230" i="6"/>
  <c r="U68" i="1"/>
  <c r="Y228" i="6" s="1"/>
  <c r="S178" i="5"/>
  <c r="U178" i="5"/>
  <c r="F226" i="6"/>
  <c r="E178" i="5"/>
  <c r="T65" i="1"/>
  <c r="F214" i="6"/>
  <c r="E168" i="5"/>
  <c r="S167" i="5"/>
  <c r="U167" i="5"/>
  <c r="Y194" i="6"/>
  <c r="L158" i="5"/>
  <c r="Q158" i="5" s="1"/>
  <c r="L157" i="5"/>
  <c r="W60" i="1"/>
  <c r="AB60" i="1"/>
  <c r="G182" i="6" s="1"/>
  <c r="S139" i="5"/>
  <c r="U139" i="5"/>
  <c r="V58" i="1"/>
  <c r="Z178" i="6" s="1"/>
  <c r="GX57" i="1"/>
  <c r="CT56" i="1"/>
  <c r="S56" i="1" s="1"/>
  <c r="U128" i="5"/>
  <c r="S128" i="5"/>
  <c r="F166" i="6"/>
  <c r="E128" i="5"/>
  <c r="U54" i="1"/>
  <c r="Y162" i="6" s="1"/>
  <c r="GX52" i="1"/>
  <c r="W52" i="1"/>
  <c r="CT52" i="1"/>
  <c r="S52" i="1" s="1"/>
  <c r="V158" i="6" s="1"/>
  <c r="U124" i="5"/>
  <c r="S124" i="5"/>
  <c r="T51" i="1"/>
  <c r="CT50" i="1"/>
  <c r="S122" i="5"/>
  <c r="U122" i="5"/>
  <c r="GX50" i="1"/>
  <c r="F154" i="6"/>
  <c r="E122" i="5"/>
  <c r="F152" i="6"/>
  <c r="E121" i="5"/>
  <c r="S120" i="5"/>
  <c r="U120" i="5"/>
  <c r="U119" i="5"/>
  <c r="S119" i="5"/>
  <c r="V46" i="1"/>
  <c r="Z146" i="6" s="1"/>
  <c r="U117" i="5"/>
  <c r="S117" i="5"/>
  <c r="G141" i="6"/>
  <c r="G139" i="6"/>
  <c r="S109" i="5"/>
  <c r="H110" i="5"/>
  <c r="R110" i="5" s="1"/>
  <c r="U109" i="5"/>
  <c r="F132" i="6"/>
  <c r="E107" i="5"/>
  <c r="S106" i="5"/>
  <c r="U106" i="5"/>
  <c r="F130" i="6"/>
  <c r="E106" i="5"/>
  <c r="CP41" i="1"/>
  <c r="O41" i="1" s="1"/>
  <c r="U128" i="6"/>
  <c r="AB41" i="1"/>
  <c r="G128" i="6" s="1"/>
  <c r="H105" i="5"/>
  <c r="W105" i="5" s="1"/>
  <c r="GX41" i="1"/>
  <c r="F128" i="6"/>
  <c r="E105" i="5"/>
  <c r="F126" i="6"/>
  <c r="E104" i="5"/>
  <c r="Y106" i="6"/>
  <c r="L95" i="5"/>
  <c r="Q95" i="5" s="1"/>
  <c r="L94" i="5"/>
  <c r="CT37" i="1"/>
  <c r="S37" i="1" s="1"/>
  <c r="G103" i="6"/>
  <c r="U78" i="5"/>
  <c r="H84" i="5" s="1"/>
  <c r="G101" i="6"/>
  <c r="S78" i="5"/>
  <c r="H83" i="5" s="1"/>
  <c r="H79" i="5"/>
  <c r="P35" i="1"/>
  <c r="U84" i="6" s="1"/>
  <c r="H67" i="5"/>
  <c r="W67" i="5" s="1"/>
  <c r="CQ34" i="1"/>
  <c r="P34" i="1" s="1"/>
  <c r="U82" i="6" s="1"/>
  <c r="H66" i="5"/>
  <c r="W66" i="5" s="1"/>
  <c r="CQ33" i="1"/>
  <c r="P33" i="1" s="1"/>
  <c r="H62" i="5"/>
  <c r="GK32" i="1"/>
  <c r="X64" i="6"/>
  <c r="CQ31" i="1"/>
  <c r="P31" i="1" s="1"/>
  <c r="U62" i="6" s="1"/>
  <c r="CQ30" i="1"/>
  <c r="P30" i="1" s="1"/>
  <c r="H47" i="5"/>
  <c r="CP28" i="1"/>
  <c r="O28" i="1" s="1"/>
  <c r="U38" i="6"/>
  <c r="AB28" i="1"/>
  <c r="G38" i="6" s="1"/>
  <c r="R57" i="1"/>
  <c r="CQ57" i="1"/>
  <c r="P57" i="1" s="1"/>
  <c r="H133" i="5"/>
  <c r="GX55" i="1"/>
  <c r="R55" i="1"/>
  <c r="CQ55" i="1"/>
  <c r="H127" i="5"/>
  <c r="W127" i="5" s="1"/>
  <c r="CQ54" i="1"/>
  <c r="P54" i="1" s="1"/>
  <c r="H126" i="5"/>
  <c r="W126" i="5" s="1"/>
  <c r="W53" i="1"/>
  <c r="U125" i="5"/>
  <c r="S125" i="5"/>
  <c r="V52" i="1"/>
  <c r="Z158" i="6" s="1"/>
  <c r="CT51" i="1"/>
  <c r="S51" i="1" s="1"/>
  <c r="V156" i="6" s="1"/>
  <c r="S123" i="5"/>
  <c r="U123" i="5"/>
  <c r="F156" i="6"/>
  <c r="E123" i="5"/>
  <c r="S121" i="5"/>
  <c r="U121" i="5"/>
  <c r="T48" i="1"/>
  <c r="F150" i="6"/>
  <c r="E120" i="5"/>
  <c r="V47" i="1"/>
  <c r="Z148" i="6" s="1"/>
  <c r="R47" i="1"/>
  <c r="R46" i="1"/>
  <c r="U46" i="1"/>
  <c r="Y146" i="6" s="1"/>
  <c r="H118" i="5"/>
  <c r="W118" i="5" s="1"/>
  <c r="S45" i="1"/>
  <c r="V144" i="6" s="1"/>
  <c r="H107" i="5"/>
  <c r="W107" i="5" s="1"/>
  <c r="U105" i="5"/>
  <c r="S105" i="5"/>
  <c r="CQ40" i="1"/>
  <c r="P40" i="1" s="1"/>
  <c r="U126" i="6" s="1"/>
  <c r="W116" i="6"/>
  <c r="K98" i="5"/>
  <c r="Y116" i="6"/>
  <c r="L108" i="5"/>
  <c r="Q108" i="5" s="1"/>
  <c r="L103" i="5"/>
  <c r="AB39" i="1"/>
  <c r="G116" i="6" s="1"/>
  <c r="H98" i="5"/>
  <c r="AB38" i="1"/>
  <c r="G106" i="6" s="1"/>
  <c r="H91" i="5"/>
  <c r="AD37" i="1"/>
  <c r="H80" i="5" s="1"/>
  <c r="H81" i="5"/>
  <c r="R81" i="5" s="1"/>
  <c r="GK36" i="1"/>
  <c r="X86" i="6"/>
  <c r="K72" i="5"/>
  <c r="L77" i="5"/>
  <c r="Q77" i="5" s="1"/>
  <c r="L76" i="5"/>
  <c r="Y86" i="6"/>
  <c r="CR36" i="1"/>
  <c r="Q36" i="1" s="1"/>
  <c r="H71" i="5"/>
  <c r="CT35" i="1"/>
  <c r="S67" i="5"/>
  <c r="U67" i="5"/>
  <c r="F82" i="6"/>
  <c r="E66" i="5"/>
  <c r="G80" i="6"/>
  <c r="G79" i="6"/>
  <c r="S59" i="5"/>
  <c r="H63" i="5" s="1"/>
  <c r="H60" i="5"/>
  <c r="R60" i="5" s="1"/>
  <c r="U59" i="5"/>
  <c r="H64" i="5" s="1"/>
  <c r="Y64" i="6"/>
  <c r="L58" i="5"/>
  <c r="Q58" i="5" s="1"/>
  <c r="L57" i="5"/>
  <c r="AB32" i="1"/>
  <c r="G64" i="6" s="1"/>
  <c r="F62" i="6"/>
  <c r="E51" i="5"/>
  <c r="G60" i="6"/>
  <c r="G59" i="6"/>
  <c r="H44" i="5"/>
  <c r="U43" i="5"/>
  <c r="S43" i="5"/>
  <c r="H48" i="5" s="1"/>
  <c r="CT29" i="1"/>
  <c r="S29" i="1" s="1"/>
  <c r="G52" i="6"/>
  <c r="S35" i="5"/>
  <c r="H39" i="5" s="1"/>
  <c r="H36" i="5"/>
  <c r="G51" i="6"/>
  <c r="U35" i="5"/>
  <c r="H40" i="5" s="1"/>
  <c r="G53" i="6"/>
  <c r="G44" i="6"/>
  <c r="H30" i="5"/>
  <c r="S29" i="5"/>
  <c r="H31" i="5" s="1"/>
  <c r="U29" i="5"/>
  <c r="H32" i="5" s="1"/>
  <c r="G43" i="6"/>
  <c r="CB233" i="1"/>
  <c r="AS246" i="1"/>
  <c r="P239" i="1"/>
  <c r="U607" i="6" s="1"/>
  <c r="AB237" i="1"/>
  <c r="G597" i="6" s="1"/>
  <c r="CR237" i="1"/>
  <c r="Q237" i="1" s="1"/>
  <c r="W597" i="6" s="1"/>
  <c r="CZ240" i="1"/>
  <c r="Y240" i="1" s="1"/>
  <c r="CY240" i="1"/>
  <c r="X240" i="1" s="1"/>
  <c r="AQ246" i="1"/>
  <c r="BZ233" i="1"/>
  <c r="CD233" i="1"/>
  <c r="AU246" i="1"/>
  <c r="CZ235" i="1"/>
  <c r="Y235" i="1" s="1"/>
  <c r="CY235" i="1"/>
  <c r="X235" i="1" s="1"/>
  <c r="CY244" i="1"/>
  <c r="X244" i="1" s="1"/>
  <c r="CZ244" i="1"/>
  <c r="Y244" i="1" s="1"/>
  <c r="CY241" i="1"/>
  <c r="X241" i="1" s="1"/>
  <c r="CZ241" i="1"/>
  <c r="Y241" i="1" s="1"/>
  <c r="CP241" i="1"/>
  <c r="O241" i="1" s="1"/>
  <c r="CX351" i="3"/>
  <c r="CX355" i="3"/>
  <c r="CX352" i="3"/>
  <c r="CX356" i="3"/>
  <c r="CX353" i="3"/>
  <c r="CX354" i="3"/>
  <c r="BB233" i="1"/>
  <c r="BZ158" i="1"/>
  <c r="AQ199" i="1"/>
  <c r="CR196" i="1"/>
  <c r="Q196" i="1" s="1"/>
  <c r="W562" i="6" s="1"/>
  <c r="AB196" i="1"/>
  <c r="G562" i="6" s="1"/>
  <c r="BX233" i="1"/>
  <c r="AO246" i="1"/>
  <c r="CG246" i="1"/>
  <c r="T241" i="1"/>
  <c r="AB241" i="1"/>
  <c r="G617" i="6" s="1"/>
  <c r="W239" i="1"/>
  <c r="F212" i="1"/>
  <c r="CR194" i="1"/>
  <c r="Q194" i="1" s="1"/>
  <c r="W552" i="6" s="1"/>
  <c r="AB194" i="1"/>
  <c r="G552" i="6" s="1"/>
  <c r="CY193" i="1"/>
  <c r="X193" i="1" s="1"/>
  <c r="CZ193" i="1"/>
  <c r="Y193" i="1" s="1"/>
  <c r="GK184" i="1"/>
  <c r="CZ184" i="1"/>
  <c r="Y184" i="1" s="1"/>
  <c r="CY183" i="1"/>
  <c r="X183" i="1" s="1"/>
  <c r="CZ171" i="1"/>
  <c r="Y171" i="1" s="1"/>
  <c r="BC246" i="1"/>
  <c r="CQ244" i="1"/>
  <c r="P244" i="1" s="1"/>
  <c r="CX363" i="3"/>
  <c r="CX367" i="3"/>
  <c r="CX371" i="3"/>
  <c r="CX364" i="3"/>
  <c r="CX368" i="3"/>
  <c r="CX361" i="3"/>
  <c r="CX365" i="3"/>
  <c r="CX369" i="3"/>
  <c r="CX362" i="3"/>
  <c r="CX366" i="3"/>
  <c r="CX370" i="3"/>
  <c r="I239" i="1"/>
  <c r="S523" i="5" s="1"/>
  <c r="P238" i="1"/>
  <c r="W237" i="1"/>
  <c r="S237" i="1"/>
  <c r="V597" i="6" s="1"/>
  <c r="CQ235" i="1"/>
  <c r="P235" i="1" s="1"/>
  <c r="U581" i="6" s="1"/>
  <c r="CG199" i="1"/>
  <c r="CZ189" i="1"/>
  <c r="Y189" i="1" s="1"/>
  <c r="CY189" i="1"/>
  <c r="X189" i="1" s="1"/>
  <c r="CY178" i="1"/>
  <c r="X178" i="1" s="1"/>
  <c r="CZ178" i="1"/>
  <c r="Y178" i="1" s="1"/>
  <c r="CZ176" i="1"/>
  <c r="Y176" i="1" s="1"/>
  <c r="CY176" i="1"/>
  <c r="X176" i="1" s="1"/>
  <c r="CL158" i="1"/>
  <c r="BC199" i="1"/>
  <c r="CY197" i="1"/>
  <c r="X197" i="1" s="1"/>
  <c r="CZ197" i="1"/>
  <c r="Y197" i="1" s="1"/>
  <c r="CP194" i="1"/>
  <c r="O194" i="1" s="1"/>
  <c r="CZ192" i="1"/>
  <c r="Y192" i="1" s="1"/>
  <c r="CY190" i="1"/>
  <c r="X190" i="1" s="1"/>
  <c r="CZ190" i="1"/>
  <c r="Y190" i="1" s="1"/>
  <c r="CR179" i="1"/>
  <c r="Q179" i="1" s="1"/>
  <c r="AB179" i="1"/>
  <c r="G492" i="6" s="1"/>
  <c r="CY174" i="1"/>
  <c r="X174" i="1" s="1"/>
  <c r="CZ174" i="1"/>
  <c r="Y174" i="1" s="1"/>
  <c r="CP174" i="1"/>
  <c r="O174" i="1" s="1"/>
  <c r="CZ169" i="1"/>
  <c r="Y169" i="1" s="1"/>
  <c r="CY169" i="1"/>
  <c r="X169" i="1" s="1"/>
  <c r="CP169" i="1"/>
  <c r="O169" i="1" s="1"/>
  <c r="BY246" i="1"/>
  <c r="AB236" i="1"/>
  <c r="G589" i="6" s="1"/>
  <c r="CY195" i="1"/>
  <c r="X195" i="1" s="1"/>
  <c r="CZ195" i="1"/>
  <c r="Y195" i="1" s="1"/>
  <c r="CY188" i="1"/>
  <c r="X188" i="1" s="1"/>
  <c r="CZ188" i="1"/>
  <c r="Y188" i="1" s="1"/>
  <c r="AB184" i="1"/>
  <c r="G514" i="6" s="1"/>
  <c r="CR190" i="1"/>
  <c r="Q190" i="1" s="1"/>
  <c r="W538" i="6" s="1"/>
  <c r="P190" i="1"/>
  <c r="AD188" i="1"/>
  <c r="CR188" i="1" s="1"/>
  <c r="Q188" i="1" s="1"/>
  <c r="CR186" i="1"/>
  <c r="Q186" i="1" s="1"/>
  <c r="CZ185" i="1"/>
  <c r="Y185" i="1" s="1"/>
  <c r="W181" i="1"/>
  <c r="AB180" i="1"/>
  <c r="G500" i="6" s="1"/>
  <c r="AD178" i="1"/>
  <c r="CR178" i="1" s="1"/>
  <c r="Q178" i="1" s="1"/>
  <c r="U176" i="1"/>
  <c r="Y480" i="6" s="1"/>
  <c r="Q176" i="1"/>
  <c r="T174" i="1"/>
  <c r="AB174" i="1"/>
  <c r="G470" i="6" s="1"/>
  <c r="CX239" i="3"/>
  <c r="CX236" i="3"/>
  <c r="CX240" i="3"/>
  <c r="CX237" i="3"/>
  <c r="CX241" i="3"/>
  <c r="CX238" i="3"/>
  <c r="CX242" i="3"/>
  <c r="P170" i="1"/>
  <c r="U450" i="6" s="1"/>
  <c r="AB170" i="1"/>
  <c r="G450" i="6" s="1"/>
  <c r="AB169" i="1"/>
  <c r="G442" i="6" s="1"/>
  <c r="CZ165" i="1"/>
  <c r="Y165" i="1" s="1"/>
  <c r="CY165" i="1"/>
  <c r="X165" i="1" s="1"/>
  <c r="CP163" i="1"/>
  <c r="O163" i="1" s="1"/>
  <c r="CP160" i="1"/>
  <c r="O160" i="1" s="1"/>
  <c r="CR125" i="1"/>
  <c r="Q125" i="1" s="1"/>
  <c r="AB125" i="1"/>
  <c r="G362" i="6" s="1"/>
  <c r="CI199" i="1"/>
  <c r="CQ197" i="1"/>
  <c r="P197" i="1" s="1"/>
  <c r="CS196" i="1"/>
  <c r="R196" i="1" s="1"/>
  <c r="CQ195" i="1"/>
  <c r="P195" i="1" s="1"/>
  <c r="CS194" i="1"/>
  <c r="R194" i="1" s="1"/>
  <c r="CQ193" i="1"/>
  <c r="P193" i="1" s="1"/>
  <c r="CX315" i="3"/>
  <c r="CX319" i="3"/>
  <c r="CX323" i="3"/>
  <c r="CX327" i="3"/>
  <c r="CX316" i="3"/>
  <c r="CX320" i="3"/>
  <c r="CX324" i="3"/>
  <c r="CX317" i="3"/>
  <c r="CX321" i="3"/>
  <c r="CX325" i="3"/>
  <c r="CX318" i="3"/>
  <c r="CX322" i="3"/>
  <c r="CX326" i="3"/>
  <c r="T190" i="1"/>
  <c r="CQ189" i="1"/>
  <c r="P189" i="1" s="1"/>
  <c r="AB188" i="1"/>
  <c r="G534" i="6" s="1"/>
  <c r="GX183" i="1"/>
  <c r="AB183" i="1"/>
  <c r="G512" i="6" s="1"/>
  <c r="CX279" i="3"/>
  <c r="CX283" i="3"/>
  <c r="CX276" i="3"/>
  <c r="CX280" i="3"/>
  <c r="CX284" i="3"/>
  <c r="CX277" i="3"/>
  <c r="CX281" i="3"/>
  <c r="CX285" i="3"/>
  <c r="CX278" i="3"/>
  <c r="CX282" i="3"/>
  <c r="CX286" i="3"/>
  <c r="I182" i="1"/>
  <c r="W179" i="1"/>
  <c r="S179" i="1"/>
  <c r="T170" i="1"/>
  <c r="W170" i="1"/>
  <c r="AB162" i="1"/>
  <c r="G392" i="6" s="1"/>
  <c r="CZ120" i="1"/>
  <c r="Y120" i="1" s="1"/>
  <c r="CY120" i="1"/>
  <c r="X120" i="1" s="1"/>
  <c r="CZ183" i="1"/>
  <c r="Y183" i="1" s="1"/>
  <c r="CX267" i="3"/>
  <c r="CX271" i="3"/>
  <c r="CX275" i="3"/>
  <c r="CX268" i="3"/>
  <c r="CX272" i="3"/>
  <c r="CX269" i="3"/>
  <c r="CX273" i="3"/>
  <c r="CX270" i="3"/>
  <c r="CX274" i="3"/>
  <c r="I180" i="1"/>
  <c r="CR124" i="1"/>
  <c r="Q124" i="1" s="1"/>
  <c r="W360" i="6" s="1"/>
  <c r="AB124" i="1"/>
  <c r="G360" i="6" s="1"/>
  <c r="CZ123" i="1"/>
  <c r="Y123" i="1" s="1"/>
  <c r="CY123" i="1"/>
  <c r="X123" i="1" s="1"/>
  <c r="CY122" i="1"/>
  <c r="X122" i="1" s="1"/>
  <c r="CZ122" i="1"/>
  <c r="Y122" i="1" s="1"/>
  <c r="CR121" i="1"/>
  <c r="Q121" i="1" s="1"/>
  <c r="AB121" i="1"/>
  <c r="G346" i="6" s="1"/>
  <c r="CY119" i="1"/>
  <c r="X119" i="1" s="1"/>
  <c r="CZ119" i="1"/>
  <c r="Y119" i="1" s="1"/>
  <c r="CJ127" i="1"/>
  <c r="AB191" i="1"/>
  <c r="G540" i="6" s="1"/>
  <c r="AB187" i="1"/>
  <c r="G532" i="6" s="1"/>
  <c r="AD185" i="1"/>
  <c r="CR185" i="1" s="1"/>
  <c r="Q185" i="1" s="1"/>
  <c r="U183" i="1"/>
  <c r="Y512" i="6" s="1"/>
  <c r="Q183" i="1"/>
  <c r="AB182" i="1"/>
  <c r="G510" i="6" s="1"/>
  <c r="AD180" i="1"/>
  <c r="CR180" i="1" s="1"/>
  <c r="AB177" i="1"/>
  <c r="G482" i="6" s="1"/>
  <c r="AD175" i="1"/>
  <c r="GX170" i="1"/>
  <c r="AB168" i="1"/>
  <c r="G440" i="6" s="1"/>
  <c r="AD167" i="1"/>
  <c r="H362" i="5" s="1"/>
  <c r="CS167" i="1"/>
  <c r="R167" i="1" s="1"/>
  <c r="CZ166" i="1"/>
  <c r="Y166" i="1" s="1"/>
  <c r="CZ164" i="1"/>
  <c r="Y164" i="1" s="1"/>
  <c r="CZ163" i="1"/>
  <c r="Y163" i="1" s="1"/>
  <c r="AB161" i="1"/>
  <c r="G384" i="6" s="1"/>
  <c r="CY125" i="1"/>
  <c r="X125" i="1" s="1"/>
  <c r="CR123" i="1"/>
  <c r="Q123" i="1" s="1"/>
  <c r="AB123" i="1"/>
  <c r="G350" i="6" s="1"/>
  <c r="CP122" i="1"/>
  <c r="O122" i="1" s="1"/>
  <c r="AJ127" i="1"/>
  <c r="CI127" i="1"/>
  <c r="BC127" i="1"/>
  <c r="AU127" i="1"/>
  <c r="AQ127" i="1"/>
  <c r="CR119" i="1"/>
  <c r="Q119" i="1" s="1"/>
  <c r="W334" i="6" s="1"/>
  <c r="P119" i="1"/>
  <c r="U334" i="6" s="1"/>
  <c r="CD26" i="1"/>
  <c r="AU83" i="1"/>
  <c r="CZ78" i="1"/>
  <c r="Y78" i="1" s="1"/>
  <c r="CX219" i="3"/>
  <c r="CX223" i="3"/>
  <c r="CX227" i="3"/>
  <c r="CX220" i="3"/>
  <c r="CX224" i="3"/>
  <c r="CX228" i="3"/>
  <c r="CX221" i="3"/>
  <c r="CX225" i="3"/>
  <c r="CX229" i="3"/>
  <c r="CX222" i="3"/>
  <c r="CX226" i="3"/>
  <c r="CS161" i="1"/>
  <c r="R161" i="1" s="1"/>
  <c r="CX175" i="3"/>
  <c r="CX179" i="3"/>
  <c r="CX176" i="3"/>
  <c r="CX180" i="3"/>
  <c r="CX177" i="3"/>
  <c r="CX178" i="3"/>
  <c r="BB127" i="1"/>
  <c r="AX127" i="1"/>
  <c r="AT127" i="1"/>
  <c r="AP127" i="1"/>
  <c r="CS124" i="1"/>
  <c r="R124" i="1" s="1"/>
  <c r="CS121" i="1"/>
  <c r="R121" i="1" s="1"/>
  <c r="AB120" i="1"/>
  <c r="G336" i="6" s="1"/>
  <c r="T119" i="1"/>
  <c r="AG127" i="1" s="1"/>
  <c r="CQ118" i="1"/>
  <c r="P118" i="1" s="1"/>
  <c r="U332" i="6" s="1"/>
  <c r="U118" i="1"/>
  <c r="Q118" i="1"/>
  <c r="W332" i="6" s="1"/>
  <c r="AD117" i="1"/>
  <c r="CS117" i="1"/>
  <c r="R117" i="1" s="1"/>
  <c r="CS116" i="1"/>
  <c r="R116" i="1" s="1"/>
  <c r="AD116" i="1"/>
  <c r="AB116" i="1" s="1"/>
  <c r="CX183" i="3"/>
  <c r="CX187" i="3"/>
  <c r="CX184" i="3"/>
  <c r="CX181" i="3"/>
  <c r="CX185" i="3"/>
  <c r="CX182" i="3"/>
  <c r="CX186" i="3"/>
  <c r="CQ117" i="1"/>
  <c r="P117" i="1" s="1"/>
  <c r="CY117" i="1"/>
  <c r="X117" i="1" s="1"/>
  <c r="CQ116" i="1"/>
  <c r="P116" i="1" s="1"/>
  <c r="U314" i="6" s="1"/>
  <c r="BZ26" i="1"/>
  <c r="AQ83" i="1"/>
  <c r="S118" i="1"/>
  <c r="V332" i="6" s="1"/>
  <c r="CL26" i="1"/>
  <c r="BC83" i="1"/>
  <c r="BX26" i="1"/>
  <c r="AO83" i="1"/>
  <c r="CG83" i="1"/>
  <c r="CY79" i="1"/>
  <c r="X79" i="1" s="1"/>
  <c r="CZ79" i="1"/>
  <c r="Y79" i="1" s="1"/>
  <c r="CC83" i="1"/>
  <c r="CY76" i="1"/>
  <c r="X76" i="1" s="1"/>
  <c r="AB79" i="1"/>
  <c r="G296" i="6" s="1"/>
  <c r="GX76" i="1"/>
  <c r="AB76" i="1"/>
  <c r="G284" i="6" s="1"/>
  <c r="CY75" i="1"/>
  <c r="X75" i="1" s="1"/>
  <c r="CS74" i="1"/>
  <c r="R74" i="1" s="1"/>
  <c r="CQ74" i="1"/>
  <c r="P74" i="1" s="1"/>
  <c r="AB74" i="1"/>
  <c r="G264" i="6" s="1"/>
  <c r="AB72" i="1"/>
  <c r="G244" i="6" s="1"/>
  <c r="AB58" i="1"/>
  <c r="G178" i="6" s="1"/>
  <c r="CR58" i="1"/>
  <c r="Q58" i="1" s="1"/>
  <c r="W178" i="6" s="1"/>
  <c r="CZ55" i="1"/>
  <c r="Y55" i="1" s="1"/>
  <c r="CP77" i="1"/>
  <c r="O77" i="1" s="1"/>
  <c r="CZ76" i="1"/>
  <c r="Y76" i="1" s="1"/>
  <c r="AB78" i="1"/>
  <c r="G294" i="6" s="1"/>
  <c r="U76" i="1"/>
  <c r="Y284" i="6" s="1"/>
  <c r="Q76" i="1"/>
  <c r="AB75" i="1"/>
  <c r="G274" i="6" s="1"/>
  <c r="CS70" i="1"/>
  <c r="R70" i="1" s="1"/>
  <c r="CZ70" i="1" s="1"/>
  <c r="Y70" i="1" s="1"/>
  <c r="AD70" i="1"/>
  <c r="CR70" i="1" s="1"/>
  <c r="Q70" i="1" s="1"/>
  <c r="CY68" i="1"/>
  <c r="X68" i="1" s="1"/>
  <c r="CP68" i="1"/>
  <c r="O68" i="1" s="1"/>
  <c r="AB63" i="1"/>
  <c r="G204" i="6" s="1"/>
  <c r="CR63" i="1"/>
  <c r="Q63" i="1" s="1"/>
  <c r="CZ60" i="1"/>
  <c r="Y60" i="1" s="1"/>
  <c r="CY60" i="1"/>
  <c r="X60" i="1" s="1"/>
  <c r="CQ71" i="1"/>
  <c r="P71" i="1" s="1"/>
  <c r="AB71" i="1"/>
  <c r="G242" i="6" s="1"/>
  <c r="CY70" i="1"/>
  <c r="X70" i="1" s="1"/>
  <c r="GK63" i="1"/>
  <c r="T74" i="1"/>
  <c r="W73" i="1"/>
  <c r="S73" i="1"/>
  <c r="CZ69" i="1"/>
  <c r="Y69" i="1" s="1"/>
  <c r="CZ67" i="1"/>
  <c r="Y67" i="1" s="1"/>
  <c r="AB67" i="1"/>
  <c r="G226" i="6" s="1"/>
  <c r="U65" i="1"/>
  <c r="Y214" i="6" s="1"/>
  <c r="Q65" i="1"/>
  <c r="CZ61" i="1"/>
  <c r="Y61" i="1" s="1"/>
  <c r="T57" i="1"/>
  <c r="AB57" i="1"/>
  <c r="G168" i="6" s="1"/>
  <c r="W56" i="1"/>
  <c r="AB54" i="1"/>
  <c r="G162" i="6" s="1"/>
  <c r="AD53" i="1"/>
  <c r="CR53" i="1" s="1"/>
  <c r="Q53" i="1" s="1"/>
  <c r="Q51" i="1"/>
  <c r="W156" i="6" s="1"/>
  <c r="CY48" i="1"/>
  <c r="X48" i="1" s="1"/>
  <c r="CR46" i="1"/>
  <c r="Q46" i="1" s="1"/>
  <c r="W146" i="6" s="1"/>
  <c r="AB46" i="1"/>
  <c r="G146" i="6" s="1"/>
  <c r="CY38" i="1"/>
  <c r="X38" i="1" s="1"/>
  <c r="CY37" i="1"/>
  <c r="X37" i="1" s="1"/>
  <c r="CX127" i="3"/>
  <c r="CX128" i="3"/>
  <c r="CX126" i="3"/>
  <c r="CX124" i="3"/>
  <c r="CX125" i="3"/>
  <c r="CX115" i="3"/>
  <c r="CX119" i="3"/>
  <c r="CX123" i="3"/>
  <c r="CX116" i="3"/>
  <c r="CX120" i="3"/>
  <c r="CX117" i="3"/>
  <c r="CX121" i="3"/>
  <c r="CX118" i="3"/>
  <c r="CX122" i="3"/>
  <c r="CZ71" i="1"/>
  <c r="Y71" i="1" s="1"/>
  <c r="AB70" i="1"/>
  <c r="G240" i="6" s="1"/>
  <c r="CY69" i="1"/>
  <c r="X69" i="1" s="1"/>
  <c r="V65" i="1"/>
  <c r="Z214" i="6" s="1"/>
  <c r="CY61" i="1"/>
  <c r="X61" i="1" s="1"/>
  <c r="CX67" i="3"/>
  <c r="CX68" i="3"/>
  <c r="CX69" i="3"/>
  <c r="CX66" i="3"/>
  <c r="CX70" i="3"/>
  <c r="I59" i="1"/>
  <c r="P55" i="1"/>
  <c r="CZ54" i="1"/>
  <c r="Y54" i="1" s="1"/>
  <c r="CZ53" i="1"/>
  <c r="Y53" i="1" s="1"/>
  <c r="AB53" i="1"/>
  <c r="G160" i="6" s="1"/>
  <c r="CP51" i="1"/>
  <c r="O51" i="1" s="1"/>
  <c r="CR50" i="1"/>
  <c r="Q50" i="1" s="1"/>
  <c r="W154" i="6" s="1"/>
  <c r="AB50" i="1"/>
  <c r="G154" i="6" s="1"/>
  <c r="CY45" i="1"/>
  <c r="X45" i="1" s="1"/>
  <c r="CY44" i="1"/>
  <c r="X44" i="1" s="1"/>
  <c r="CY42" i="1"/>
  <c r="X42" i="1" s="1"/>
  <c r="CZ42" i="1"/>
  <c r="Y42" i="1" s="1"/>
  <c r="CY33" i="1"/>
  <c r="X33" i="1" s="1"/>
  <c r="GX65" i="1"/>
  <c r="CQ64" i="1"/>
  <c r="P64" i="1" s="1"/>
  <c r="CZ62" i="1"/>
  <c r="Y62" i="1" s="1"/>
  <c r="R59" i="1"/>
  <c r="W58" i="1"/>
  <c r="U58" i="1"/>
  <c r="Y178" i="6" s="1"/>
  <c r="T55" i="1"/>
  <c r="AB51" i="1"/>
  <c r="G156" i="6" s="1"/>
  <c r="CP45" i="1"/>
  <c r="O45" i="1" s="1"/>
  <c r="CY40" i="1"/>
  <c r="X40" i="1" s="1"/>
  <c r="CZ40" i="1"/>
  <c r="Y40" i="1" s="1"/>
  <c r="GK37" i="1"/>
  <c r="CZ37" i="1"/>
  <c r="Y37" i="1" s="1"/>
  <c r="AB66" i="1"/>
  <c r="G216" i="6" s="1"/>
  <c r="CZ65" i="1"/>
  <c r="Y65" i="1" s="1"/>
  <c r="AD52" i="1"/>
  <c r="H124" i="5" s="1"/>
  <c r="W124" i="5" s="1"/>
  <c r="CS52" i="1"/>
  <c r="R52" i="1" s="1"/>
  <c r="X158" i="6" s="1"/>
  <c r="CY47" i="1"/>
  <c r="X47" i="1" s="1"/>
  <c r="CZ34" i="1"/>
  <c r="Y34" i="1" s="1"/>
  <c r="CX107" i="3"/>
  <c r="CX111" i="3"/>
  <c r="CX108" i="3"/>
  <c r="CX112" i="3"/>
  <c r="CX109" i="3"/>
  <c r="CX113" i="3"/>
  <c r="CX106" i="3"/>
  <c r="CX110" i="3"/>
  <c r="CX114" i="3"/>
  <c r="W43" i="1"/>
  <c r="S43" i="1"/>
  <c r="AD40" i="1"/>
  <c r="CR40" i="1" s="1"/>
  <c r="Q40" i="1" s="1"/>
  <c r="CZ39" i="1"/>
  <c r="Y39" i="1" s="1"/>
  <c r="W35" i="1"/>
  <c r="S35" i="1"/>
  <c r="V84" i="6" s="1"/>
  <c r="AB33" i="1"/>
  <c r="G74" i="6" s="1"/>
  <c r="S50" i="1"/>
  <c r="V154" i="6" s="1"/>
  <c r="P50" i="1"/>
  <c r="U154" i="6" s="1"/>
  <c r="GX48" i="1"/>
  <c r="AB48" i="1"/>
  <c r="G150" i="6" s="1"/>
  <c r="CQ47" i="1"/>
  <c r="P47" i="1" s="1"/>
  <c r="W46" i="1"/>
  <c r="AB44" i="1"/>
  <c r="G134" i="6" s="1"/>
  <c r="CZ41" i="1"/>
  <c r="Y41" i="1" s="1"/>
  <c r="AB40" i="1"/>
  <c r="G126" i="6" s="1"/>
  <c r="CY39" i="1"/>
  <c r="X39" i="1" s="1"/>
  <c r="CQ38" i="1"/>
  <c r="P38" i="1" s="1"/>
  <c r="CZ33" i="1"/>
  <c r="Y33" i="1" s="1"/>
  <c r="CZ48" i="1"/>
  <c r="Y48" i="1" s="1"/>
  <c r="CZ44" i="1"/>
  <c r="Y44" i="1" s="1"/>
  <c r="CZ36" i="1"/>
  <c r="Y36" i="1" s="1"/>
  <c r="AB34" i="1"/>
  <c r="G82" i="6" s="1"/>
  <c r="CR29" i="1"/>
  <c r="Q29" i="1" s="1"/>
  <c r="AB29" i="1"/>
  <c r="G46" i="6" s="1"/>
  <c r="AB49" i="1"/>
  <c r="G152" i="6" s="1"/>
  <c r="U48" i="1"/>
  <c r="Y150" i="6" s="1"/>
  <c r="Q48" i="1"/>
  <c r="AB45" i="1"/>
  <c r="G144" i="6" s="1"/>
  <c r="CY31" i="1"/>
  <c r="X31" i="1" s="1"/>
  <c r="CZ31" i="1"/>
  <c r="Y31" i="1" s="1"/>
  <c r="GK29" i="1"/>
  <c r="CY29" i="1"/>
  <c r="X29" i="1" s="1"/>
  <c r="CZ29" i="1"/>
  <c r="Y29" i="1" s="1"/>
  <c r="T31" i="1"/>
  <c r="CZ28" i="1"/>
  <c r="Y28" i="1" s="1"/>
  <c r="W68" i="5" l="1"/>
  <c r="H540" i="5"/>
  <c r="H186" i="5"/>
  <c r="H175" i="5"/>
  <c r="W180" i="5" s="1"/>
  <c r="H392" i="5"/>
  <c r="G396" i="5" s="1"/>
  <c r="O396" i="5" s="1"/>
  <c r="H176" i="5"/>
  <c r="H373" i="5"/>
  <c r="H403" i="5"/>
  <c r="X406" i="5" s="1"/>
  <c r="H412" i="5"/>
  <c r="H469" i="5"/>
  <c r="AB240" i="6"/>
  <c r="V189" i="5"/>
  <c r="H125" i="6"/>
  <c r="T116" i="6"/>
  <c r="H116" i="6"/>
  <c r="AA294" i="6"/>
  <c r="T234" i="5"/>
  <c r="CP164" i="1"/>
  <c r="O164" i="1" s="1"/>
  <c r="H64" i="6"/>
  <c r="H113" i="6"/>
  <c r="AB106" i="6"/>
  <c r="V87" i="5"/>
  <c r="K93" i="5" s="1"/>
  <c r="AA128" i="6"/>
  <c r="T105" i="5"/>
  <c r="AB462" i="6"/>
  <c r="H468" i="6"/>
  <c r="V389" i="5"/>
  <c r="H59" i="6"/>
  <c r="T43" i="5"/>
  <c r="AA54" i="6"/>
  <c r="H271" i="6"/>
  <c r="V210" i="5"/>
  <c r="K214" i="5" s="1"/>
  <c r="AB264" i="6"/>
  <c r="AA82" i="6"/>
  <c r="T66" i="5"/>
  <c r="AB524" i="6"/>
  <c r="H530" i="6"/>
  <c r="V450" i="5"/>
  <c r="H143" i="6"/>
  <c r="T134" i="6"/>
  <c r="H134" i="6"/>
  <c r="GM49" i="1"/>
  <c r="AA152" i="6"/>
  <c r="T121" i="5"/>
  <c r="G314" i="6"/>
  <c r="G321" i="6"/>
  <c r="H482" i="6"/>
  <c r="H382" i="6"/>
  <c r="AB376" i="6"/>
  <c r="V306" i="5"/>
  <c r="K311" i="5" s="1"/>
  <c r="H604" i="6"/>
  <c r="AA599" i="6"/>
  <c r="T516" i="5"/>
  <c r="CP58" i="1"/>
  <c r="O58" i="1" s="1"/>
  <c r="V178" i="6"/>
  <c r="V166" i="6"/>
  <c r="CP56" i="1"/>
  <c r="O56" i="1" s="1"/>
  <c r="AA619" i="6"/>
  <c r="T533" i="5"/>
  <c r="H624" i="6"/>
  <c r="K430" i="5"/>
  <c r="V502" i="6"/>
  <c r="AA46" i="6"/>
  <c r="H51" i="6"/>
  <c r="T35" i="5"/>
  <c r="K39" i="5" s="1"/>
  <c r="AB82" i="6"/>
  <c r="V66" i="5"/>
  <c r="H103" i="6"/>
  <c r="AB96" i="6"/>
  <c r="V78" i="5"/>
  <c r="K84" i="5" s="1"/>
  <c r="GK59" i="1"/>
  <c r="X180" i="6"/>
  <c r="AA144" i="6"/>
  <c r="T117" i="5"/>
  <c r="F180" i="6"/>
  <c r="E138" i="5"/>
  <c r="CP53" i="1"/>
  <c r="O53" i="1" s="1"/>
  <c r="W160" i="6"/>
  <c r="H237" i="6"/>
  <c r="AB230" i="6"/>
  <c r="V181" i="5"/>
  <c r="AA182" i="6"/>
  <c r="T139" i="5"/>
  <c r="AB296" i="6"/>
  <c r="H302" i="6"/>
  <c r="V236" i="5"/>
  <c r="K240" i="5" s="1"/>
  <c r="H414" i="6"/>
  <c r="AB408" i="6"/>
  <c r="V339" i="5"/>
  <c r="K344" i="5" s="1"/>
  <c r="CR175" i="1"/>
  <c r="Q175" i="1" s="1"/>
  <c r="H399" i="5"/>
  <c r="CP183" i="1"/>
  <c r="O183" i="1" s="1"/>
  <c r="W512" i="6"/>
  <c r="AA336" i="6"/>
  <c r="H341" i="6"/>
  <c r="T272" i="5"/>
  <c r="V492" i="6"/>
  <c r="K419" i="5"/>
  <c r="CP193" i="1"/>
  <c r="O193" i="1" s="1"/>
  <c r="U550" i="6"/>
  <c r="CP178" i="1"/>
  <c r="O178" i="1" s="1"/>
  <c r="W490" i="6"/>
  <c r="H548" i="6"/>
  <c r="AB542" i="6"/>
  <c r="V463" i="5"/>
  <c r="AA480" i="6"/>
  <c r="T405" i="5"/>
  <c r="CP179" i="1"/>
  <c r="O179" i="1" s="1"/>
  <c r="CP244" i="1"/>
  <c r="O244" i="1" s="1"/>
  <c r="U629" i="6"/>
  <c r="K546" i="5"/>
  <c r="H520" i="6"/>
  <c r="AB514" i="6"/>
  <c r="V440" i="5"/>
  <c r="R36" i="5"/>
  <c r="W42" i="5"/>
  <c r="G42" i="5"/>
  <c r="O42" i="5" s="1"/>
  <c r="G81" i="6"/>
  <c r="GK55" i="1"/>
  <c r="X164" i="6"/>
  <c r="R79" i="5"/>
  <c r="G86" i="5"/>
  <c r="O86" i="5" s="1"/>
  <c r="W86" i="5"/>
  <c r="CR120" i="1"/>
  <c r="Q120" i="1" s="1"/>
  <c r="H274" i="5"/>
  <c r="R325" i="5"/>
  <c r="G331" i="5"/>
  <c r="O331" i="5" s="1"/>
  <c r="X331" i="5"/>
  <c r="R348" i="5"/>
  <c r="W352" i="5"/>
  <c r="G352" i="5"/>
  <c r="O352" i="5" s="1"/>
  <c r="V452" i="6"/>
  <c r="K380" i="5"/>
  <c r="H415" i="5"/>
  <c r="X415" i="5" s="1"/>
  <c r="U589" i="6"/>
  <c r="K510" i="5"/>
  <c r="U609" i="6"/>
  <c r="K527" i="5"/>
  <c r="K132" i="5"/>
  <c r="V168" i="6"/>
  <c r="GK58" i="1"/>
  <c r="X178" i="6"/>
  <c r="GK162" i="1"/>
  <c r="X392" i="6"/>
  <c r="K327" i="5"/>
  <c r="CY185" i="1"/>
  <c r="X185" i="1" s="1"/>
  <c r="V522" i="6"/>
  <c r="GK192" i="1"/>
  <c r="X542" i="6"/>
  <c r="K467" i="5"/>
  <c r="CP60" i="1"/>
  <c r="O60" i="1" s="1"/>
  <c r="U182" i="6"/>
  <c r="V384" i="6"/>
  <c r="K316" i="5"/>
  <c r="H416" i="6"/>
  <c r="H423" i="6"/>
  <c r="T416" i="6"/>
  <c r="R361" i="5"/>
  <c r="G225" i="6"/>
  <c r="R295" i="5"/>
  <c r="W299" i="5"/>
  <c r="G299" i="5"/>
  <c r="O299" i="5" s="1"/>
  <c r="CP173" i="1"/>
  <c r="O173" i="1" s="1"/>
  <c r="U462" i="6"/>
  <c r="K391" i="5"/>
  <c r="H627" i="6"/>
  <c r="K542" i="5"/>
  <c r="X38" i="6"/>
  <c r="GK28" i="1"/>
  <c r="GM28" i="1" s="1"/>
  <c r="GK35" i="1"/>
  <c r="X84" i="6"/>
  <c r="Y392" i="6"/>
  <c r="L330" i="5"/>
  <c r="L331" i="5"/>
  <c r="Q331" i="5" s="1"/>
  <c r="U492" i="6"/>
  <c r="K422" i="5"/>
  <c r="R503" i="5"/>
  <c r="G507" i="5"/>
  <c r="O507" i="5" s="1"/>
  <c r="X507" i="5"/>
  <c r="CR30" i="1"/>
  <c r="Q30" i="1" s="1"/>
  <c r="H45" i="5"/>
  <c r="CR62" i="1"/>
  <c r="Q62" i="1" s="1"/>
  <c r="H152" i="5"/>
  <c r="G158" i="5" s="1"/>
  <c r="O158" i="5" s="1"/>
  <c r="AO114" i="1"/>
  <c r="F131" i="1"/>
  <c r="T178" i="5"/>
  <c r="AA226" i="6"/>
  <c r="AA242" i="6"/>
  <c r="T190" i="5"/>
  <c r="AA62" i="6"/>
  <c r="T51" i="5"/>
  <c r="AB86" i="6"/>
  <c r="H93" i="6"/>
  <c r="V69" i="5"/>
  <c r="K75" i="5" s="1"/>
  <c r="V105" i="5"/>
  <c r="AB128" i="6"/>
  <c r="CP43" i="1"/>
  <c r="O43" i="1" s="1"/>
  <c r="V132" i="6"/>
  <c r="CZ49" i="1"/>
  <c r="Y49" i="1" s="1"/>
  <c r="H201" i="6"/>
  <c r="AB194" i="6"/>
  <c r="V150" i="5"/>
  <c r="K156" i="5" s="1"/>
  <c r="H235" i="6"/>
  <c r="AA230" i="6"/>
  <c r="T181" i="5"/>
  <c r="H111" i="6"/>
  <c r="AA106" i="6"/>
  <c r="T87" i="5"/>
  <c r="K92" i="5" s="1"/>
  <c r="AA228" i="6"/>
  <c r="T179" i="5"/>
  <c r="H301" i="6"/>
  <c r="AA296" i="6"/>
  <c r="T236" i="5"/>
  <c r="K239" i="5" s="1"/>
  <c r="X314" i="6"/>
  <c r="K256" i="5"/>
  <c r="AH127" i="1"/>
  <c r="Y332" i="6"/>
  <c r="T348" i="6"/>
  <c r="H348" i="6"/>
  <c r="K281" i="5"/>
  <c r="CR161" i="1"/>
  <c r="Q161" i="1" s="1"/>
  <c r="CP166" i="1"/>
  <c r="O166" i="1" s="1"/>
  <c r="H357" i="6"/>
  <c r="AB350" i="6"/>
  <c r="V283" i="5"/>
  <c r="H343" i="6"/>
  <c r="AB336" i="6"/>
  <c r="V272" i="5"/>
  <c r="H421" i="6"/>
  <c r="AA416" i="6"/>
  <c r="T347" i="5"/>
  <c r="K349" i="5" s="1"/>
  <c r="W492" i="6"/>
  <c r="K420" i="5"/>
  <c r="CY192" i="1"/>
  <c r="X192" i="1" s="1"/>
  <c r="CP196" i="1"/>
  <c r="O196" i="1" s="1"/>
  <c r="CY173" i="1"/>
  <c r="X173" i="1" s="1"/>
  <c r="AA550" i="6"/>
  <c r="T472" i="5"/>
  <c r="AA629" i="6"/>
  <c r="H634" i="6"/>
  <c r="T544" i="5"/>
  <c r="K547" i="5" s="1"/>
  <c r="H615" i="6"/>
  <c r="AB609" i="6"/>
  <c r="V525" i="5"/>
  <c r="H49" i="5"/>
  <c r="W86" i="6"/>
  <c r="K71" i="5"/>
  <c r="CP54" i="1"/>
  <c r="O54" i="1" s="1"/>
  <c r="GM54" i="1" s="1"/>
  <c r="U162" i="6"/>
  <c r="U54" i="6"/>
  <c r="K47" i="5"/>
  <c r="G399" i="6"/>
  <c r="H374" i="5"/>
  <c r="X377" i="5" s="1"/>
  <c r="W172" i="1"/>
  <c r="AJ199" i="1" s="1"/>
  <c r="CY191" i="1"/>
  <c r="X191" i="1" s="1"/>
  <c r="V540" i="6"/>
  <c r="CZ191" i="1"/>
  <c r="Y191" i="1" s="1"/>
  <c r="G549" i="6"/>
  <c r="H101" i="5"/>
  <c r="R132" i="5"/>
  <c r="R142" i="5"/>
  <c r="W149" i="5"/>
  <c r="G149" i="5"/>
  <c r="O149" i="5" s="1"/>
  <c r="V230" i="6"/>
  <c r="K182" i="5"/>
  <c r="H267" i="5"/>
  <c r="U432" i="6"/>
  <c r="K364" i="5"/>
  <c r="AB197" i="1"/>
  <c r="CZ68" i="1"/>
  <c r="Y68" i="1" s="1"/>
  <c r="V228" i="6"/>
  <c r="G345" i="6"/>
  <c r="CP36" i="1"/>
  <c r="O36" i="1" s="1"/>
  <c r="GK51" i="1"/>
  <c r="X156" i="6"/>
  <c r="H193" i="6"/>
  <c r="T184" i="6"/>
  <c r="H184" i="6"/>
  <c r="K160" i="5"/>
  <c r="V204" i="6"/>
  <c r="V350" i="6"/>
  <c r="K284" i="5"/>
  <c r="R340" i="5"/>
  <c r="AB181" i="1"/>
  <c r="H431" i="5"/>
  <c r="CR181" i="1"/>
  <c r="Q181" i="1" s="1"/>
  <c r="H172" i="5"/>
  <c r="CR66" i="1"/>
  <c r="Q66" i="1" s="1"/>
  <c r="H221" i="5"/>
  <c r="H435" i="5"/>
  <c r="GK236" i="1"/>
  <c r="X589" i="6"/>
  <c r="R451" i="5"/>
  <c r="G596" i="6"/>
  <c r="R172" i="1"/>
  <c r="CY172" i="1" s="1"/>
  <c r="X172" i="1" s="1"/>
  <c r="K91" i="5"/>
  <c r="U106" i="6"/>
  <c r="CP30" i="1"/>
  <c r="O30" i="1" s="1"/>
  <c r="CY51" i="1"/>
  <c r="X51" i="1" s="1"/>
  <c r="AB214" i="6"/>
  <c r="V168" i="5"/>
  <c r="AB126" i="6"/>
  <c r="V104" i="5"/>
  <c r="CP63" i="1"/>
  <c r="O63" i="1" s="1"/>
  <c r="CR37" i="1"/>
  <c r="Q37" i="1" s="1"/>
  <c r="H139" i="6"/>
  <c r="AA134" i="6"/>
  <c r="T109" i="5"/>
  <c r="AB162" i="6"/>
  <c r="V126" i="5"/>
  <c r="GN61" i="1"/>
  <c r="AA184" i="6"/>
  <c r="H189" i="6"/>
  <c r="T141" i="5"/>
  <c r="K146" i="5" s="1"/>
  <c r="AB59" i="1"/>
  <c r="G180" i="6" s="1"/>
  <c r="CZ63" i="1"/>
  <c r="Y63" i="1" s="1"/>
  <c r="W204" i="6"/>
  <c r="K161" i="5"/>
  <c r="CP70" i="1"/>
  <c r="O70" i="1" s="1"/>
  <c r="W240" i="6"/>
  <c r="CP76" i="1"/>
  <c r="O76" i="1" s="1"/>
  <c r="W284" i="6"/>
  <c r="AB284" i="6"/>
  <c r="V224" i="5"/>
  <c r="CZ57" i="1"/>
  <c r="Y57" i="1" s="1"/>
  <c r="GM75" i="1"/>
  <c r="T217" i="5"/>
  <c r="H279" i="6"/>
  <c r="AA274" i="6"/>
  <c r="AA284" i="6"/>
  <c r="T224" i="5"/>
  <c r="H327" i="6"/>
  <c r="AA322" i="6"/>
  <c r="T261" i="5"/>
  <c r="BY26" i="1"/>
  <c r="X322" i="6"/>
  <c r="K264" i="5"/>
  <c r="GK124" i="1"/>
  <c r="X360" i="6"/>
  <c r="H406" i="6"/>
  <c r="V332" i="5"/>
  <c r="K336" i="5" s="1"/>
  <c r="AB400" i="6"/>
  <c r="H430" i="6"/>
  <c r="AB424" i="6"/>
  <c r="V353" i="5"/>
  <c r="K356" i="5" s="1"/>
  <c r="CP185" i="1"/>
  <c r="O185" i="1" s="1"/>
  <c r="W522" i="6"/>
  <c r="AB334" i="6"/>
  <c r="V270" i="5"/>
  <c r="AB348" i="6"/>
  <c r="V281" i="5"/>
  <c r="V180" i="1"/>
  <c r="Z500" i="6" s="1"/>
  <c r="F500" i="6"/>
  <c r="E426" i="5"/>
  <c r="AI127" i="1"/>
  <c r="CY121" i="1"/>
  <c r="X121" i="1" s="1"/>
  <c r="T182" i="1"/>
  <c r="F510" i="6"/>
  <c r="E437" i="5"/>
  <c r="CP195" i="1"/>
  <c r="O195" i="1" s="1"/>
  <c r="U557" i="6"/>
  <c r="CP124" i="1"/>
  <c r="O124" i="1" s="1"/>
  <c r="CY162" i="1"/>
  <c r="X162" i="1" s="1"/>
  <c r="GM165" i="1"/>
  <c r="AB416" i="6"/>
  <c r="H422" i="6"/>
  <c r="V347" i="5"/>
  <c r="K350" i="5" s="1"/>
  <c r="CP176" i="1"/>
  <c r="O176" i="1" s="1"/>
  <c r="W480" i="6"/>
  <c r="CP188" i="1"/>
  <c r="O188" i="1" s="1"/>
  <c r="W534" i="6"/>
  <c r="AA534" i="6"/>
  <c r="T458" i="5"/>
  <c r="AB557" i="6"/>
  <c r="H560" i="6"/>
  <c r="V480" i="5"/>
  <c r="K483" i="5" s="1"/>
  <c r="H442" i="6"/>
  <c r="T442" i="6"/>
  <c r="H449" i="6"/>
  <c r="AB470" i="6"/>
  <c r="V395" i="5"/>
  <c r="AB538" i="6"/>
  <c r="V460" i="5"/>
  <c r="H552" i="6"/>
  <c r="AB490" i="6"/>
  <c r="V415" i="5"/>
  <c r="CP238" i="1"/>
  <c r="O238" i="1" s="1"/>
  <c r="U599" i="6"/>
  <c r="K519" i="5"/>
  <c r="CZ236" i="1"/>
  <c r="Y236" i="1" s="1"/>
  <c r="AA617" i="6"/>
  <c r="T531" i="5"/>
  <c r="CZ243" i="1"/>
  <c r="Y243" i="1" s="1"/>
  <c r="R44" i="5"/>
  <c r="AB30" i="1"/>
  <c r="H51" i="5"/>
  <c r="W51" i="5" s="1"/>
  <c r="K79" i="5"/>
  <c r="V96" i="6"/>
  <c r="H128" i="6"/>
  <c r="T128" i="6"/>
  <c r="K105" i="5"/>
  <c r="G143" i="6"/>
  <c r="G244" i="5"/>
  <c r="O244" i="5" s="1"/>
  <c r="W244" i="5"/>
  <c r="V392" i="6"/>
  <c r="K325" i="5"/>
  <c r="R354" i="5"/>
  <c r="W358" i="5"/>
  <c r="G358" i="5"/>
  <c r="O358" i="5" s="1"/>
  <c r="S368" i="5"/>
  <c r="H365" i="5" s="1"/>
  <c r="R371" i="5"/>
  <c r="S387" i="5"/>
  <c r="H384" i="5" s="1"/>
  <c r="H402" i="5"/>
  <c r="H413" i="5"/>
  <c r="X416" i="5" s="1"/>
  <c r="G489" i="6"/>
  <c r="S437" i="5"/>
  <c r="H434" i="5" s="1"/>
  <c r="H470" i="5"/>
  <c r="R493" i="5"/>
  <c r="G497" i="5"/>
  <c r="O497" i="5" s="1"/>
  <c r="Z497" i="5"/>
  <c r="G626" i="6"/>
  <c r="CR38" i="1"/>
  <c r="Q38" i="1" s="1"/>
  <c r="H89" i="5"/>
  <c r="G95" i="5" s="1"/>
  <c r="O95" i="5" s="1"/>
  <c r="R97" i="5"/>
  <c r="G125" i="6"/>
  <c r="G177" i="6"/>
  <c r="V184" i="6"/>
  <c r="K142" i="5"/>
  <c r="Y264" i="6"/>
  <c r="L216" i="5"/>
  <c r="Q216" i="5" s="1"/>
  <c r="L248" i="5" s="1"/>
  <c r="L215" i="5"/>
  <c r="CP78" i="1"/>
  <c r="O78" i="1" s="1"/>
  <c r="H266" i="5"/>
  <c r="W400" i="6"/>
  <c r="K334" i="5"/>
  <c r="CY163" i="1"/>
  <c r="X163" i="1" s="1"/>
  <c r="V400" i="6"/>
  <c r="K333" i="5"/>
  <c r="R168" i="1"/>
  <c r="U452" i="6"/>
  <c r="K383" i="5"/>
  <c r="H424" i="5"/>
  <c r="H426" i="5"/>
  <c r="X426" i="5" s="1"/>
  <c r="X536" i="6"/>
  <c r="GK189" i="1"/>
  <c r="CP191" i="1"/>
  <c r="O191" i="1" s="1"/>
  <c r="GK243" i="1"/>
  <c r="X627" i="6"/>
  <c r="R237" i="5"/>
  <c r="G242" i="5"/>
  <c r="O242" i="5" s="1"/>
  <c r="W242" i="5"/>
  <c r="G303" i="6"/>
  <c r="H278" i="5"/>
  <c r="G407" i="6"/>
  <c r="H520" i="5"/>
  <c r="G524" i="5" s="1"/>
  <c r="O524" i="5" s="1"/>
  <c r="CY28" i="1"/>
  <c r="X28" i="1" s="1"/>
  <c r="W74" i="6"/>
  <c r="K61" i="5"/>
  <c r="CP42" i="1"/>
  <c r="O42" i="1" s="1"/>
  <c r="R171" i="5"/>
  <c r="CY66" i="1"/>
  <c r="X66" i="1" s="1"/>
  <c r="V216" i="6"/>
  <c r="K171" i="5"/>
  <c r="CZ66" i="1"/>
  <c r="Y66" i="1" s="1"/>
  <c r="T274" i="6"/>
  <c r="H274" i="6"/>
  <c r="U442" i="6"/>
  <c r="K372" i="5"/>
  <c r="S138" i="5"/>
  <c r="CY62" i="1"/>
  <c r="X62" i="1" s="1"/>
  <c r="K151" i="5"/>
  <c r="V194" i="6"/>
  <c r="G211" i="6"/>
  <c r="CY72" i="1"/>
  <c r="X72" i="1" s="1"/>
  <c r="V244" i="6"/>
  <c r="K194" i="5"/>
  <c r="CZ72" i="1"/>
  <c r="Y72" i="1" s="1"/>
  <c r="R194" i="5"/>
  <c r="V376" i="6"/>
  <c r="K307" i="5"/>
  <c r="H429" i="6"/>
  <c r="AA424" i="6"/>
  <c r="T353" i="5"/>
  <c r="K355" i="5" s="1"/>
  <c r="J358" i="5" s="1"/>
  <c r="P358" i="5" s="1"/>
  <c r="CR171" i="1"/>
  <c r="Q171" i="1" s="1"/>
  <c r="H381" i="5"/>
  <c r="AB171" i="1"/>
  <c r="R390" i="5"/>
  <c r="X396" i="5"/>
  <c r="H458" i="5"/>
  <c r="X458" i="5" s="1"/>
  <c r="GK190" i="1"/>
  <c r="X538" i="6"/>
  <c r="V589" i="6"/>
  <c r="K509" i="5"/>
  <c r="G616" i="6"/>
  <c r="CP49" i="1"/>
  <c r="O49" i="1" s="1"/>
  <c r="U152" i="6"/>
  <c r="AB73" i="1"/>
  <c r="H204" i="5"/>
  <c r="G209" i="5" s="1"/>
  <c r="O209" i="5" s="1"/>
  <c r="CR73" i="1"/>
  <c r="Q73" i="1" s="1"/>
  <c r="H222" i="5"/>
  <c r="H231" i="5"/>
  <c r="W235" i="5" s="1"/>
  <c r="BB26" i="1"/>
  <c r="F96" i="1"/>
  <c r="P168" i="1"/>
  <c r="H387" i="5"/>
  <c r="X387" i="5" s="1"/>
  <c r="H445" i="5"/>
  <c r="X534" i="6"/>
  <c r="GK188" i="1"/>
  <c r="GO188" i="1" s="1"/>
  <c r="G491" i="5"/>
  <c r="O491" i="5" s="1"/>
  <c r="R487" i="5"/>
  <c r="Z491" i="5"/>
  <c r="R151" i="5"/>
  <c r="W158" i="5"/>
  <c r="T226" i="6"/>
  <c r="H226" i="6"/>
  <c r="K178" i="5"/>
  <c r="R203" i="5"/>
  <c r="W209" i="5"/>
  <c r="G383" i="6"/>
  <c r="V524" i="6"/>
  <c r="K451" i="5"/>
  <c r="H512" i="5"/>
  <c r="AA214" i="6"/>
  <c r="T168" i="5"/>
  <c r="AB38" i="6"/>
  <c r="H44" i="6"/>
  <c r="V29" i="5"/>
  <c r="K32" i="5" s="1"/>
  <c r="V51" i="5"/>
  <c r="AB62" i="6"/>
  <c r="AB150" i="6"/>
  <c r="V120" i="5"/>
  <c r="CP40" i="1"/>
  <c r="O40" i="1" s="1"/>
  <c r="W126" i="6"/>
  <c r="T119" i="5"/>
  <c r="AA148" i="6"/>
  <c r="T144" i="6"/>
  <c r="H144" i="6"/>
  <c r="K117" i="5"/>
  <c r="AB130" i="6"/>
  <c r="V106" i="5"/>
  <c r="H101" i="6"/>
  <c r="AA96" i="6"/>
  <c r="T78" i="5"/>
  <c r="K83" i="5" s="1"/>
  <c r="CP65" i="1"/>
  <c r="O65" i="1" s="1"/>
  <c r="W214" i="6"/>
  <c r="T228" i="6"/>
  <c r="H228" i="6"/>
  <c r="K179" i="5"/>
  <c r="AB164" i="6"/>
  <c r="V127" i="5"/>
  <c r="CP74" i="1"/>
  <c r="O74" i="1" s="1"/>
  <c r="U264" i="6"/>
  <c r="CR116" i="1"/>
  <c r="Q116" i="1" s="1"/>
  <c r="H255" i="5"/>
  <c r="G260" i="5" s="1"/>
  <c r="O260" i="5" s="1"/>
  <c r="H367" i="6"/>
  <c r="T293" i="5"/>
  <c r="K296" i="5" s="1"/>
  <c r="AA362" i="6"/>
  <c r="H355" i="6"/>
  <c r="AA350" i="6"/>
  <c r="T283" i="5"/>
  <c r="AB512" i="6"/>
  <c r="V438" i="5"/>
  <c r="CP197" i="1"/>
  <c r="O197" i="1" s="1"/>
  <c r="U567" i="6"/>
  <c r="CP125" i="1"/>
  <c r="O125" i="1" s="1"/>
  <c r="W362" i="6"/>
  <c r="H400" i="6"/>
  <c r="T400" i="6"/>
  <c r="H407" i="6"/>
  <c r="AB522" i="6"/>
  <c r="V448" i="5"/>
  <c r="H448" i="6"/>
  <c r="AB442" i="6"/>
  <c r="V370" i="5"/>
  <c r="AA567" i="6"/>
  <c r="H569" i="6"/>
  <c r="T492" i="5"/>
  <c r="K494" i="5" s="1"/>
  <c r="AB536" i="6"/>
  <c r="V459" i="5"/>
  <c r="AB452" i="6"/>
  <c r="V378" i="5"/>
  <c r="H458" i="6"/>
  <c r="AB550" i="6"/>
  <c r="V472" i="5"/>
  <c r="H617" i="6"/>
  <c r="T617" i="6"/>
  <c r="K531" i="5"/>
  <c r="AB629" i="6"/>
  <c r="H635" i="6"/>
  <c r="V544" i="5"/>
  <c r="K548" i="5" s="1"/>
  <c r="AB581" i="6"/>
  <c r="H587" i="6"/>
  <c r="V502" i="5"/>
  <c r="K505" i="5" s="1"/>
  <c r="H614" i="6"/>
  <c r="AA609" i="6"/>
  <c r="T525" i="5"/>
  <c r="X148" i="6"/>
  <c r="GK47" i="1"/>
  <c r="GK57" i="1"/>
  <c r="X168" i="6"/>
  <c r="U296" i="6"/>
  <c r="K238" i="5"/>
  <c r="U350" i="6"/>
  <c r="K287" i="5"/>
  <c r="R380" i="5"/>
  <c r="GK34" i="1"/>
  <c r="GM34" i="1" s="1"/>
  <c r="X82" i="6"/>
  <c r="Y384" i="6"/>
  <c r="L322" i="5"/>
  <c r="Q322" i="5" s="1"/>
  <c r="L321" i="5"/>
  <c r="CR164" i="1"/>
  <c r="Q164" i="1" s="1"/>
  <c r="H341" i="5"/>
  <c r="G346" i="5" s="1"/>
  <c r="O346" i="5" s="1"/>
  <c r="GK170" i="1"/>
  <c r="X450" i="6"/>
  <c r="F460" i="6"/>
  <c r="E387" i="5"/>
  <c r="GK186" i="1"/>
  <c r="X524" i="6"/>
  <c r="V64" i="6"/>
  <c r="K54" i="5"/>
  <c r="CZ32" i="1"/>
  <c r="Y32" i="1" s="1"/>
  <c r="GN32" i="1" s="1"/>
  <c r="CY32" i="1"/>
  <c r="X32" i="1" s="1"/>
  <c r="R273" i="5"/>
  <c r="R316" i="5"/>
  <c r="G322" i="5"/>
  <c r="O322" i="5" s="1"/>
  <c r="X322" i="5"/>
  <c r="V599" i="6"/>
  <c r="K518" i="5"/>
  <c r="V362" i="6"/>
  <c r="K295" i="5"/>
  <c r="X472" i="6"/>
  <c r="K400" i="5"/>
  <c r="GK175" i="1"/>
  <c r="W134" i="6"/>
  <c r="K111" i="5"/>
  <c r="GK49" i="1"/>
  <c r="X152" i="6"/>
  <c r="H288" i="5"/>
  <c r="K390" i="5"/>
  <c r="V462" i="6"/>
  <c r="U472" i="6"/>
  <c r="K401" i="5"/>
  <c r="CR242" i="1"/>
  <c r="Q242" i="1" s="1"/>
  <c r="H536" i="5"/>
  <c r="X543" i="5" s="1"/>
  <c r="X619" i="6"/>
  <c r="K537" i="5"/>
  <c r="GK242" i="1"/>
  <c r="R219" i="5"/>
  <c r="GX172" i="1"/>
  <c r="CY184" i="1"/>
  <c r="X184" i="1" s="1"/>
  <c r="V514" i="6"/>
  <c r="K441" i="5"/>
  <c r="GK187" i="1"/>
  <c r="X532" i="6"/>
  <c r="V562" i="6"/>
  <c r="K487" i="5"/>
  <c r="H125" i="5"/>
  <c r="W125" i="5" s="1"/>
  <c r="V264" i="6"/>
  <c r="K212" i="5"/>
  <c r="H455" i="5"/>
  <c r="W542" i="6"/>
  <c r="K466" i="5"/>
  <c r="V172" i="1"/>
  <c r="Z460" i="6" s="1"/>
  <c r="AB31" i="1"/>
  <c r="G62" i="6" s="1"/>
  <c r="H80" i="6"/>
  <c r="AB74" i="6"/>
  <c r="V59" i="5"/>
  <c r="CP47" i="1"/>
  <c r="O47" i="1" s="1"/>
  <c r="U148" i="6"/>
  <c r="H79" i="6"/>
  <c r="T59" i="5"/>
  <c r="AA74" i="6"/>
  <c r="AA130" i="6"/>
  <c r="T106" i="5"/>
  <c r="AB160" i="6"/>
  <c r="V125" i="5"/>
  <c r="AA150" i="6"/>
  <c r="T120" i="5"/>
  <c r="V254" i="6"/>
  <c r="K203" i="5"/>
  <c r="CP71" i="1"/>
  <c r="O71" i="1" s="1"/>
  <c r="U242" i="6"/>
  <c r="GM60" i="1"/>
  <c r="AB182" i="6"/>
  <c r="V139" i="5"/>
  <c r="CY55" i="1"/>
  <c r="X55" i="1" s="1"/>
  <c r="GK74" i="1"/>
  <c r="GN74" i="1" s="1"/>
  <c r="X264" i="6"/>
  <c r="CI83" i="1"/>
  <c r="GK121" i="1"/>
  <c r="X346" i="6"/>
  <c r="CY161" i="1"/>
  <c r="X161" i="1" s="1"/>
  <c r="X384" i="6"/>
  <c r="K318" i="5"/>
  <c r="GM78" i="1"/>
  <c r="AB294" i="6"/>
  <c r="V234" i="5"/>
  <c r="CZ125" i="1"/>
  <c r="Y125" i="1" s="1"/>
  <c r="CP121" i="1"/>
  <c r="O121" i="1" s="1"/>
  <c r="W346" i="6"/>
  <c r="CR162" i="1"/>
  <c r="Q162" i="1" s="1"/>
  <c r="CP189" i="1"/>
  <c r="O189" i="1" s="1"/>
  <c r="U536" i="6"/>
  <c r="GK194" i="1"/>
  <c r="X552" i="6"/>
  <c r="H376" i="6"/>
  <c r="CZ175" i="1"/>
  <c r="Y175" i="1" s="1"/>
  <c r="CP186" i="1"/>
  <c r="O186" i="1" s="1"/>
  <c r="W524" i="6"/>
  <c r="K452" i="5"/>
  <c r="AB534" i="6"/>
  <c r="V458" i="5"/>
  <c r="CP192" i="1"/>
  <c r="O192" i="1" s="1"/>
  <c r="T470" i="6"/>
  <c r="H470" i="6"/>
  <c r="K395" i="5"/>
  <c r="AB480" i="6"/>
  <c r="V405" i="5"/>
  <c r="AJ246" i="1"/>
  <c r="CZ238" i="1"/>
  <c r="Y238" i="1" s="1"/>
  <c r="AB617" i="6"/>
  <c r="V531" i="5"/>
  <c r="H115" i="5"/>
  <c r="H190" i="5"/>
  <c r="W190" i="5" s="1"/>
  <c r="F440" i="6"/>
  <c r="E368" i="5"/>
  <c r="G449" i="6"/>
  <c r="R398" i="5"/>
  <c r="G636" i="6"/>
  <c r="R182" i="5"/>
  <c r="X244" i="6"/>
  <c r="K196" i="5"/>
  <c r="GK72" i="1"/>
  <c r="G499" i="6"/>
  <c r="R481" i="5"/>
  <c r="Z485" i="5"/>
  <c r="G485" i="5"/>
  <c r="O485" i="5" s="1"/>
  <c r="R70" i="5"/>
  <c r="G77" i="5"/>
  <c r="O77" i="5" s="1"/>
  <c r="W77" i="5"/>
  <c r="GK160" i="1"/>
  <c r="X376" i="6"/>
  <c r="K309" i="5"/>
  <c r="U542" i="6"/>
  <c r="K468" i="5"/>
  <c r="V106" i="6"/>
  <c r="K88" i="5"/>
  <c r="U138" i="5"/>
  <c r="H135" i="5" s="1"/>
  <c r="GK73" i="1"/>
  <c r="X254" i="6"/>
  <c r="K205" i="5"/>
  <c r="GK79" i="1"/>
  <c r="X296" i="6"/>
  <c r="R284" i="5"/>
  <c r="V408" i="6"/>
  <c r="K340" i="5"/>
  <c r="R526" i="5"/>
  <c r="R212" i="5"/>
  <c r="G216" i="5"/>
  <c r="O216" i="5" s="1"/>
  <c r="W216" i="5"/>
  <c r="H232" i="5"/>
  <c r="X294" i="6"/>
  <c r="GK78" i="1"/>
  <c r="R441" i="5"/>
  <c r="GK30" i="1"/>
  <c r="GN30" i="1" s="1"/>
  <c r="X54" i="6"/>
  <c r="K46" i="5"/>
  <c r="R307" i="5"/>
  <c r="G313" i="5"/>
  <c r="O313" i="5" s="1"/>
  <c r="W313" i="5"/>
  <c r="U408" i="6"/>
  <c r="K342" i="5"/>
  <c r="U172" i="1"/>
  <c r="Y460" i="6" s="1"/>
  <c r="H511" i="5"/>
  <c r="J550" i="5"/>
  <c r="P550" i="5" s="1"/>
  <c r="AB46" i="6"/>
  <c r="H52" i="6"/>
  <c r="V35" i="5"/>
  <c r="K40" i="5" s="1"/>
  <c r="CZ30" i="1"/>
  <c r="Y30" i="1" s="1"/>
  <c r="CP48" i="1"/>
  <c r="O48" i="1" s="1"/>
  <c r="W150" i="6"/>
  <c r="W46" i="6"/>
  <c r="K37" i="5"/>
  <c r="GM44" i="1"/>
  <c r="H141" i="6"/>
  <c r="AB134" i="6"/>
  <c r="V109" i="5"/>
  <c r="GM39" i="1"/>
  <c r="H121" i="6"/>
  <c r="AA116" i="6"/>
  <c r="T96" i="5"/>
  <c r="CP31" i="1"/>
  <c r="O31" i="1" s="1"/>
  <c r="H123" i="6"/>
  <c r="AB116" i="6"/>
  <c r="V96" i="5"/>
  <c r="CZ47" i="1"/>
  <c r="Y47" i="1" s="1"/>
  <c r="CZ51" i="1"/>
  <c r="Y51" i="1" s="1"/>
  <c r="AA126" i="6"/>
  <c r="T104" i="5"/>
  <c r="CP64" i="1"/>
  <c r="O64" i="1" s="1"/>
  <c r="U212" i="6"/>
  <c r="AB37" i="1"/>
  <c r="CZ45" i="1"/>
  <c r="Y45" i="1" s="1"/>
  <c r="H156" i="6"/>
  <c r="K123" i="5"/>
  <c r="CP55" i="1"/>
  <c r="O55" i="1" s="1"/>
  <c r="U164" i="6"/>
  <c r="AB62" i="1"/>
  <c r="V190" i="5"/>
  <c r="AB242" i="6"/>
  <c r="CP34" i="1"/>
  <c r="O34" i="1" s="1"/>
  <c r="CZ52" i="1"/>
  <c r="Y52" i="1" s="1"/>
  <c r="GM61" i="1"/>
  <c r="H191" i="6"/>
  <c r="AB184" i="6"/>
  <c r="V141" i="5"/>
  <c r="K147" i="5" s="1"/>
  <c r="GN67" i="1"/>
  <c r="AB226" i="6"/>
  <c r="V178" i="5"/>
  <c r="CY63" i="1"/>
  <c r="X63" i="1" s="1"/>
  <c r="AA240" i="6"/>
  <c r="T189" i="5"/>
  <c r="CY74" i="1"/>
  <c r="X74" i="1" s="1"/>
  <c r="GK70" i="1"/>
  <c r="GN70" i="1" s="1"/>
  <c r="X240" i="6"/>
  <c r="H286" i="6"/>
  <c r="CY57" i="1"/>
  <c r="X57" i="1" s="1"/>
  <c r="F92" i="1"/>
  <c r="CY116" i="1"/>
  <c r="X116" i="1" s="1"/>
  <c r="U322" i="6"/>
  <c r="K265" i="5"/>
  <c r="CR117" i="1"/>
  <c r="Q117" i="1" s="1"/>
  <c r="H263" i="5"/>
  <c r="W271" i="5" s="1"/>
  <c r="CP79" i="1"/>
  <c r="O79" i="1" s="1"/>
  <c r="CP123" i="1"/>
  <c r="O123" i="1" s="1"/>
  <c r="W350" i="6"/>
  <c r="K285" i="5"/>
  <c r="CY160" i="1"/>
  <c r="X160" i="1" s="1"/>
  <c r="H383" i="6" s="1"/>
  <c r="CY164" i="1"/>
  <c r="X164" i="1" s="1"/>
  <c r="GK167" i="1"/>
  <c r="X432" i="6"/>
  <c r="K363" i="5"/>
  <c r="AA334" i="6"/>
  <c r="T270" i="5"/>
  <c r="AA348" i="6"/>
  <c r="T281" i="5"/>
  <c r="AB178" i="1"/>
  <c r="G490" i="6" s="1"/>
  <c r="GK196" i="1"/>
  <c r="X562" i="6"/>
  <c r="CZ162" i="1"/>
  <c r="Y162" i="1" s="1"/>
  <c r="AB166" i="1"/>
  <c r="CP190" i="1"/>
  <c r="O190" i="1" s="1"/>
  <c r="U538" i="6"/>
  <c r="CR184" i="1"/>
  <c r="Q184" i="1" s="1"/>
  <c r="H559" i="6"/>
  <c r="AA557" i="6"/>
  <c r="T480" i="5"/>
  <c r="K482" i="5" s="1"/>
  <c r="J485" i="5" s="1"/>
  <c r="P485" i="5" s="1"/>
  <c r="AA442" i="6"/>
  <c r="H447" i="6"/>
  <c r="T370" i="5"/>
  <c r="AA470" i="6"/>
  <c r="T395" i="5"/>
  <c r="AA538" i="6"/>
  <c r="T460" i="5"/>
  <c r="H570" i="6"/>
  <c r="AB567" i="6"/>
  <c r="V492" i="5"/>
  <c r="K495" i="5" s="1"/>
  <c r="J497" i="5" s="1"/>
  <c r="P497" i="5" s="1"/>
  <c r="AA490" i="6"/>
  <c r="T415" i="5"/>
  <c r="AA536" i="6"/>
  <c r="T459" i="5"/>
  <c r="F607" i="6"/>
  <c r="E523" i="5"/>
  <c r="CZ242" i="1"/>
  <c r="Y242" i="1" s="1"/>
  <c r="CY171" i="1"/>
  <c r="X171" i="1" s="1"/>
  <c r="AA512" i="6"/>
  <c r="T438" i="5"/>
  <c r="CY186" i="1"/>
  <c r="X186" i="1" s="1"/>
  <c r="CY236" i="1"/>
  <c r="X236" i="1" s="1"/>
  <c r="U239" i="1"/>
  <c r="CP240" i="1"/>
  <c r="O240" i="1" s="1"/>
  <c r="H586" i="6"/>
  <c r="AA581" i="6"/>
  <c r="T502" i="5"/>
  <c r="K504" i="5" s="1"/>
  <c r="CP236" i="1"/>
  <c r="O236" i="1" s="1"/>
  <c r="GO236" i="1" s="1"/>
  <c r="CY243" i="1"/>
  <c r="X243" i="1" s="1"/>
  <c r="G45" i="6"/>
  <c r="R30" i="5"/>
  <c r="W34" i="5"/>
  <c r="G34" i="5"/>
  <c r="O34" i="5" s="1"/>
  <c r="K36" i="5"/>
  <c r="V46" i="6"/>
  <c r="G68" i="5"/>
  <c r="O68" i="5" s="1"/>
  <c r="H104" i="5"/>
  <c r="W104" i="5" s="1"/>
  <c r="GK46" i="1"/>
  <c r="X146" i="6"/>
  <c r="CP57" i="1"/>
  <c r="O57" i="1" s="1"/>
  <c r="U168" i="6"/>
  <c r="K133" i="5"/>
  <c r="H45" i="6"/>
  <c r="T38" i="6"/>
  <c r="H38" i="6"/>
  <c r="CP33" i="1"/>
  <c r="O33" i="1" s="1"/>
  <c r="U74" i="6"/>
  <c r="K62" i="5"/>
  <c r="H114" i="5"/>
  <c r="G246" i="5"/>
  <c r="O246" i="5" s="1"/>
  <c r="W246" i="5"/>
  <c r="V416" i="6"/>
  <c r="K348" i="5"/>
  <c r="U368" i="5"/>
  <c r="H366" i="5" s="1"/>
  <c r="U387" i="5"/>
  <c r="H385" i="5" s="1"/>
  <c r="R408" i="5"/>
  <c r="CY177" i="1"/>
  <c r="X177" i="1" s="1"/>
  <c r="H489" i="6" s="1"/>
  <c r="V482" i="6"/>
  <c r="K408" i="5"/>
  <c r="CZ177" i="1"/>
  <c r="Y177" i="1" s="1"/>
  <c r="U524" i="6"/>
  <c r="K453" i="5"/>
  <c r="AB195" i="1"/>
  <c r="R545" i="5"/>
  <c r="X550" i="5"/>
  <c r="G550" i="5"/>
  <c r="O550" i="5" s="1"/>
  <c r="X106" i="6"/>
  <c r="K90" i="5"/>
  <c r="GK38" i="1"/>
  <c r="H102" i="5"/>
  <c r="W108" i="5" s="1"/>
  <c r="V116" i="6"/>
  <c r="K97" i="5"/>
  <c r="CY54" i="1"/>
  <c r="X54" i="1" s="1"/>
  <c r="V162" i="6"/>
  <c r="H134" i="5"/>
  <c r="CR72" i="1"/>
  <c r="Q72" i="1" s="1"/>
  <c r="H195" i="5"/>
  <c r="W200" i="5" s="1"/>
  <c r="V296" i="6"/>
  <c r="K237" i="5"/>
  <c r="U336" i="6"/>
  <c r="K276" i="5"/>
  <c r="V336" i="6"/>
  <c r="K273" i="5"/>
  <c r="GK164" i="1"/>
  <c r="X408" i="6"/>
  <c r="V168" i="1"/>
  <c r="Z440" i="6" s="1"/>
  <c r="Y452" i="6"/>
  <c r="L388" i="5"/>
  <c r="Q388" i="5" s="1"/>
  <c r="L386" i="5"/>
  <c r="H437" i="5"/>
  <c r="X437" i="5" s="1"/>
  <c r="CY187" i="1"/>
  <c r="X187" i="1" s="1"/>
  <c r="V532" i="6"/>
  <c r="CZ187" i="1"/>
  <c r="Y187" i="1" s="1"/>
  <c r="Y599" i="6"/>
  <c r="L524" i="5"/>
  <c r="Q524" i="5" s="1"/>
  <c r="L552" i="5" s="1"/>
  <c r="L522" i="5"/>
  <c r="R54" i="5"/>
  <c r="W58" i="5"/>
  <c r="G58" i="5"/>
  <c r="O58" i="5" s="1"/>
  <c r="G73" i="6"/>
  <c r="CY36" i="1"/>
  <c r="X36" i="1" s="1"/>
  <c r="V86" i="6"/>
  <c r="K70" i="5"/>
  <c r="AA160" i="6"/>
  <c r="T125" i="5"/>
  <c r="H277" i="5"/>
  <c r="G282" i="5" s="1"/>
  <c r="O282" i="5" s="1"/>
  <c r="G391" i="6"/>
  <c r="R333" i="5"/>
  <c r="X338" i="5"/>
  <c r="G338" i="5"/>
  <c r="O338" i="5" s="1"/>
  <c r="K361" i="5"/>
  <c r="V432" i="6"/>
  <c r="T172" i="1"/>
  <c r="CY175" i="1"/>
  <c r="X175" i="1" s="1"/>
  <c r="R518" i="5"/>
  <c r="X524" i="5"/>
  <c r="G606" i="6"/>
  <c r="X62" i="6"/>
  <c r="GK31" i="1"/>
  <c r="AA212" i="6"/>
  <c r="T167" i="5"/>
  <c r="R475" i="5"/>
  <c r="Z479" i="5"/>
  <c r="G479" i="5"/>
  <c r="O479" i="5" s="1"/>
  <c r="V552" i="6"/>
  <c r="K475" i="5"/>
  <c r="R88" i="5"/>
  <c r="W95" i="5"/>
  <c r="G115" i="6"/>
  <c r="X128" i="6"/>
  <c r="GK41" i="1"/>
  <c r="GN41" i="1" s="1"/>
  <c r="H164" i="5"/>
  <c r="G169" i="5" s="1"/>
  <c r="O169" i="5" s="1"/>
  <c r="GK66" i="1"/>
  <c r="X216" i="6"/>
  <c r="K173" i="5"/>
  <c r="R254" i="5"/>
  <c r="W260" i="5"/>
  <c r="H289" i="5"/>
  <c r="G292" i="5" s="1"/>
  <c r="O292" i="5" s="1"/>
  <c r="Y362" i="6"/>
  <c r="L299" i="5"/>
  <c r="Q299" i="5" s="1"/>
  <c r="L301" i="5" s="1"/>
  <c r="L298" i="5"/>
  <c r="GK165" i="1"/>
  <c r="X416" i="6"/>
  <c r="X514" i="6"/>
  <c r="K443" i="5"/>
  <c r="V581" i="6"/>
  <c r="K503" i="5"/>
  <c r="H528" i="5"/>
  <c r="G532" i="5" s="1"/>
  <c r="O532" i="5" s="1"/>
  <c r="X194" i="6"/>
  <c r="K153" i="5"/>
  <c r="GK62" i="1"/>
  <c r="AB69" i="1"/>
  <c r="H183" i="5"/>
  <c r="W191" i="5" s="1"/>
  <c r="CR69" i="1"/>
  <c r="Q69" i="1" s="1"/>
  <c r="CZ75" i="1"/>
  <c r="Y75" i="1" s="1"/>
  <c r="V274" i="6"/>
  <c r="K219" i="5"/>
  <c r="R227" i="5"/>
  <c r="CY77" i="1"/>
  <c r="X77" i="1" s="1"/>
  <c r="H293" i="6" s="1"/>
  <c r="K227" i="5"/>
  <c r="V286" i="6"/>
  <c r="CZ77" i="1"/>
  <c r="Y77" i="1" s="1"/>
  <c r="P172" i="1"/>
  <c r="H446" i="5"/>
  <c r="G449" i="5" s="1"/>
  <c r="O449" i="5" s="1"/>
  <c r="G521" i="6"/>
  <c r="G566" i="6"/>
  <c r="X162" i="6"/>
  <c r="GK54" i="1"/>
  <c r="H138" i="5"/>
  <c r="W138" i="5" s="1"/>
  <c r="U204" i="6"/>
  <c r="K163" i="5"/>
  <c r="AB164" i="1"/>
  <c r="S168" i="1"/>
  <c r="W482" i="6"/>
  <c r="K409" i="5"/>
  <c r="H454" i="5"/>
  <c r="W376" i="6"/>
  <c r="K308" i="5"/>
  <c r="CP187" i="1"/>
  <c r="O187" i="1" s="1"/>
  <c r="AP158" i="1"/>
  <c r="F208" i="1"/>
  <c r="GM70" i="1"/>
  <c r="GM185" i="1"/>
  <c r="GM188" i="1"/>
  <c r="GM48" i="1"/>
  <c r="T127" i="1"/>
  <c r="AG114" i="1"/>
  <c r="GM123" i="1"/>
  <c r="GN123" i="1"/>
  <c r="GM40" i="1"/>
  <c r="GN53" i="1"/>
  <c r="GM53" i="1"/>
  <c r="GM183" i="1"/>
  <c r="GO183" i="1"/>
  <c r="GM125" i="1"/>
  <c r="GM178" i="1"/>
  <c r="AJ233" i="1"/>
  <c r="W246" i="1"/>
  <c r="GM176" i="1"/>
  <c r="CY35" i="1"/>
  <c r="X35" i="1" s="1"/>
  <c r="CZ35" i="1"/>
  <c r="Y35" i="1" s="1"/>
  <c r="GN64" i="1"/>
  <c r="AQ26" i="1"/>
  <c r="F93" i="1"/>
  <c r="AQ275" i="1"/>
  <c r="CP38" i="1"/>
  <c r="O38" i="1" s="1"/>
  <c r="GN44" i="1"/>
  <c r="GM55" i="1"/>
  <c r="GN55" i="1"/>
  <c r="GM41" i="1"/>
  <c r="CY56" i="1"/>
  <c r="X56" i="1" s="1"/>
  <c r="CZ56" i="1"/>
  <c r="Y56" i="1" s="1"/>
  <c r="CC26" i="1"/>
  <c r="AT83" i="1"/>
  <c r="AO26" i="1"/>
  <c r="F87" i="1"/>
  <c r="AO275" i="1"/>
  <c r="CP116" i="1"/>
  <c r="O116" i="1" s="1"/>
  <c r="AC127" i="1"/>
  <c r="CP117" i="1"/>
  <c r="O117" i="1" s="1"/>
  <c r="CZ117" i="1"/>
  <c r="Y117" i="1" s="1"/>
  <c r="GK117" i="1"/>
  <c r="CP118" i="1"/>
  <c r="O118" i="1" s="1"/>
  <c r="BB114" i="1"/>
  <c r="F140" i="1"/>
  <c r="BB275" i="1"/>
  <c r="CP119" i="1"/>
  <c r="O119" i="1" s="1"/>
  <c r="BC114" i="1"/>
  <c r="F143" i="1"/>
  <c r="Q180" i="1"/>
  <c r="W500" i="6" s="1"/>
  <c r="CJ114" i="1"/>
  <c r="BA127" i="1"/>
  <c r="AI114" i="1"/>
  <c r="V127" i="1"/>
  <c r="CZ121" i="1"/>
  <c r="Y121" i="1" s="1"/>
  <c r="GO164" i="1"/>
  <c r="GM160" i="1"/>
  <c r="GN165" i="1"/>
  <c r="AB175" i="1"/>
  <c r="CY194" i="1"/>
  <c r="X194" i="1" s="1"/>
  <c r="BY233" i="1"/>
  <c r="CI246" i="1"/>
  <c r="AP246" i="1"/>
  <c r="AP275" i="1" s="1"/>
  <c r="CP235" i="1"/>
  <c r="O235" i="1" s="1"/>
  <c r="AC246" i="1"/>
  <c r="R239" i="1"/>
  <c r="X607" i="6" s="1"/>
  <c r="T239" i="1"/>
  <c r="AG246" i="1" s="1"/>
  <c r="S239" i="1"/>
  <c r="V607" i="6" s="1"/>
  <c r="CG233" i="1"/>
  <c r="AX246" i="1"/>
  <c r="GM241" i="1"/>
  <c r="GO241" i="1"/>
  <c r="V239" i="1"/>
  <c r="CY46" i="1"/>
  <c r="X46" i="1" s="1"/>
  <c r="CZ46" i="1"/>
  <c r="Y46" i="1" s="1"/>
  <c r="GN39" i="1"/>
  <c r="W59" i="1"/>
  <c r="AJ83" i="1" s="1"/>
  <c r="S59" i="1"/>
  <c r="V180" i="6" s="1"/>
  <c r="T59" i="1"/>
  <c r="AG83" i="1" s="1"/>
  <c r="CZ118" i="1"/>
  <c r="Y118" i="1" s="1"/>
  <c r="CY118" i="1"/>
  <c r="X118" i="1" s="1"/>
  <c r="AF127" i="1"/>
  <c r="AP114" i="1"/>
  <c r="F136" i="1"/>
  <c r="GM79" i="1"/>
  <c r="AZ127" i="1"/>
  <c r="CI114" i="1"/>
  <c r="S180" i="1"/>
  <c r="V500" i="6" s="1"/>
  <c r="T180" i="1"/>
  <c r="AG199" i="1" s="1"/>
  <c r="W182" i="1"/>
  <c r="S182" i="1"/>
  <c r="V510" i="6" s="1"/>
  <c r="R182" i="1"/>
  <c r="GO193" i="1"/>
  <c r="GM193" i="1"/>
  <c r="GP197" i="1"/>
  <c r="CP170" i="1"/>
  <c r="O170" i="1" s="1"/>
  <c r="AB185" i="1"/>
  <c r="G522" i="6" s="1"/>
  <c r="GM190" i="1"/>
  <c r="GO190" i="1"/>
  <c r="GO174" i="1"/>
  <c r="GM174" i="1"/>
  <c r="CY237" i="1"/>
  <c r="X237" i="1" s="1"/>
  <c r="CZ237" i="1"/>
  <c r="Y237" i="1" s="1"/>
  <c r="GO244" i="1"/>
  <c r="P180" i="1"/>
  <c r="U500" i="6" s="1"/>
  <c r="F250" i="1"/>
  <c r="AO233" i="1"/>
  <c r="AQ158" i="1"/>
  <c r="F209" i="1"/>
  <c r="GN45" i="1"/>
  <c r="GM45" i="1"/>
  <c r="U59" i="1"/>
  <c r="Y180" i="6" s="1"/>
  <c r="CP29" i="1"/>
  <c r="O29" i="1" s="1"/>
  <c r="CP50" i="1"/>
  <c r="O50" i="1" s="1"/>
  <c r="GM30" i="1"/>
  <c r="CP46" i="1"/>
  <c r="O46" i="1" s="1"/>
  <c r="GK52" i="1"/>
  <c r="AE83" i="1"/>
  <c r="V59" i="1"/>
  <c r="GN34" i="1"/>
  <c r="GM67" i="1"/>
  <c r="GM71" i="1"/>
  <c r="GN71" i="1"/>
  <c r="GN54" i="1"/>
  <c r="P59" i="1"/>
  <c r="U180" i="6" s="1"/>
  <c r="Q59" i="1"/>
  <c r="W180" i="6" s="1"/>
  <c r="BC26" i="1"/>
  <c r="F99" i="1"/>
  <c r="BC275" i="1"/>
  <c r="GN75" i="1"/>
  <c r="CI26" i="1"/>
  <c r="AZ83" i="1"/>
  <c r="AD127" i="1"/>
  <c r="AT114" i="1"/>
  <c r="F145" i="1"/>
  <c r="AU26" i="1"/>
  <c r="F102" i="1"/>
  <c r="AQ114" i="1"/>
  <c r="F137" i="1"/>
  <c r="AJ114" i="1"/>
  <c r="W127" i="1"/>
  <c r="AB167" i="1"/>
  <c r="CR167" i="1"/>
  <c r="Q167" i="1" s="1"/>
  <c r="GX182" i="1"/>
  <c r="CZ124" i="1"/>
  <c r="Y124" i="1" s="1"/>
  <c r="CY170" i="1"/>
  <c r="X170" i="1" s="1"/>
  <c r="CZ170" i="1"/>
  <c r="Y170" i="1" s="1"/>
  <c r="V182" i="1"/>
  <c r="Z510" i="6" s="1"/>
  <c r="CI158" i="1"/>
  <c r="AZ199" i="1"/>
  <c r="GX180" i="1"/>
  <c r="CJ199" i="1" s="1"/>
  <c r="P182" i="1"/>
  <c r="U510" i="6" s="1"/>
  <c r="GM192" i="1"/>
  <c r="GM169" i="1"/>
  <c r="GO169" i="1"/>
  <c r="CZ196" i="1"/>
  <c r="Y196" i="1" s="1"/>
  <c r="BC158" i="1"/>
  <c r="F215" i="1"/>
  <c r="CZ167" i="1"/>
  <c r="Y167" i="1" s="1"/>
  <c r="U180" i="1"/>
  <c r="BC233" i="1"/>
  <c r="F262" i="1"/>
  <c r="W180" i="1"/>
  <c r="CP237" i="1"/>
  <c r="O237" i="1" s="1"/>
  <c r="Q239" i="1"/>
  <c r="AU233" i="1"/>
  <c r="F265" i="1"/>
  <c r="F263" i="1"/>
  <c r="AS233" i="1"/>
  <c r="CJ83" i="1"/>
  <c r="CY43" i="1"/>
  <c r="X43" i="1" s="1"/>
  <c r="CZ43" i="1"/>
  <c r="Y43" i="1" s="1"/>
  <c r="GM68" i="1"/>
  <c r="GN68" i="1"/>
  <c r="GN47" i="1"/>
  <c r="CY50" i="1"/>
  <c r="X50" i="1" s="1"/>
  <c r="CZ50" i="1"/>
  <c r="Y50" i="1" s="1"/>
  <c r="AB52" i="1"/>
  <c r="G158" i="6" s="1"/>
  <c r="CR52" i="1"/>
  <c r="Q52" i="1" s="1"/>
  <c r="CY58" i="1"/>
  <c r="X58" i="1" s="1"/>
  <c r="CZ58" i="1"/>
  <c r="Y58" i="1" s="1"/>
  <c r="GM51" i="1"/>
  <c r="GX59" i="1"/>
  <c r="CP35" i="1"/>
  <c r="O35" i="1" s="1"/>
  <c r="CY73" i="1"/>
  <c r="X73" i="1" s="1"/>
  <c r="CZ73" i="1"/>
  <c r="Y73" i="1" s="1"/>
  <c r="CY52" i="1"/>
  <c r="X52" i="1" s="1"/>
  <c r="CG26" i="1"/>
  <c r="AX83" i="1"/>
  <c r="AB117" i="1"/>
  <c r="CZ116" i="1"/>
  <c r="Y116" i="1" s="1"/>
  <c r="AE127" i="1"/>
  <c r="GK116" i="1"/>
  <c r="AH114" i="1"/>
  <c r="U127" i="1"/>
  <c r="AX114" i="1"/>
  <c r="F134" i="1"/>
  <c r="GK161" i="1"/>
  <c r="F146" i="1"/>
  <c r="AU114" i="1"/>
  <c r="GM122" i="1"/>
  <c r="GN122" i="1"/>
  <c r="GM166" i="1"/>
  <c r="GN166" i="1"/>
  <c r="CZ161" i="1"/>
  <c r="Y161" i="1" s="1"/>
  <c r="CY167" i="1"/>
  <c r="X167" i="1" s="1"/>
  <c r="R180" i="1"/>
  <c r="CY124" i="1"/>
  <c r="X124" i="1" s="1"/>
  <c r="CY179" i="1"/>
  <c r="X179" i="1" s="1"/>
  <c r="CZ179" i="1"/>
  <c r="Y179" i="1" s="1"/>
  <c r="GP195" i="1"/>
  <c r="GO163" i="1"/>
  <c r="GM163" i="1"/>
  <c r="CY181" i="1"/>
  <c r="X181" i="1" s="1"/>
  <c r="CZ181" i="1"/>
  <c r="Y181" i="1" s="1"/>
  <c r="GO186" i="1"/>
  <c r="CZ194" i="1"/>
  <c r="Y194" i="1" s="1"/>
  <c r="Q182" i="1"/>
  <c r="W510" i="6" s="1"/>
  <c r="CY196" i="1"/>
  <c r="X196" i="1" s="1"/>
  <c r="CP181" i="1"/>
  <c r="O181" i="1" s="1"/>
  <c r="CG158" i="1"/>
  <c r="AX199" i="1"/>
  <c r="GO238" i="1"/>
  <c r="GM238" i="1"/>
  <c r="U182" i="1"/>
  <c r="Y510" i="6" s="1"/>
  <c r="GX239" i="1"/>
  <c r="CJ246" i="1" s="1"/>
  <c r="AQ233" i="1"/>
  <c r="F256" i="1"/>
  <c r="W292" i="5" l="1"/>
  <c r="G180" i="5"/>
  <c r="O180" i="5" s="1"/>
  <c r="G462" i="5"/>
  <c r="O462" i="5" s="1"/>
  <c r="K446" i="5"/>
  <c r="J507" i="5"/>
  <c r="P507" i="5" s="1"/>
  <c r="K528" i="5"/>
  <c r="G473" i="5"/>
  <c r="O473" i="5" s="1"/>
  <c r="G406" i="5"/>
  <c r="O406" i="5" s="1"/>
  <c r="G225" i="5"/>
  <c r="O225" i="5" s="1"/>
  <c r="G377" i="5"/>
  <c r="O377" i="5" s="1"/>
  <c r="G543" i="5"/>
  <c r="O543" i="5" s="1"/>
  <c r="X462" i="5"/>
  <c r="G369" i="5"/>
  <c r="O369" i="5" s="1"/>
  <c r="W169" i="5"/>
  <c r="G427" i="5"/>
  <c r="O427" i="5" s="1"/>
  <c r="X369" i="5"/>
  <c r="K393" i="5"/>
  <c r="X346" i="5"/>
  <c r="G52" i="5"/>
  <c r="O52" i="5" s="1"/>
  <c r="G20" i="5"/>
  <c r="G515" i="5"/>
  <c r="O515" i="5" s="1"/>
  <c r="G191" i="5"/>
  <c r="O191" i="5" s="1"/>
  <c r="L499" i="5"/>
  <c r="X449" i="5"/>
  <c r="W282" i="5"/>
  <c r="K187" i="5"/>
  <c r="T387" i="5"/>
  <c r="AA460" i="6"/>
  <c r="G140" i="5"/>
  <c r="O140" i="5" s="1"/>
  <c r="W140" i="5"/>
  <c r="G388" i="5"/>
  <c r="O388" i="5" s="1"/>
  <c r="GO179" i="1"/>
  <c r="H498" i="6"/>
  <c r="AB492" i="6"/>
  <c r="V417" i="5"/>
  <c r="G432" i="6"/>
  <c r="G439" i="6"/>
  <c r="AA552" i="6"/>
  <c r="H554" i="6"/>
  <c r="T474" i="5"/>
  <c r="K476" i="5" s="1"/>
  <c r="H322" i="6"/>
  <c r="H331" i="6"/>
  <c r="T322" i="6"/>
  <c r="AF246" i="1"/>
  <c r="AF233" i="1" s="1"/>
  <c r="AB532" i="6"/>
  <c r="V457" i="5"/>
  <c r="GO243" i="1"/>
  <c r="AA627" i="6"/>
  <c r="T542" i="5"/>
  <c r="GM242" i="1"/>
  <c r="H625" i="6"/>
  <c r="AB619" i="6"/>
  <c r="V533" i="5"/>
  <c r="H398" i="6"/>
  <c r="AB392" i="6"/>
  <c r="V323" i="5"/>
  <c r="K329" i="5" s="1"/>
  <c r="H303" i="6"/>
  <c r="T296" i="6"/>
  <c r="H296" i="6"/>
  <c r="H209" i="6"/>
  <c r="T159" i="5"/>
  <c r="K164" i="5" s="1"/>
  <c r="AA204" i="6"/>
  <c r="AB158" i="6"/>
  <c r="V124" i="5"/>
  <c r="G552" i="5"/>
  <c r="H542" i="6"/>
  <c r="H549" i="6"/>
  <c r="T542" i="6"/>
  <c r="T214" i="6"/>
  <c r="H214" i="6"/>
  <c r="K168" i="5"/>
  <c r="H130" i="6"/>
  <c r="T130" i="6"/>
  <c r="K106" i="5"/>
  <c r="GM42" i="1"/>
  <c r="GK168" i="1"/>
  <c r="X440" i="6"/>
  <c r="G54" i="6"/>
  <c r="G61" i="6"/>
  <c r="AB589" i="6"/>
  <c r="H595" i="6"/>
  <c r="V508" i="5"/>
  <c r="H556" i="6"/>
  <c r="T522" i="6"/>
  <c r="H522" i="6"/>
  <c r="K448" i="5"/>
  <c r="T123" i="5"/>
  <c r="AA156" i="6"/>
  <c r="AA540" i="6"/>
  <c r="T461" i="5"/>
  <c r="T132" i="6"/>
  <c r="H132" i="6"/>
  <c r="K107" i="5"/>
  <c r="T627" i="6"/>
  <c r="CP175" i="1"/>
  <c r="O175" i="1" s="1"/>
  <c r="W472" i="6"/>
  <c r="K399" i="5"/>
  <c r="T178" i="6"/>
  <c r="H178" i="6"/>
  <c r="K137" i="5"/>
  <c r="GM177" i="1"/>
  <c r="GM32" i="1"/>
  <c r="T64" i="6"/>
  <c r="H497" i="6"/>
  <c r="AA492" i="6"/>
  <c r="T417" i="5"/>
  <c r="AL127" i="1"/>
  <c r="Y127" i="1" s="1"/>
  <c r="H320" i="6"/>
  <c r="AB314" i="6"/>
  <c r="V253" i="5"/>
  <c r="K258" i="5" s="1"/>
  <c r="AA158" i="6"/>
  <c r="T124" i="5"/>
  <c r="AB178" i="6"/>
  <c r="V137" i="5"/>
  <c r="T597" i="6"/>
  <c r="H597" i="6"/>
  <c r="K514" i="5"/>
  <c r="AH199" i="1"/>
  <c r="Y500" i="6"/>
  <c r="AB450" i="6"/>
  <c r="V376" i="5"/>
  <c r="H146" i="6"/>
  <c r="T146" i="6"/>
  <c r="K118" i="5"/>
  <c r="GN79" i="1"/>
  <c r="G472" i="6"/>
  <c r="G479" i="6"/>
  <c r="T334" i="6"/>
  <c r="H334" i="6"/>
  <c r="K270" i="5"/>
  <c r="H332" i="6"/>
  <c r="T332" i="6"/>
  <c r="K269" i="5"/>
  <c r="AB166" i="6"/>
  <c r="V128" i="5"/>
  <c r="GN28" i="1"/>
  <c r="GO185" i="1"/>
  <c r="AB286" i="6"/>
  <c r="V226" i="5"/>
  <c r="K232" i="5" s="1"/>
  <c r="H292" i="6"/>
  <c r="H609" i="6"/>
  <c r="H616" i="6"/>
  <c r="T609" i="6"/>
  <c r="H319" i="6"/>
  <c r="AA314" i="6"/>
  <c r="T253" i="5"/>
  <c r="K257" i="5" s="1"/>
  <c r="H269" i="6"/>
  <c r="T210" i="5"/>
  <c r="K213" i="5" s="1"/>
  <c r="J216" i="5" s="1"/>
  <c r="P216" i="5" s="1"/>
  <c r="AA264" i="6"/>
  <c r="T212" i="6"/>
  <c r="K167" i="5"/>
  <c r="H212" i="6"/>
  <c r="T62" i="6"/>
  <c r="K51" i="5"/>
  <c r="H62" i="6"/>
  <c r="T150" i="6"/>
  <c r="K120" i="5"/>
  <c r="H150" i="6"/>
  <c r="H531" i="6"/>
  <c r="T524" i="6"/>
  <c r="H524" i="6"/>
  <c r="T536" i="6"/>
  <c r="H536" i="6"/>
  <c r="K459" i="5"/>
  <c r="AA164" i="6"/>
  <c r="T127" i="5"/>
  <c r="W225" i="5"/>
  <c r="X388" i="5"/>
  <c r="H567" i="6"/>
  <c r="H571" i="6"/>
  <c r="T567" i="6"/>
  <c r="T264" i="6"/>
  <c r="H264" i="6"/>
  <c r="H273" i="6"/>
  <c r="T126" i="6"/>
  <c r="H126" i="6"/>
  <c r="K104" i="5"/>
  <c r="X515" i="5"/>
  <c r="U440" i="6"/>
  <c r="CP168" i="1"/>
  <c r="O168" i="1" s="1"/>
  <c r="W452" i="6"/>
  <c r="K381" i="5"/>
  <c r="CP171" i="1"/>
  <c r="O171" i="1" s="1"/>
  <c r="G200" i="5"/>
  <c r="O200" i="5" s="1"/>
  <c r="AA244" i="6"/>
  <c r="T192" i="5"/>
  <c r="K197" i="5" s="1"/>
  <c r="H249" i="6"/>
  <c r="AA194" i="6"/>
  <c r="H199" i="6"/>
  <c r="T150" i="5"/>
  <c r="K155" i="5" s="1"/>
  <c r="J158" i="5" s="1"/>
  <c r="P158" i="5" s="1"/>
  <c r="H223" i="6"/>
  <c r="V170" i="5"/>
  <c r="AB216" i="6"/>
  <c r="T540" i="6"/>
  <c r="H540" i="6"/>
  <c r="K461" i="5"/>
  <c r="GM191" i="1"/>
  <c r="GO191" i="1"/>
  <c r="W52" i="5"/>
  <c r="GM243" i="1"/>
  <c r="CZ172" i="1"/>
  <c r="Y172" i="1" s="1"/>
  <c r="H561" i="6"/>
  <c r="T557" i="6"/>
  <c r="H557" i="6"/>
  <c r="H175" i="6"/>
  <c r="AB168" i="6"/>
  <c r="V130" i="5"/>
  <c r="T284" i="6"/>
  <c r="H284" i="6"/>
  <c r="K224" i="5"/>
  <c r="H61" i="6"/>
  <c r="T54" i="6"/>
  <c r="H54" i="6"/>
  <c r="W216" i="6"/>
  <c r="K172" i="5"/>
  <c r="CP66" i="1"/>
  <c r="O66" i="1" s="1"/>
  <c r="X439" i="5"/>
  <c r="H547" i="6"/>
  <c r="AA542" i="6"/>
  <c r="T463" i="5"/>
  <c r="K469" i="5" s="1"/>
  <c r="H424" i="6"/>
  <c r="T424" i="6"/>
  <c r="H431" i="6"/>
  <c r="W54" i="6"/>
  <c r="K45" i="5"/>
  <c r="T182" i="6"/>
  <c r="H182" i="6"/>
  <c r="K139" i="5"/>
  <c r="GN60" i="1"/>
  <c r="H636" i="6"/>
  <c r="T629" i="6"/>
  <c r="H629" i="6"/>
  <c r="K470" i="5"/>
  <c r="H490" i="6"/>
  <c r="T490" i="6"/>
  <c r="K415" i="5"/>
  <c r="T160" i="6"/>
  <c r="H160" i="6"/>
  <c r="K125" i="5"/>
  <c r="T166" i="6"/>
  <c r="K128" i="5"/>
  <c r="H166" i="6"/>
  <c r="T482" i="6"/>
  <c r="H408" i="6"/>
  <c r="H415" i="6"/>
  <c r="T408" i="6"/>
  <c r="GO240" i="1"/>
  <c r="AB502" i="6"/>
  <c r="H508" i="6"/>
  <c r="V428" i="5"/>
  <c r="GM195" i="1"/>
  <c r="GM161" i="1"/>
  <c r="H390" i="6"/>
  <c r="V314" i="5"/>
  <c r="K320" i="5" s="1"/>
  <c r="AB384" i="6"/>
  <c r="G322" i="6"/>
  <c r="G331" i="6"/>
  <c r="GN56" i="1"/>
  <c r="GM58" i="1"/>
  <c r="AA178" i="6"/>
  <c r="T137" i="5"/>
  <c r="AA154" i="6"/>
  <c r="T122" i="5"/>
  <c r="GM74" i="1"/>
  <c r="GN43" i="1"/>
  <c r="AA132" i="6"/>
  <c r="T107" i="5"/>
  <c r="K101" i="5" s="1"/>
  <c r="H438" i="6"/>
  <c r="AB432" i="6"/>
  <c r="V359" i="5"/>
  <c r="GO189" i="1"/>
  <c r="AA450" i="6"/>
  <c r="T376" i="5"/>
  <c r="K373" i="5" s="1"/>
  <c r="GM77" i="1"/>
  <c r="AI83" i="1"/>
  <c r="AI26" i="1" s="1"/>
  <c r="Z180" i="6"/>
  <c r="AH83" i="1"/>
  <c r="GM244" i="1"/>
  <c r="T450" i="6"/>
  <c r="H450" i="6"/>
  <c r="K376" i="5"/>
  <c r="AB332" i="6"/>
  <c r="V269" i="5"/>
  <c r="GM164" i="1"/>
  <c r="H314" i="6"/>
  <c r="H321" i="6"/>
  <c r="T314" i="6"/>
  <c r="GM56" i="1"/>
  <c r="T128" i="5"/>
  <c r="AA166" i="6"/>
  <c r="GN63" i="1"/>
  <c r="AC83" i="1"/>
  <c r="GN31" i="1"/>
  <c r="AA84" i="6"/>
  <c r="T67" i="5"/>
  <c r="K63" i="5" s="1"/>
  <c r="GO178" i="1"/>
  <c r="GM65" i="1"/>
  <c r="GN40" i="1"/>
  <c r="GN76" i="1"/>
  <c r="G408" i="6"/>
  <c r="G415" i="6"/>
  <c r="W230" i="6"/>
  <c r="K183" i="5"/>
  <c r="CP69" i="1"/>
  <c r="O69" i="1" s="1"/>
  <c r="H477" i="6"/>
  <c r="AA472" i="6"/>
  <c r="T397" i="5"/>
  <c r="K402" i="5" s="1"/>
  <c r="AA532" i="6"/>
  <c r="T457" i="5"/>
  <c r="J242" i="5"/>
  <c r="P242" i="5" s="1"/>
  <c r="G557" i="6"/>
  <c r="G561" i="6"/>
  <c r="H74" i="6"/>
  <c r="H81" i="6"/>
  <c r="T74" i="6"/>
  <c r="GM33" i="1"/>
  <c r="J42" i="5"/>
  <c r="P42" i="5" s="1"/>
  <c r="Y607" i="6"/>
  <c r="AH246" i="1"/>
  <c r="T538" i="6"/>
  <c r="H538" i="6"/>
  <c r="K460" i="5"/>
  <c r="W322" i="6"/>
  <c r="K263" i="5"/>
  <c r="K127" i="5"/>
  <c r="H164" i="6"/>
  <c r="T164" i="6"/>
  <c r="AB144" i="6"/>
  <c r="V117" i="5"/>
  <c r="K102" i="5"/>
  <c r="AB54" i="6"/>
  <c r="H60" i="6"/>
  <c r="V43" i="5"/>
  <c r="K49" i="5" s="1"/>
  <c r="AB472" i="6"/>
  <c r="H478" i="6"/>
  <c r="V397" i="5"/>
  <c r="K403" i="5" s="1"/>
  <c r="W392" i="6"/>
  <c r="K326" i="5"/>
  <c r="CP162" i="1"/>
  <c r="O162" i="1" s="1"/>
  <c r="H242" i="6"/>
  <c r="T242" i="6"/>
  <c r="K190" i="5"/>
  <c r="GN33" i="1"/>
  <c r="H519" i="6"/>
  <c r="AA514" i="6"/>
  <c r="T440" i="5"/>
  <c r="W408" i="6"/>
  <c r="K341" i="5"/>
  <c r="K374" i="5"/>
  <c r="GN42" i="1"/>
  <c r="W254" i="6"/>
  <c r="K204" i="5"/>
  <c r="CP73" i="1"/>
  <c r="O73" i="1" s="1"/>
  <c r="GM73" i="1" s="1"/>
  <c r="T152" i="6"/>
  <c r="H152" i="6"/>
  <c r="K121" i="5"/>
  <c r="GN49" i="1"/>
  <c r="AB244" i="6"/>
  <c r="H251" i="6"/>
  <c r="V192" i="5"/>
  <c r="K198" i="5" s="1"/>
  <c r="W106" i="6"/>
  <c r="K89" i="5"/>
  <c r="J95" i="5" s="1"/>
  <c r="P95" i="5" s="1"/>
  <c r="T552" i="6"/>
  <c r="H534" i="6"/>
  <c r="T534" i="6"/>
  <c r="K458" i="5"/>
  <c r="H397" i="6"/>
  <c r="AA392" i="6"/>
  <c r="T323" i="5"/>
  <c r="K328" i="5" s="1"/>
  <c r="AA346" i="6"/>
  <c r="T280" i="5"/>
  <c r="AB204" i="6"/>
  <c r="V159" i="5"/>
  <c r="K165" i="5" s="1"/>
  <c r="H210" i="6"/>
  <c r="W96" i="6"/>
  <c r="K80" i="5"/>
  <c r="J86" i="5" s="1"/>
  <c r="P86" i="5" s="1"/>
  <c r="CP37" i="1"/>
  <c r="O37" i="1" s="1"/>
  <c r="G502" i="6"/>
  <c r="G509" i="6"/>
  <c r="AB228" i="6"/>
  <c r="V179" i="5"/>
  <c r="G271" i="5"/>
  <c r="O271" i="5" s="1"/>
  <c r="G301" i="5" s="1"/>
  <c r="AB540" i="6"/>
  <c r="V461" i="5"/>
  <c r="K455" i="5" s="1"/>
  <c r="W384" i="6"/>
  <c r="K317" i="5"/>
  <c r="CP161" i="1"/>
  <c r="O161" i="1" s="1"/>
  <c r="K186" i="5"/>
  <c r="AB152" i="6"/>
  <c r="V121" i="5"/>
  <c r="AA522" i="6"/>
  <c r="T448" i="5"/>
  <c r="W336" i="6"/>
  <c r="K274" i="5"/>
  <c r="CP120" i="1"/>
  <c r="O120" i="1" s="1"/>
  <c r="T492" i="6"/>
  <c r="H499" i="6"/>
  <c r="H492" i="6"/>
  <c r="K277" i="5"/>
  <c r="T512" i="6"/>
  <c r="H512" i="6"/>
  <c r="K438" i="5"/>
  <c r="K48" i="5"/>
  <c r="H509" i="6"/>
  <c r="T502" i="6"/>
  <c r="H502" i="6"/>
  <c r="GK180" i="1"/>
  <c r="X500" i="6"/>
  <c r="AA254" i="6"/>
  <c r="H259" i="6"/>
  <c r="T201" i="5"/>
  <c r="K206" i="5" s="1"/>
  <c r="AD246" i="1"/>
  <c r="W607" i="6"/>
  <c r="AA597" i="6"/>
  <c r="T514" i="5"/>
  <c r="AA146" i="6"/>
  <c r="T118" i="5"/>
  <c r="H588" i="6"/>
  <c r="T581" i="6"/>
  <c r="H581" i="6"/>
  <c r="U460" i="6"/>
  <c r="CP172" i="1"/>
  <c r="O172" i="1" s="1"/>
  <c r="AA286" i="6"/>
  <c r="H291" i="6"/>
  <c r="T226" i="5"/>
  <c r="K231" i="5" s="1"/>
  <c r="G230" i="6"/>
  <c r="G239" i="6"/>
  <c r="H91" i="6"/>
  <c r="AA86" i="6"/>
  <c r="T69" i="5"/>
  <c r="K74" i="5" s="1"/>
  <c r="J77" i="5" s="1"/>
  <c r="P77" i="5" s="1"/>
  <c r="AA162" i="6"/>
  <c r="T126" i="5"/>
  <c r="H487" i="6"/>
  <c r="AA482" i="6"/>
  <c r="T407" i="5"/>
  <c r="K412" i="5" s="1"/>
  <c r="H177" i="6"/>
  <c r="T168" i="6"/>
  <c r="H168" i="6"/>
  <c r="GM57" i="1"/>
  <c r="AA524" i="6"/>
  <c r="H529" i="6"/>
  <c r="T450" i="5"/>
  <c r="W514" i="6"/>
  <c r="K442" i="5"/>
  <c r="CP184" i="1"/>
  <c r="O184" i="1" s="1"/>
  <c r="H381" i="6"/>
  <c r="AA376" i="6"/>
  <c r="T306" i="5"/>
  <c r="K310" i="5" s="1"/>
  <c r="J313" i="5" s="1"/>
  <c r="P313" i="5" s="1"/>
  <c r="G194" i="6"/>
  <c r="G203" i="6"/>
  <c r="AB156" i="6"/>
  <c r="V123" i="5"/>
  <c r="T346" i="6"/>
  <c r="H346" i="6"/>
  <c r="K280" i="5"/>
  <c r="H148" i="6"/>
  <c r="T148" i="6"/>
  <c r="K119" i="5"/>
  <c r="AB64" i="6"/>
  <c r="H71" i="6"/>
  <c r="V53" i="5"/>
  <c r="K56" i="5" s="1"/>
  <c r="G254" i="6"/>
  <c r="G263" i="6"/>
  <c r="H221" i="6"/>
  <c r="T170" i="5"/>
  <c r="K175" i="5" s="1"/>
  <c r="AA216" i="6"/>
  <c r="AB627" i="6"/>
  <c r="V542" i="5"/>
  <c r="T480" i="6"/>
  <c r="H480" i="6"/>
  <c r="K405" i="5"/>
  <c r="GK172" i="1"/>
  <c r="X460" i="6"/>
  <c r="W502" i="6"/>
  <c r="K431" i="5"/>
  <c r="T562" i="6"/>
  <c r="H562" i="6"/>
  <c r="H566" i="6"/>
  <c r="GP196" i="1"/>
  <c r="H564" i="6"/>
  <c r="AA562" i="6"/>
  <c r="T486" i="5"/>
  <c r="K488" i="5" s="1"/>
  <c r="J491" i="5" s="1"/>
  <c r="P491" i="5" s="1"/>
  <c r="GM186" i="1"/>
  <c r="H437" i="6"/>
  <c r="AA432" i="6"/>
  <c r="T359" i="5"/>
  <c r="AE199" i="1"/>
  <c r="T84" i="6"/>
  <c r="H84" i="6"/>
  <c r="K67" i="5"/>
  <c r="AB154" i="6"/>
  <c r="V122" i="5"/>
  <c r="GM43" i="1"/>
  <c r="AB132" i="6"/>
  <c r="V107" i="5"/>
  <c r="GM196" i="1"/>
  <c r="AB562" i="6"/>
  <c r="H565" i="6"/>
  <c r="V486" i="5"/>
  <c r="K489" i="5" s="1"/>
  <c r="GO192" i="1"/>
  <c r="GN77" i="1"/>
  <c r="H154" i="6"/>
  <c r="T154" i="6"/>
  <c r="K122" i="5"/>
  <c r="AA332" i="6"/>
  <c r="T269" i="5"/>
  <c r="K266" i="5" s="1"/>
  <c r="GM236" i="1"/>
  <c r="AB84" i="6"/>
  <c r="V67" i="5"/>
  <c r="K64" i="5" s="1"/>
  <c r="GN65" i="1"/>
  <c r="CY168" i="1"/>
  <c r="X168" i="1" s="1"/>
  <c r="V440" i="6"/>
  <c r="CZ168" i="1"/>
  <c r="Y168" i="1" s="1"/>
  <c r="AB274" i="6"/>
  <c r="H281" i="6"/>
  <c r="V217" i="5"/>
  <c r="K222" i="5" s="1"/>
  <c r="K195" i="5"/>
  <c r="W244" i="6"/>
  <c r="CP72" i="1"/>
  <c r="O72" i="1" s="1"/>
  <c r="H488" i="6"/>
  <c r="AB482" i="6"/>
  <c r="V407" i="5"/>
  <c r="K413" i="5" s="1"/>
  <c r="G22" i="5"/>
  <c r="H596" i="6"/>
  <c r="T589" i="6"/>
  <c r="H589" i="6"/>
  <c r="T286" i="6"/>
  <c r="H82" i="6"/>
  <c r="T82" i="6"/>
  <c r="K66" i="5"/>
  <c r="AB148" i="6"/>
  <c r="V119" i="5"/>
  <c r="AB599" i="6"/>
  <c r="H605" i="6"/>
  <c r="V516" i="5"/>
  <c r="H368" i="6"/>
  <c r="AB362" i="6"/>
  <c r="V293" i="5"/>
  <c r="K297" i="5" s="1"/>
  <c r="J299" i="5" s="1"/>
  <c r="P299" i="5" s="1"/>
  <c r="GM240" i="1"/>
  <c r="GM194" i="1"/>
  <c r="H555" i="6"/>
  <c r="AB552" i="6"/>
  <c r="V474" i="5"/>
  <c r="K477" i="5" s="1"/>
  <c r="AA502" i="6"/>
  <c r="H507" i="6"/>
  <c r="T428" i="5"/>
  <c r="GM124" i="1"/>
  <c r="AA360" i="6"/>
  <c r="T291" i="5"/>
  <c r="K288" i="5" s="1"/>
  <c r="H261" i="6"/>
  <c r="AB254" i="6"/>
  <c r="V201" i="5"/>
  <c r="K207" i="5" s="1"/>
  <c r="GN51" i="1"/>
  <c r="CP52" i="1"/>
  <c r="O52" i="1" s="1"/>
  <c r="W158" i="6"/>
  <c r="GM47" i="1"/>
  <c r="GM189" i="1"/>
  <c r="AB360" i="6"/>
  <c r="V291" i="5"/>
  <c r="K289" i="5" s="1"/>
  <c r="CP167" i="1"/>
  <c r="O167" i="1" s="1"/>
  <c r="W432" i="6"/>
  <c r="K362" i="5"/>
  <c r="H53" i="6"/>
  <c r="T46" i="6"/>
  <c r="H46" i="6"/>
  <c r="AB597" i="6"/>
  <c r="V514" i="5"/>
  <c r="GM197" i="1"/>
  <c r="GK182" i="1"/>
  <c r="X510" i="6"/>
  <c r="AB146" i="6"/>
  <c r="V118" i="5"/>
  <c r="AI246" i="1"/>
  <c r="V246" i="1" s="1"/>
  <c r="Z607" i="6"/>
  <c r="GN160" i="1"/>
  <c r="GM121" i="1"/>
  <c r="AB346" i="6"/>
  <c r="V280" i="5"/>
  <c r="H329" i="6"/>
  <c r="AB322" i="6"/>
  <c r="V261" i="5"/>
  <c r="GM63" i="1"/>
  <c r="H115" i="6"/>
  <c r="T106" i="6"/>
  <c r="H106" i="6"/>
  <c r="GM31" i="1"/>
  <c r="GM64" i="1"/>
  <c r="GO176" i="1"/>
  <c r="GN121" i="1"/>
  <c r="GN125" i="1"/>
  <c r="GN48" i="1"/>
  <c r="AI199" i="1"/>
  <c r="AI158" i="1" s="1"/>
  <c r="GM76" i="1"/>
  <c r="T532" i="6"/>
  <c r="H532" i="6"/>
  <c r="K457" i="5"/>
  <c r="GM187" i="1"/>
  <c r="GO187" i="1"/>
  <c r="J235" i="5"/>
  <c r="P235" i="5" s="1"/>
  <c r="G416" i="5"/>
  <c r="O416" i="5" s="1"/>
  <c r="J352" i="5"/>
  <c r="P352" i="5" s="1"/>
  <c r="G129" i="5"/>
  <c r="O129" i="5" s="1"/>
  <c r="W129" i="5"/>
  <c r="X427" i="5"/>
  <c r="H594" i="6"/>
  <c r="AA589" i="6"/>
  <c r="T508" i="5"/>
  <c r="AA452" i="6"/>
  <c r="H457" i="6"/>
  <c r="T378" i="5"/>
  <c r="G424" i="6"/>
  <c r="G431" i="6"/>
  <c r="H413" i="6"/>
  <c r="AA408" i="6"/>
  <c r="T339" i="5"/>
  <c r="K343" i="5" s="1"/>
  <c r="H350" i="6"/>
  <c r="H359" i="6"/>
  <c r="T350" i="6"/>
  <c r="GN57" i="1"/>
  <c r="H173" i="6"/>
  <c r="AA168" i="6"/>
  <c r="T130" i="5"/>
  <c r="T156" i="6"/>
  <c r="G96" i="6"/>
  <c r="G105" i="6"/>
  <c r="G235" i="5"/>
  <c r="O235" i="5" s="1"/>
  <c r="X532" i="5"/>
  <c r="T376" i="6"/>
  <c r="H389" i="6"/>
  <c r="AA384" i="6"/>
  <c r="T314" i="5"/>
  <c r="K319" i="5" s="1"/>
  <c r="W619" i="6"/>
  <c r="K536" i="5"/>
  <c r="CP242" i="1"/>
  <c r="O242" i="1" s="1"/>
  <c r="H69" i="6"/>
  <c r="AA64" i="6"/>
  <c r="T53" i="5"/>
  <c r="K55" i="5" s="1"/>
  <c r="J58" i="5" s="1"/>
  <c r="P58" i="5" s="1"/>
  <c r="H369" i="6"/>
  <c r="T362" i="6"/>
  <c r="H362" i="6"/>
  <c r="W314" i="6"/>
  <c r="K255" i="5"/>
  <c r="G452" i="6"/>
  <c r="G459" i="6"/>
  <c r="H283" i="6"/>
  <c r="AA38" i="6"/>
  <c r="T29" i="5"/>
  <c r="K31" i="5" s="1"/>
  <c r="J34" i="5" s="1"/>
  <c r="P34" i="5" s="1"/>
  <c r="H43" i="6"/>
  <c r="H405" i="6"/>
  <c r="AA400" i="6"/>
  <c r="T332" i="5"/>
  <c r="K335" i="5" s="1"/>
  <c r="J338" i="5" s="1"/>
  <c r="P338" i="5" s="1"/>
  <c r="T294" i="6"/>
  <c r="H294" i="6"/>
  <c r="K234" i="5"/>
  <c r="GN78" i="1"/>
  <c r="J149" i="5"/>
  <c r="P149" i="5" s="1"/>
  <c r="H606" i="6"/>
  <c r="T599" i="6"/>
  <c r="H599" i="6"/>
  <c r="H360" i="6"/>
  <c r="T360" i="6"/>
  <c r="K291" i="5"/>
  <c r="K221" i="5"/>
  <c r="J225" i="5" s="1"/>
  <c r="P225" i="5" s="1"/>
  <c r="T240" i="6"/>
  <c r="H240" i="6"/>
  <c r="K189" i="5"/>
  <c r="H211" i="6"/>
  <c r="T204" i="6"/>
  <c r="H204" i="6"/>
  <c r="G439" i="5"/>
  <c r="O439" i="5" s="1"/>
  <c r="H86" i="6"/>
  <c r="H95" i="6"/>
  <c r="T86" i="6"/>
  <c r="GN36" i="1"/>
  <c r="G567" i="6"/>
  <c r="G571" i="6"/>
  <c r="G108" i="5"/>
  <c r="O108" i="5" s="1"/>
  <c r="G16" i="5" s="1"/>
  <c r="H162" i="6"/>
  <c r="T162" i="6"/>
  <c r="K126" i="5"/>
  <c r="K529" i="5"/>
  <c r="J532" i="5" s="1"/>
  <c r="P532" i="5" s="1"/>
  <c r="GM173" i="1"/>
  <c r="H467" i="6"/>
  <c r="AA462" i="6"/>
  <c r="T389" i="5"/>
  <c r="K392" i="5" s="1"/>
  <c r="J396" i="5" s="1"/>
  <c r="P396" i="5" s="1"/>
  <c r="K278" i="5"/>
  <c r="GM36" i="1"/>
  <c r="K152" i="5"/>
  <c r="W194" i="6"/>
  <c r="CP62" i="1"/>
  <c r="O62" i="1" s="1"/>
  <c r="H469" i="6"/>
  <c r="T462" i="6"/>
  <c r="H462" i="6"/>
  <c r="GO173" i="1"/>
  <c r="X473" i="5"/>
  <c r="H550" i="6"/>
  <c r="T550" i="6"/>
  <c r="K472" i="5"/>
  <c r="K539" i="5"/>
  <c r="GO177" i="1"/>
  <c r="H73" i="6"/>
  <c r="CJ158" i="1"/>
  <c r="BA199" i="1"/>
  <c r="AG26" i="1"/>
  <c r="T83" i="1"/>
  <c r="AP22" i="1"/>
  <c r="F284" i="1"/>
  <c r="AP307" i="1"/>
  <c r="AJ158" i="1"/>
  <c r="W199" i="1"/>
  <c r="U114" i="1"/>
  <c r="F149" i="1"/>
  <c r="AK127" i="1"/>
  <c r="GO237" i="1"/>
  <c r="GM237" i="1"/>
  <c r="AZ26" i="1"/>
  <c r="F94" i="1"/>
  <c r="AJ26" i="1"/>
  <c r="W83" i="1"/>
  <c r="AF114" i="1"/>
  <c r="S127" i="1"/>
  <c r="AI233" i="1"/>
  <c r="GN117" i="1"/>
  <c r="GM117" i="1"/>
  <c r="GN73" i="1"/>
  <c r="AD199" i="1"/>
  <c r="AE114" i="1"/>
  <c r="R127" i="1"/>
  <c r="AX26" i="1"/>
  <c r="F90" i="1"/>
  <c r="AX275" i="1"/>
  <c r="AZ158" i="1"/>
  <c r="F210" i="1"/>
  <c r="CP59" i="1"/>
  <c r="O59" i="1" s="1"/>
  <c r="AE26" i="1"/>
  <c r="R83" i="1"/>
  <c r="CP239" i="1"/>
  <c r="O239" i="1" s="1"/>
  <c r="AB246" i="1" s="1"/>
  <c r="CP180" i="1"/>
  <c r="O180" i="1" s="1"/>
  <c r="GP194" i="1"/>
  <c r="CD199" i="1" s="1"/>
  <c r="GN124" i="1"/>
  <c r="AD83" i="1"/>
  <c r="CY239" i="1"/>
  <c r="X239" i="1" s="1"/>
  <c r="CZ239" i="1"/>
  <c r="Y239" i="1" s="1"/>
  <c r="GM235" i="1"/>
  <c r="GO235" i="1"/>
  <c r="CB199" i="1"/>
  <c r="GM119" i="1"/>
  <c r="GN119" i="1"/>
  <c r="GM118" i="1"/>
  <c r="GN118" i="1"/>
  <c r="P127" i="1"/>
  <c r="CF127" i="1"/>
  <c r="CH127" i="1"/>
  <c r="AC114" i="1"/>
  <c r="CE127" i="1"/>
  <c r="AQ22" i="1"/>
  <c r="AQ307" i="1"/>
  <c r="F285" i="1"/>
  <c r="AL114" i="1"/>
  <c r="GM52" i="1"/>
  <c r="GN52" i="1"/>
  <c r="CJ26" i="1"/>
  <c r="BA83" i="1"/>
  <c r="AH158" i="1"/>
  <c r="U199" i="1"/>
  <c r="F151" i="1"/>
  <c r="W114" i="1"/>
  <c r="GM29" i="1"/>
  <c r="GN29" i="1"/>
  <c r="AB83" i="1"/>
  <c r="GM179" i="1"/>
  <c r="GO161" i="1"/>
  <c r="AG158" i="1"/>
  <c r="T199" i="1"/>
  <c r="AZ114" i="1"/>
  <c r="F138" i="1"/>
  <c r="AG233" i="1"/>
  <c r="T246" i="1"/>
  <c r="AP233" i="1"/>
  <c r="F255" i="1"/>
  <c r="V114" i="1"/>
  <c r="F150" i="1"/>
  <c r="BA114" i="1"/>
  <c r="F147" i="1"/>
  <c r="BB22" i="1"/>
  <c r="BB307" i="1"/>
  <c r="F288" i="1"/>
  <c r="GN116" i="1"/>
  <c r="GM116" i="1"/>
  <c r="AB127" i="1"/>
  <c r="AT26" i="1"/>
  <c r="F101" i="1"/>
  <c r="AC26" i="1"/>
  <c r="CE83" i="1"/>
  <c r="CF83" i="1"/>
  <c r="CH83" i="1"/>
  <c r="P83" i="1"/>
  <c r="W233" i="1"/>
  <c r="F270" i="1"/>
  <c r="AX158" i="1"/>
  <c r="F206" i="1"/>
  <c r="Q246" i="1"/>
  <c r="AD233" i="1"/>
  <c r="CP182" i="1"/>
  <c r="O182" i="1" s="1"/>
  <c r="AD114" i="1"/>
  <c r="Q127" i="1"/>
  <c r="BC22" i="1"/>
  <c r="F291" i="1"/>
  <c r="BC307" i="1"/>
  <c r="GM46" i="1"/>
  <c r="GN46" i="1"/>
  <c r="GN50" i="1"/>
  <c r="GM50" i="1"/>
  <c r="AC199" i="1"/>
  <c r="CY180" i="1"/>
  <c r="X180" i="1" s="1"/>
  <c r="CZ180" i="1"/>
  <c r="Y180" i="1" s="1"/>
  <c r="AX233" i="1"/>
  <c r="F253" i="1"/>
  <c r="GK239" i="1"/>
  <c r="AE246" i="1"/>
  <c r="AZ246" i="1"/>
  <c r="AZ275" i="1" s="1"/>
  <c r="CI233" i="1"/>
  <c r="AO22" i="1"/>
  <c r="AO307" i="1"/>
  <c r="F279" i="1"/>
  <c r="GM38" i="1"/>
  <c r="GN38" i="1"/>
  <c r="AF199" i="1"/>
  <c r="T114" i="1"/>
  <c r="F148" i="1"/>
  <c r="GN58" i="1"/>
  <c r="AE158" i="1"/>
  <c r="R199" i="1"/>
  <c r="CJ233" i="1"/>
  <c r="BA246" i="1"/>
  <c r="GO181" i="1"/>
  <c r="GM181" i="1"/>
  <c r="GM35" i="1"/>
  <c r="GN35" i="1"/>
  <c r="V83" i="1"/>
  <c r="AH26" i="1"/>
  <c r="U83" i="1"/>
  <c r="GO170" i="1"/>
  <c r="GM170" i="1"/>
  <c r="CZ182" i="1"/>
  <c r="Y182" i="1" s="1"/>
  <c r="CY182" i="1"/>
  <c r="X182" i="1" s="1"/>
  <c r="CY59" i="1"/>
  <c r="X59" i="1" s="1"/>
  <c r="AK83" i="1" s="1"/>
  <c r="CZ59" i="1"/>
  <c r="Y59" i="1" s="1"/>
  <c r="CE246" i="1"/>
  <c r="AC233" i="1"/>
  <c r="CH246" i="1"/>
  <c r="P246" i="1"/>
  <c r="CF246" i="1"/>
  <c r="AF83" i="1"/>
  <c r="S246" i="1"/>
  <c r="J108" i="5" l="1"/>
  <c r="P108" i="5" s="1"/>
  <c r="J292" i="5"/>
  <c r="P292" i="5" s="1"/>
  <c r="J416" i="5"/>
  <c r="P416" i="5" s="1"/>
  <c r="J322" i="5"/>
  <c r="P322" i="5" s="1"/>
  <c r="J200" i="5"/>
  <c r="P200" i="5" s="1"/>
  <c r="J377" i="5"/>
  <c r="P377" i="5" s="1"/>
  <c r="G248" i="5"/>
  <c r="J169" i="5"/>
  <c r="P169" i="5" s="1"/>
  <c r="K540" i="5"/>
  <c r="G499" i="5"/>
  <c r="K115" i="5"/>
  <c r="J331" i="5"/>
  <c r="P331" i="5" s="1"/>
  <c r="J479" i="5"/>
  <c r="P479" i="5" s="1"/>
  <c r="J191" i="5"/>
  <c r="P191" i="5" s="1"/>
  <c r="K114" i="5"/>
  <c r="J282" i="5"/>
  <c r="P282" i="5" s="1"/>
  <c r="J209" i="5"/>
  <c r="P209" i="5" s="1"/>
  <c r="J346" i="5"/>
  <c r="P346" i="5" s="1"/>
  <c r="G17" i="5"/>
  <c r="J68" i="5"/>
  <c r="P68" i="5" s="1"/>
  <c r="AB180" i="6"/>
  <c r="V138" i="5"/>
  <c r="K135" i="5" s="1"/>
  <c r="H432" i="6"/>
  <c r="H439" i="6"/>
  <c r="T432" i="6"/>
  <c r="H514" i="6"/>
  <c r="H521" i="6"/>
  <c r="T514" i="6"/>
  <c r="GO184" i="1"/>
  <c r="GM184" i="1"/>
  <c r="H345" i="6"/>
  <c r="T336" i="6"/>
  <c r="H336" i="6"/>
  <c r="GM120" i="1"/>
  <c r="GN120" i="1"/>
  <c r="T452" i="6"/>
  <c r="H459" i="6"/>
  <c r="H452" i="6"/>
  <c r="GM171" i="1"/>
  <c r="GO171" i="1"/>
  <c r="CA127" i="1"/>
  <c r="AR127" i="1" s="1"/>
  <c r="GM167" i="1"/>
  <c r="H203" i="6"/>
  <c r="T194" i="6"/>
  <c r="H194" i="6"/>
  <c r="GN62" i="1"/>
  <c r="GM62" i="1"/>
  <c r="H472" i="6"/>
  <c r="H479" i="6"/>
  <c r="T472" i="6"/>
  <c r="GM175" i="1"/>
  <c r="GO175" i="1"/>
  <c r="V199" i="1"/>
  <c r="AA510" i="6"/>
  <c r="T437" i="5"/>
  <c r="K434" i="5" s="1"/>
  <c r="AL83" i="1"/>
  <c r="AL26" i="1" s="1"/>
  <c r="AL199" i="1"/>
  <c r="Y199" i="1" s="1"/>
  <c r="V426" i="5"/>
  <c r="K424" i="5" s="1"/>
  <c r="AB500" i="6"/>
  <c r="T510" i="6"/>
  <c r="H573" i="6" s="1"/>
  <c r="K437" i="5"/>
  <c r="H510" i="6"/>
  <c r="CB127" i="1"/>
  <c r="AK246" i="1"/>
  <c r="AK233" i="1" s="1"/>
  <c r="AA607" i="6"/>
  <c r="T523" i="5"/>
  <c r="K520" i="5" s="1"/>
  <c r="T500" i="6"/>
  <c r="H500" i="6"/>
  <c r="K426" i="5"/>
  <c r="H180" i="6"/>
  <c r="T180" i="6"/>
  <c r="K138" i="5"/>
  <c r="GO167" i="1"/>
  <c r="T619" i="6"/>
  <c r="H619" i="6"/>
  <c r="H626" i="6"/>
  <c r="GO242" i="1"/>
  <c r="K511" i="5"/>
  <c r="T158" i="6"/>
  <c r="H309" i="6" s="1"/>
  <c r="K124" i="5"/>
  <c r="J129" i="5" s="1"/>
  <c r="P129" i="5" s="1"/>
  <c r="H158" i="6"/>
  <c r="H384" i="6"/>
  <c r="T384" i="6"/>
  <c r="H391" i="6"/>
  <c r="H105" i="6"/>
  <c r="H96" i="6"/>
  <c r="T96" i="6"/>
  <c r="H642" i="6" s="1"/>
  <c r="GM37" i="1"/>
  <c r="GN37" i="1"/>
  <c r="H392" i="6"/>
  <c r="H399" i="6"/>
  <c r="T392" i="6"/>
  <c r="GM162" i="1"/>
  <c r="GO162" i="1"/>
  <c r="J52" i="5"/>
  <c r="P52" i="5" s="1"/>
  <c r="K176" i="5"/>
  <c r="J180" i="5" s="1"/>
  <c r="P180" i="5" s="1"/>
  <c r="K512" i="5"/>
  <c r="G16" i="2"/>
  <c r="G18" i="2" s="1"/>
  <c r="I19" i="5"/>
  <c r="H460" i="6"/>
  <c r="T460" i="6"/>
  <c r="K387" i="5"/>
  <c r="GO172" i="1"/>
  <c r="GM172" i="1"/>
  <c r="H371" i="6"/>
  <c r="H216" i="6"/>
  <c r="T216" i="6"/>
  <c r="H225" i="6"/>
  <c r="GM66" i="1"/>
  <c r="GN66" i="1"/>
  <c r="AA180" i="6"/>
  <c r="T138" i="5"/>
  <c r="K134" i="5" s="1"/>
  <c r="AL246" i="1"/>
  <c r="AB607" i="6"/>
  <c r="V523" i="5"/>
  <c r="K521" i="5" s="1"/>
  <c r="AB440" i="6"/>
  <c r="V368" i="5"/>
  <c r="K366" i="5" s="1"/>
  <c r="U246" i="1"/>
  <c r="AH233" i="1"/>
  <c r="AB510" i="6"/>
  <c r="V437" i="5"/>
  <c r="K435" i="5" s="1"/>
  <c r="AK199" i="1"/>
  <c r="T426" i="5"/>
  <c r="K423" i="5" s="1"/>
  <c r="AA500" i="6"/>
  <c r="T607" i="6"/>
  <c r="H607" i="6"/>
  <c r="K523" i="5"/>
  <c r="J260" i="5"/>
  <c r="P260" i="5" s="1"/>
  <c r="J543" i="5"/>
  <c r="P543" i="5" s="1"/>
  <c r="K384" i="5"/>
  <c r="J388" i="5" s="1"/>
  <c r="P388" i="5" s="1"/>
  <c r="K267" i="5"/>
  <c r="J271" i="5" s="1"/>
  <c r="P271" i="5" s="1"/>
  <c r="J301" i="5" s="1"/>
  <c r="T244" i="6"/>
  <c r="H253" i="6"/>
  <c r="H244" i="6"/>
  <c r="GM72" i="1"/>
  <c r="GN72" i="1"/>
  <c r="AA440" i="6"/>
  <c r="T368" i="5"/>
  <c r="K365" i="5" s="1"/>
  <c r="K454" i="5"/>
  <c r="J462" i="5" s="1"/>
  <c r="P462" i="5" s="1"/>
  <c r="H638" i="6"/>
  <c r="H263" i="6"/>
  <c r="H254" i="6"/>
  <c r="T254" i="6"/>
  <c r="K445" i="5"/>
  <c r="J449" i="5" s="1"/>
  <c r="P449" i="5" s="1"/>
  <c r="H239" i="6"/>
  <c r="T230" i="6"/>
  <c r="H230" i="6"/>
  <c r="GM69" i="1"/>
  <c r="GN69" i="1"/>
  <c r="J473" i="5"/>
  <c r="P473" i="5" s="1"/>
  <c r="AB460" i="6"/>
  <c r="V387" i="5"/>
  <c r="K385" i="5" s="1"/>
  <c r="H440" i="6"/>
  <c r="T440" i="6"/>
  <c r="K368" i="5"/>
  <c r="GO168" i="1"/>
  <c r="GM168" i="1"/>
  <c r="G18" i="5"/>
  <c r="J406" i="5"/>
  <c r="P406" i="5" s="1"/>
  <c r="AK158" i="1"/>
  <c r="X199" i="1"/>
  <c r="AL158" i="1"/>
  <c r="Y83" i="1"/>
  <c r="CH26" i="1"/>
  <c r="AY83" i="1"/>
  <c r="CF233" i="1"/>
  <c r="AW246" i="1"/>
  <c r="CE233" i="1"/>
  <c r="AV246" i="1"/>
  <c r="CF26" i="1"/>
  <c r="AW83" i="1"/>
  <c r="AB26" i="1"/>
  <c r="O83" i="1"/>
  <c r="P233" i="1"/>
  <c r="F249" i="1"/>
  <c r="V26" i="1"/>
  <c r="F106" i="1"/>
  <c r="V275" i="1"/>
  <c r="R158" i="1"/>
  <c r="F213" i="1"/>
  <c r="Q114" i="1"/>
  <c r="F139" i="1"/>
  <c r="CE26" i="1"/>
  <c r="AV83" i="1"/>
  <c r="AV127" i="1"/>
  <c r="CE114" i="1"/>
  <c r="R26" i="1"/>
  <c r="F97" i="1"/>
  <c r="R114" i="1"/>
  <c r="F141" i="1"/>
  <c r="AZ22" i="1"/>
  <c r="F286" i="1"/>
  <c r="AZ307" i="1"/>
  <c r="AK26" i="1"/>
  <c r="X83" i="1"/>
  <c r="CH233" i="1"/>
  <c r="AY246" i="1"/>
  <c r="AF158" i="1"/>
  <c r="S199" i="1"/>
  <c r="AZ233" i="1"/>
  <c r="F257" i="1"/>
  <c r="BC18" i="1"/>
  <c r="F323" i="1"/>
  <c r="P26" i="1"/>
  <c r="F86" i="1"/>
  <c r="AB114" i="1"/>
  <c r="O127" i="1"/>
  <c r="BB18" i="1"/>
  <c r="F320" i="1"/>
  <c r="AQ18" i="1"/>
  <c r="F317" i="1"/>
  <c r="CB158" i="1"/>
  <c r="AS199" i="1"/>
  <c r="Y246" i="1"/>
  <c r="AL233" i="1"/>
  <c r="CD158" i="1"/>
  <c r="AU199" i="1"/>
  <c r="AX22" i="1"/>
  <c r="F282" i="1"/>
  <c r="AX307" i="1"/>
  <c r="F142" i="1"/>
  <c r="S114" i="1"/>
  <c r="T26" i="1"/>
  <c r="F104" i="1"/>
  <c r="T275" i="1"/>
  <c r="V158" i="1"/>
  <c r="F222" i="1"/>
  <c r="F266" i="1"/>
  <c r="BA233" i="1"/>
  <c r="CA114" i="1"/>
  <c r="BA26" i="1"/>
  <c r="F103" i="1"/>
  <c r="BA275" i="1"/>
  <c r="Y114" i="1"/>
  <c r="F153" i="1"/>
  <c r="CH114" i="1"/>
  <c r="AY127" i="1"/>
  <c r="AB233" i="1"/>
  <c r="O246" i="1"/>
  <c r="GO180" i="1"/>
  <c r="CC199" i="1" s="1"/>
  <c r="GM180" i="1"/>
  <c r="GN59" i="1"/>
  <c r="GM59" i="1"/>
  <c r="CA83" i="1" s="1"/>
  <c r="AD158" i="1"/>
  <c r="Q199" i="1"/>
  <c r="AB199" i="1"/>
  <c r="W26" i="1"/>
  <c r="F107" i="1"/>
  <c r="W275" i="1"/>
  <c r="W158" i="1"/>
  <c r="F223" i="1"/>
  <c r="AP18" i="1"/>
  <c r="F316" i="1"/>
  <c r="AF26" i="1"/>
  <c r="S83" i="1"/>
  <c r="U26" i="1"/>
  <c r="F105" i="1"/>
  <c r="U275" i="1"/>
  <c r="AO18" i="1"/>
  <c r="F311" i="1"/>
  <c r="GM182" i="1"/>
  <c r="GO182" i="1"/>
  <c r="CB114" i="1"/>
  <c r="AS127" i="1"/>
  <c r="AD26" i="1"/>
  <c r="Q83" i="1"/>
  <c r="GO239" i="1"/>
  <c r="CC246" i="1" s="1"/>
  <c r="GM239" i="1"/>
  <c r="CA246" i="1" s="1"/>
  <c r="V233" i="1"/>
  <c r="F269" i="1"/>
  <c r="X127" i="1"/>
  <c r="AK114" i="1"/>
  <c r="BA158" i="1"/>
  <c r="F219" i="1"/>
  <c r="AE233" i="1"/>
  <c r="R246" i="1"/>
  <c r="T233" i="1"/>
  <c r="F267" i="1"/>
  <c r="T158" i="1"/>
  <c r="F220" i="1"/>
  <c r="CF114" i="1"/>
  <c r="AW127" i="1"/>
  <c r="S233" i="1"/>
  <c r="F261" i="1"/>
  <c r="AC158" i="1"/>
  <c r="CE199" i="1"/>
  <c r="P199" i="1"/>
  <c r="CF199" i="1"/>
  <c r="CH199" i="1"/>
  <c r="F258" i="1"/>
  <c r="Q233" i="1"/>
  <c r="U158" i="1"/>
  <c r="F221" i="1"/>
  <c r="P114" i="1"/>
  <c r="F130" i="1"/>
  <c r="J140" i="5" l="1"/>
  <c r="P140" i="5" s="1"/>
  <c r="J369" i="5"/>
  <c r="P369" i="5" s="1"/>
  <c r="J439" i="5"/>
  <c r="P439" i="5" s="1"/>
  <c r="J427" i="5"/>
  <c r="P427" i="5" s="1"/>
  <c r="J248" i="5"/>
  <c r="J499" i="5"/>
  <c r="X246" i="1"/>
  <c r="CB83" i="1"/>
  <c r="CB26" i="1" s="1"/>
  <c r="F268" i="1"/>
  <c r="U233" i="1"/>
  <c r="J515" i="5"/>
  <c r="P515" i="5" s="1"/>
  <c r="J524" i="5"/>
  <c r="P524" i="5" s="1"/>
  <c r="CA199" i="1"/>
  <c r="CA158" i="1" s="1"/>
  <c r="CA233" i="1"/>
  <c r="AR246" i="1"/>
  <c r="CC158" i="1"/>
  <c r="AT199" i="1"/>
  <c r="CC233" i="1"/>
  <c r="AT246" i="1"/>
  <c r="CA26" i="1"/>
  <c r="AR83" i="1"/>
  <c r="AS83" i="1"/>
  <c r="F260" i="1"/>
  <c r="R233" i="1"/>
  <c r="AS114" i="1"/>
  <c r="F144" i="1"/>
  <c r="X158" i="1"/>
  <c r="F224" i="1"/>
  <c r="P158" i="1"/>
  <c r="F202" i="1"/>
  <c r="X114" i="1"/>
  <c r="F152" i="1"/>
  <c r="S26" i="1"/>
  <c r="F98" i="1"/>
  <c r="S275" i="1"/>
  <c r="X233" i="1"/>
  <c r="F271" i="1"/>
  <c r="F135" i="1"/>
  <c r="AY114" i="1"/>
  <c r="BA22" i="1"/>
  <c r="BA307" i="1"/>
  <c r="F295" i="1"/>
  <c r="AR114" i="1"/>
  <c r="F154" i="1"/>
  <c r="F272" i="1"/>
  <c r="Y233" i="1"/>
  <c r="O114" i="1"/>
  <c r="F129" i="1"/>
  <c r="R275" i="1"/>
  <c r="V22" i="1"/>
  <c r="F298" i="1"/>
  <c r="V307" i="1"/>
  <c r="AW26" i="1"/>
  <c r="F89" i="1"/>
  <c r="AW233" i="1"/>
  <c r="F252" i="1"/>
  <c r="Y26" i="1"/>
  <c r="F109" i="1"/>
  <c r="Y275" i="1"/>
  <c r="CE158" i="1"/>
  <c r="AV199" i="1"/>
  <c r="AW114" i="1"/>
  <c r="F133" i="1"/>
  <c r="Q26" i="1"/>
  <c r="F95" i="1"/>
  <c r="Q275" i="1"/>
  <c r="U22" i="1"/>
  <c r="F297" i="1"/>
  <c r="I21" i="5" s="1"/>
  <c r="G21" i="5" s="1"/>
  <c r="U307" i="1"/>
  <c r="AB158" i="1"/>
  <c r="O199" i="1"/>
  <c r="T22" i="1"/>
  <c r="F296" i="1"/>
  <c r="T307" i="1"/>
  <c r="AU158" i="1"/>
  <c r="F218" i="1"/>
  <c r="AU275" i="1"/>
  <c r="AS158" i="1"/>
  <c r="F216" i="1"/>
  <c r="S158" i="1"/>
  <c r="F214" i="1"/>
  <c r="X26" i="1"/>
  <c r="F108" i="1"/>
  <c r="X275" i="1"/>
  <c r="AV114" i="1"/>
  <c r="F132" i="1"/>
  <c r="CF158" i="1"/>
  <c r="AW199" i="1"/>
  <c r="AW275" i="1" s="1"/>
  <c r="AY233" i="1"/>
  <c r="F254" i="1"/>
  <c r="AZ18" i="1"/>
  <c r="F318" i="1"/>
  <c r="Y158" i="1"/>
  <c r="F225" i="1"/>
  <c r="CH158" i="1"/>
  <c r="AY199" i="1"/>
  <c r="AY275" i="1" s="1"/>
  <c r="W22" i="1"/>
  <c r="F299" i="1"/>
  <c r="W307" i="1"/>
  <c r="Q158" i="1"/>
  <c r="F211" i="1"/>
  <c r="O233" i="1"/>
  <c r="F248" i="1"/>
  <c r="AX18" i="1"/>
  <c r="F314" i="1"/>
  <c r="P275" i="1"/>
  <c r="AV26" i="1"/>
  <c r="F88" i="1"/>
  <c r="AV275" i="1"/>
  <c r="O26" i="1"/>
  <c r="F85" i="1"/>
  <c r="AV233" i="1"/>
  <c r="F251" i="1"/>
  <c r="AY26" i="1"/>
  <c r="F91" i="1"/>
  <c r="AR199" i="1" l="1"/>
  <c r="F226" i="1" s="1"/>
  <c r="F227" i="1" s="1"/>
  <c r="G576" i="6" s="1"/>
  <c r="J552" i="5"/>
  <c r="AY22" i="1"/>
  <c r="AY307" i="1"/>
  <c r="F283" i="1"/>
  <c r="AW22" i="1"/>
  <c r="AW307" i="1"/>
  <c r="F281" i="1"/>
  <c r="W18" i="1"/>
  <c r="F331" i="1"/>
  <c r="O158" i="1"/>
  <c r="F201" i="1"/>
  <c r="V18" i="1"/>
  <c r="F330" i="1"/>
  <c r="AR26" i="1"/>
  <c r="F110" i="1"/>
  <c r="AR275" i="1"/>
  <c r="AT158" i="1"/>
  <c r="F217" i="1"/>
  <c r="AT275" i="1"/>
  <c r="AR158" i="1"/>
  <c r="P22" i="1"/>
  <c r="F278" i="1"/>
  <c r="P307" i="1"/>
  <c r="T18" i="1"/>
  <c r="F328" i="1"/>
  <c r="Q22" i="1"/>
  <c r="Q307" i="1"/>
  <c r="F287" i="1"/>
  <c r="S22" i="1"/>
  <c r="F290" i="1"/>
  <c r="S307" i="1"/>
  <c r="AV22" i="1"/>
  <c r="AV307" i="1"/>
  <c r="F280" i="1"/>
  <c r="AU22" i="1"/>
  <c r="F294" i="1"/>
  <c r="AU307" i="1"/>
  <c r="U18" i="1"/>
  <c r="F329" i="1"/>
  <c r="AV158" i="1"/>
  <c r="F204" i="1"/>
  <c r="AS26" i="1"/>
  <c r="F100" i="1"/>
  <c r="AS275" i="1"/>
  <c r="F264" i="1"/>
  <c r="AT233" i="1"/>
  <c r="AR233" i="1"/>
  <c r="F273" i="1"/>
  <c r="Y22" i="1"/>
  <c r="F301" i="1"/>
  <c r="Y307" i="1"/>
  <c r="O275" i="1"/>
  <c r="AY158" i="1"/>
  <c r="F207" i="1"/>
  <c r="AW158" i="1"/>
  <c r="F205" i="1"/>
  <c r="X22" i="1"/>
  <c r="F300" i="1"/>
  <c r="X307" i="1"/>
  <c r="R22" i="1"/>
  <c r="R307" i="1"/>
  <c r="F289" i="1"/>
  <c r="BA18" i="1"/>
  <c r="F327" i="1"/>
  <c r="H16" i="2" l="1"/>
  <c r="H18" i="2" s="1"/>
  <c r="I20" i="5"/>
  <c r="J16" i="2"/>
  <c r="J18" i="2" s="1"/>
  <c r="I22" i="5"/>
  <c r="X18" i="1"/>
  <c r="F332" i="1"/>
  <c r="Y18" i="1"/>
  <c r="F333" i="1"/>
  <c r="S18" i="1"/>
  <c r="F322" i="1"/>
  <c r="Q18" i="1"/>
  <c r="F319" i="1"/>
  <c r="P18" i="1"/>
  <c r="F310" i="1"/>
  <c r="AR22" i="1"/>
  <c r="F302" i="1"/>
  <c r="F303" i="1" s="1"/>
  <c r="AR307" i="1"/>
  <c r="AT22" i="1"/>
  <c r="AT307" i="1"/>
  <c r="F293" i="1"/>
  <c r="AY18" i="1"/>
  <c r="F315" i="1"/>
  <c r="R18" i="1"/>
  <c r="F321" i="1"/>
  <c r="AU18" i="1"/>
  <c r="F326" i="1"/>
  <c r="AV18" i="1"/>
  <c r="F312" i="1"/>
  <c r="AW18" i="1"/>
  <c r="F313" i="1"/>
  <c r="O22" i="1"/>
  <c r="F277" i="1"/>
  <c r="O307" i="1"/>
  <c r="AS22" i="1"/>
  <c r="AS307" i="1"/>
  <c r="F292" i="1"/>
  <c r="F228" i="1"/>
  <c r="F229" i="1" l="1"/>
  <c r="G578" i="6" s="1"/>
  <c r="G577" i="6"/>
  <c r="E16" i="2"/>
  <c r="E18" i="2" s="1"/>
  <c r="I17" i="5"/>
  <c r="F16" i="2"/>
  <c r="F18" i="2" s="1"/>
  <c r="I18" i="5"/>
  <c r="G645" i="6"/>
  <c r="J553" i="5"/>
  <c r="AS18" i="1"/>
  <c r="F324" i="1"/>
  <c r="AT18" i="1"/>
  <c r="F325" i="1"/>
  <c r="O18" i="1"/>
  <c r="F309" i="1"/>
  <c r="AR18" i="1"/>
  <c r="F334" i="1"/>
  <c r="I16" i="2"/>
  <c r="I18" i="2" s="1"/>
  <c r="F304" i="1"/>
  <c r="F305" i="1" l="1"/>
  <c r="G646" i="6"/>
  <c r="J554" i="5"/>
  <c r="G647" i="6" l="1"/>
  <c r="J555" i="5"/>
  <c r="I16" i="5"/>
  <c r="F31" i="6"/>
</calcChain>
</file>

<file path=xl/sharedStrings.xml><?xml version="1.0" encoding="utf-8"?>
<sst xmlns="http://schemas.openxmlformats.org/spreadsheetml/2006/main" count="10530" uniqueCount="1031">
  <si>
    <t>Smeta.RU  (495) 974-1589</t>
  </si>
  <si>
    <t>_PS_</t>
  </si>
  <si>
    <t>Smeta.RU</t>
  </si>
  <si>
    <t/>
  </si>
  <si>
    <t>Новый объект_(Копия)_(Копия)</t>
  </si>
  <si>
    <t>на капитальный ремонт помещений  учебных аудиторий  4-го этажа Корпуса К НИЯУ МИФИ по адресу: г.Москва,Каширское шоссе,д.31,стр.46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</si>
  <si>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</si>
  <si>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</si>
  <si>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</si>
  <si>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</si>
  <si>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</si>
  <si>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</si>
  <si>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</si>
  <si>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1 Общестроительные работы</t>
  </si>
  <si>
    <t>1</t>
  </si>
  <si>
    <t>57-3-1</t>
  </si>
  <si>
    <t>Разборка плинтусов деревянных</t>
  </si>
  <si>
    <t>100 м</t>
  </si>
  <si>
    <t>ФЕР-2001, 57-3-1, приказ Минстроя России №1039/пр от 30.12.2016г.</t>
  </si>
  <si>
    <t>Ремонтно-строительные работы</t>
  </si>
  <si>
    <t>Полы</t>
  </si>
  <si>
    <t>рФЕР-57</t>
  </si>
  <si>
    <t>2</t>
  </si>
  <si>
    <t>57-2-1</t>
  </si>
  <si>
    <t>Разборка покрытий полов из линолеума</t>
  </si>
  <si>
    <t>100 м2</t>
  </si>
  <si>
    <t>ФЕР-2001, 57-2-1, приказ Минстроя России №1039/пр от 30.12.2016г.</t>
  </si>
  <si>
    <t>3</t>
  </si>
  <si>
    <t>65-33-1</t>
  </si>
  <si>
    <t>Смена жалюзийных решеток</t>
  </si>
  <si>
    <t>100 ШТ</t>
  </si>
  <si>
    <t>ФЕР-2001, 65-33-1, приказ Минстроя России №1039/пр от 30.12.2016г.</t>
  </si>
  <si>
    <t>Внтуренниие с/техработы: смена труб</t>
  </si>
  <si>
    <t>рФЕР-65</t>
  </si>
  <si>
    <t>3,1</t>
  </si>
  <si>
    <t>19.2.03.07-0028</t>
  </si>
  <si>
    <t>Решетки пластиковые вентиляционные прим.(согласно тех.заданию)</t>
  </si>
  <si>
    <t>шт.</t>
  </si>
  <si>
    <t>ФССЦ-2001, 19.2.03.07-0028, приказ Минстроя России №1039/пр от 30.12.2016г.</t>
  </si>
  <si>
    <t>4</t>
  </si>
  <si>
    <t>46-02-009-02</t>
  </si>
  <si>
    <t>Отбивка штукатурки с поверхностей стен</t>
  </si>
  <si>
    <t>ФЕР-2001, 46-02-009-02,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</si>
  <si>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</si>
  <si>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</si>
  <si>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</si>
  <si>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</si>
  <si>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</si>
  <si>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5</t>
  </si>
  <si>
    <t>57-10-3</t>
  </si>
  <si>
    <t>Заделка выбоин в полах цементных площадью до 1,0 м2</t>
  </si>
  <si>
    <t>100 мест</t>
  </si>
  <si>
    <t>ФЕР-2001, 57-10-3, приказ Минстроя России №1039/пр от 30.12.2016г.</t>
  </si>
  <si>
    <t>5,1</t>
  </si>
  <si>
    <t>04.3.01.09</t>
  </si>
  <si>
    <t>Раствор готовый кладочный тяжелый цементный</t>
  </si>
  <si>
    <t>м3</t>
  </si>
  <si>
    <t>5,2</t>
  </si>
  <si>
    <t>04.3.01.09-0015</t>
  </si>
  <si>
    <t>Раствор готовый кладочный цементный марки 150</t>
  </si>
  <si>
    <t>ФССЦ-2001, 04.3.01.09-0015, приказ Минстроя России №1039/пр от 30.12.2016г.</t>
  </si>
  <si>
    <t>6</t>
  </si>
  <si>
    <t>11-01-011-08</t>
  </si>
  <si>
    <t>Устройство стяжек из выравнивающей смеси типа "Ветонит" 5000, толщиной 5 мм</t>
  </si>
  <si>
    <t>ФЕР-2001, 11-01-011-08, приказ Минстроя России №1039/пр от 30.12.2016г.</t>
  </si>
  <si>
    <t>)*1,25</t>
  </si>
  <si>
    <t>)*1,15</t>
  </si>
  <si>
    <t>ФЕР-11</t>
  </si>
  <si>
    <t>Поправка: МДС 81-35.2004, п.4.7</t>
  </si>
  <si>
    <t>7</t>
  </si>
  <si>
    <t>11-01-011-10</t>
  </si>
  <si>
    <t>Устройство стяжек на каждый последующий слой толщиной 1 мм добавлять к расценке 11-01-011-08</t>
  </si>
  <si>
    <t>ФЕР-2001, 11-01-011-10, приказ Минстроя России №1039/пр от 30.12.2016г.</t>
  </si>
  <si>
    <t>*5</t>
  </si>
  <si>
    <t>)*1,25*5</t>
  </si>
  <si>
    <t>)*1,15*5</t>
  </si>
  <si>
    <t>8</t>
  </si>
  <si>
    <t>15-07-003-02</t>
  </si>
  <si>
    <t>Грунтование водно-дисперсионной грунтовкой  поверхностей пористых (камень, кирпич, бетон и т д)</t>
  </si>
  <si>
    <t>ФЕР-2001, 15-07-003-02, приказ Минстроя России №1039/пр от 30.12.2016г.</t>
  </si>
  <si>
    <t>Отделочные работы</t>
  </si>
  <si>
    <t>ФЕР-15</t>
  </si>
  <si>
    <t>9</t>
  </si>
  <si>
    <t>11-01-036-01</t>
  </si>
  <si>
    <t>Устройство покрытий из линолеума на клее</t>
  </si>
  <si>
    <t>ФЕР-2001, 11-01-036-01, приказ Минстроя России №1039/пр от 30.12.2016г.</t>
  </si>
  <si>
    <t>9,1</t>
  </si>
  <si>
    <t>01.6.03.04</t>
  </si>
  <si>
    <t>Линолеум на теплозвукоизолирующей подоснове</t>
  </si>
  <si>
    <t>м2</t>
  </si>
  <si>
    <t>9,2</t>
  </si>
  <si>
    <t>01.6.03.04-0101</t>
  </si>
  <si>
    <t>Линолеум коммерческий гетерогенный "ТАРКЕТТ TRAVERTINE" (толщина 2 мм, толщина защитного слоя 0,5 мм, класс 33/41, пож. безопасность Г1, В2, РП1, Д2, Т2)</t>
  </si>
  <si>
    <t>ФССЦ-2001, 01.6.03.04-0101, приказ Минстроя России №1039/пр от 30.12.2016г.</t>
  </si>
  <si>
    <t>9,3</t>
  </si>
  <si>
    <t>14.1.06.05</t>
  </si>
  <si>
    <t>Состав клеящий</t>
  </si>
  <si>
    <t>кг</t>
  </si>
  <si>
    <t>9,4</t>
  </si>
  <si>
    <t>14.1.02.03-0002</t>
  </si>
  <si>
    <t>Клей ПВА</t>
  </si>
  <si>
    <t>ФССЦ-2001, 14.1.02.03-0002, приказ Минстроя России №1039/пр от 30.12.2016г.</t>
  </si>
  <si>
    <t>10</t>
  </si>
  <si>
    <t>11-01-040-03</t>
  </si>
  <si>
    <t>Устройство плинтусов поливинилхлоридных на винтах самонарезающих</t>
  </si>
  <si>
    <t>ФЕР-2001, 11-01-040-03, приказ Минстроя России №1039/пр от 30.12.2016г.</t>
  </si>
  <si>
    <t>10,1</t>
  </si>
  <si>
    <t>11.3.03.06</t>
  </si>
  <si>
    <t>Плинтуса для полов пластиковые</t>
  </si>
  <si>
    <t>м</t>
  </si>
  <si>
    <t>10,2</t>
  </si>
  <si>
    <t>11.3.03.06-0001</t>
  </si>
  <si>
    <t>Плинтуса для полов пластиковые KronPlast Premium  с кабель-каналом, 19х48 мм прим.</t>
  </si>
  <si>
    <t>ФССЦ-2001, 11.3.03.06-0001, приказ Минстроя России №1039/пр от 30.12.2016г.</t>
  </si>
  <si>
    <t>10,3</t>
  </si>
  <si>
    <t>11.3.03.14</t>
  </si>
  <si>
    <t>Уголок наружный для пластикового плинтуса</t>
  </si>
  <si>
    <t>10,4</t>
  </si>
  <si>
    <t>11.3.03.14-0011</t>
  </si>
  <si>
    <t>Заглушки торцевая для пластикового плинтуса правая, высота 48 мм</t>
  </si>
  <si>
    <t>100 шт.</t>
  </si>
  <si>
    <t>ФССЦ-2001, 11.3.03.14-0011, приказ Минстроя России №1039/пр от 30.12.2016г.</t>
  </si>
  <si>
    <t>10,5</t>
  </si>
  <si>
    <t>11.3.03.14-0001</t>
  </si>
  <si>
    <t>Заглушка торцевая для пластикового плинтуса левая, высота 48 мм</t>
  </si>
  <si>
    <t>ФССЦ-2001, 11.3.03.14-0001, приказ Минстроя России №1039/пр от 30.12.2016г.</t>
  </si>
  <si>
    <t>10,6</t>
  </si>
  <si>
    <t>11.3.03.14-0021</t>
  </si>
  <si>
    <t>Соединитель для пластикового плинтуса, высота 48 мм</t>
  </si>
  <si>
    <t>ФССЦ-2001, 11.3.03.14-0021, приказ Минстроя России №1039/пр от 30.12.2016г.</t>
  </si>
  <si>
    <t>10,7</t>
  </si>
  <si>
    <t>11.3.03.14-0031</t>
  </si>
  <si>
    <t>Уголок внутренний для пластикового плинтуса, высота 48 мм</t>
  </si>
  <si>
    <t>ФССЦ-2001, 11.3.03.14-0031, приказ Минстроя России №1039/пр от 30.12.2016г.</t>
  </si>
  <si>
    <t>10,8</t>
  </si>
  <si>
    <t>11.3.03.14-0033</t>
  </si>
  <si>
    <t>Уголок наружный для пластикового плинтуса, высота 48 мм</t>
  </si>
  <si>
    <t>ФССЦ-2001, 11.3.03.14-0033, приказ Минстроя России №1039/пр от 30.12.2016г.</t>
  </si>
  <si>
    <t>10,9</t>
  </si>
  <si>
    <t>10,10</t>
  </si>
  <si>
    <t>Соединитель для пластикового плинтуса</t>
  </si>
  <si>
    <t>10,11</t>
  </si>
  <si>
    <t>Заглушка торцевая для пластикового плинтуса левая</t>
  </si>
  <si>
    <t>10,12</t>
  </si>
  <si>
    <t>Заглушка торцевая для пластикового плинтуса правая</t>
  </si>
  <si>
    <t>11</t>
  </si>
  <si>
    <t>11-01-049-01</t>
  </si>
  <si>
    <t>Укладка металлического накладного профиля (порога)</t>
  </si>
  <si>
    <t>ФЕР-2001, 11-01-049-01, приказ Минстроя России №1039/пр от 30.12.2016г.</t>
  </si>
  <si>
    <t>11,1</t>
  </si>
  <si>
    <t>09.2.03.02-0002</t>
  </si>
  <si>
    <t>Профили стыкоперекрывающие из алюминиевых сплавов (порожки) с покрытием и антискользящей вставкой, шириной 39 мм, длиной до 1,8 м</t>
  </si>
  <si>
    <t>ФССЦ-2001, 09.2.03.02-0002, приказ Минстроя России №1039/пр от 30.12.2016г.</t>
  </si>
  <si>
    <t>11,2</t>
  </si>
  <si>
    <t>09.2.03.02-0001</t>
  </si>
  <si>
    <t>Профили стыкоперекрывающие из алюминиевых сплавов (порожки) с покрытием и антискользящей вставкой, шириной 39 мм, длиной 0,9 м</t>
  </si>
  <si>
    <t>ФССЦ-2001, 09.2.03.02-0001, приказ Минстроя России №1039/пр от 30.12.2016г.</t>
  </si>
  <si>
    <t>11,3</t>
  </si>
  <si>
    <t>09.2.03.02</t>
  </si>
  <si>
    <t>Профили стыкоперекрывающие из алюминиевых сплавов (порожки) с покрытием</t>
  </si>
  <si>
    <t>12</t>
  </si>
  <si>
    <t>15-02-016-03</t>
  </si>
  <si>
    <t>Штукатурка поверхностей внутри здания цементно-известковым или цементным раствором по камню и бетону улучшенная стен</t>
  </si>
  <si>
    <t>ФЕР-2001, 15-02-016-03, приказ Минстроя России №1039/пр от 30.12.2016г.</t>
  </si>
  <si>
    <t>13</t>
  </si>
  <si>
    <t>15-01-047-15</t>
  </si>
  <si>
    <t>Устройство подвесных потолков типа &lt;Армстронг&gt; по каркасу из оцинкованного профиля</t>
  </si>
  <si>
    <t>ФЕР-2001, 15-01-047-15, приказ Минстроя России №1039/пр от 30.12.2016г.</t>
  </si>
  <si>
    <t>14</t>
  </si>
  <si>
    <t>61-1-2</t>
  </si>
  <si>
    <t>Сплошное выравнивание штукатурки стен цементно-известковым раствором при толщине намета до 10 мм</t>
  </si>
  <si>
    <t>ФЕР-2001, 61-1-2, приказ Минстроя России №1039/пр от 30.12.2016г.</t>
  </si>
  <si>
    <t>Штукатрурные работы</t>
  </si>
  <si>
    <t>рФЕР-61</t>
  </si>
  <si>
    <t>14,1</t>
  </si>
  <si>
    <t>04.3.01.12-0111</t>
  </si>
  <si>
    <t>Раствор готовый отделочный тяжелый, цементно-известковый 1:1:6</t>
  </si>
  <si>
    <t>ФССЦ-2001, 04.3.01.12-0111, приказ Минстроя России №1039/пр от 30.12.2016г.</t>
  </si>
  <si>
    <t>14,2</t>
  </si>
  <si>
    <t>04.3.02.05-0002</t>
  </si>
  <si>
    <t>Смесь штукатурная «Ротбанд», КНАУФ</t>
  </si>
  <si>
    <t>ФССЦ-2001, 04.3.02.05-0002, приказ Минстроя России №1039/пр от 30.12.2016г.</t>
  </si>
  <si>
    <t>15</t>
  </si>
  <si>
    <t>15-04-006-04</t>
  </si>
  <si>
    <t>Покрытие поверхностей грунтовкой глубокого проникновения за 2 раза стен</t>
  </si>
  <si>
    <t>ФЕР-2001, 15-04-006-04, приказ Минстроя России №1039/пр от 30.12.2016г.</t>
  </si>
  <si>
    <t>15,1</t>
  </si>
  <si>
    <t>14.4.01.21</t>
  </si>
  <si>
    <t>Грунтовка</t>
  </si>
  <si>
    <t>т</t>
  </si>
  <si>
    <t>15,2</t>
  </si>
  <si>
    <t>14.3.01.01-0001</t>
  </si>
  <si>
    <t>Грунтовка: «Бетоконтакт», КНАУФ</t>
  </si>
  <si>
    <t>ФССЦ-2001, 14.3.01.01-0001, приказ Минстроя России №1039/пр от 30.12.2016г.</t>
  </si>
  <si>
    <t>16</t>
  </si>
  <si>
    <t>15-04-005-03</t>
  </si>
  <si>
    <t>Окраска поливинилацетатными водоэмульсионными составами улучшенная по штукатурке стен</t>
  </si>
  <si>
    <t>ФЕР-2001, 15-04-005-03, приказ Минстроя России №1039/пр от 30.12.2016г.</t>
  </si>
  <si>
    <t>16,1</t>
  </si>
  <si>
    <t>14.3.02.01</t>
  </si>
  <si>
    <t>Краска водоэмульсионная</t>
  </si>
  <si>
    <t>16,2</t>
  </si>
  <si>
    <t>14.3.02.01-0223</t>
  </si>
  <si>
    <t>Краска водоэмульсионная для внутренних работ ВАК-15</t>
  </si>
  <si>
    <t>ФССЦ-2001, 14.3.02.01-0223, приказ Минстроя России №1039/пр от 30.12.2016г.</t>
  </si>
  <si>
    <t>17</t>
  </si>
  <si>
    <t>15-01-049-04 прим</t>
  </si>
  <si>
    <t>Демонтаж школьной доски: Облицовка стен по готовому каркасу щитами-картинами из древесностружечных плит фанерованных шпоном</t>
  </si>
  <si>
    <t>ФЕР-2001, 15-01-049-04, приказ Минстроя России №1039/пр от 30.12.2016г.</t>
  </si>
  <si>
    <t>Поправка: Табл.2, п.2  Наименование: При демонтаже (разборке) сборных деревянных конструкций</t>
  </si>
  <si>
    <t>)*0</t>
  </si>
  <si>
    <t>)*0,8</t>
  </si>
  <si>
    <t>Поправка: Табл.2, п.2</t>
  </si>
  <si>
    <t>18</t>
  </si>
  <si>
    <t>Установка  школьной доски: Облицовка стен по готовому каркасу щитами-картинами из древесностружечных плит фанерованных шпоном (без стоимости материала)</t>
  </si>
  <si>
    <t>19</t>
  </si>
  <si>
    <t>17-01-002-04</t>
  </si>
  <si>
    <t>Демонтаж :Установка гарнитуры туалетной: вешалок, подстаканников, поручней для ванн и т.д.</t>
  </si>
  <si>
    <t>10 ШТ</t>
  </si>
  <si>
    <t>ФЕР-2001, 17-01-002-04, приказ Минстроя России №1039/пр от 30.12.2016г.</t>
  </si>
  <si>
    <t>Поправка: МДС 81-36.2004, п.3.3.1.в  Наименование: При демонтаже внутренних санитарно-технических устройств (водопровода, газопровода, канализации, водостоков, отопления, вентиляции)</t>
  </si>
  <si>
    <t>)*0,4</t>
  </si>
  <si>
    <t>Водопровод и канализация - внутренние устройства</t>
  </si>
  <si>
    <t>ФЕР-17</t>
  </si>
  <si>
    <t>Поправка: МДС 81-36.2004, п.3.3.1.в</t>
  </si>
  <si>
    <t>20</t>
  </si>
  <si>
    <t>17-01-002-04 прим.</t>
  </si>
  <si>
    <t>Установка гарнитуры туалетной: вешалок, подстаканников, поручней для ванн и т.д.</t>
  </si>
  <si>
    <t>20,1</t>
  </si>
  <si>
    <t>18.2.06.03-0001</t>
  </si>
  <si>
    <t>Вешалки-крючки однорожковые В-К стальные с гальванопокрытием 20 крючков прим.</t>
  </si>
  <si>
    <t>ФССЦ-2001, 18.2.06.03-0001, приказ Минстроя России №1039/пр от 30.12.2016г.</t>
  </si>
  <si>
    <t>21</t>
  </si>
  <si>
    <t>56-4-1</t>
  </si>
  <si>
    <t>Ремонт оконных блоков</t>
  </si>
  <si>
    <t>ФЕР-2001, 56-4-1, приказ Минстроя России №1039/пр от 30.12.2016г.</t>
  </si>
  <si>
    <t>Проемы</t>
  </si>
  <si>
    <t>рФЕР-56</t>
  </si>
  <si>
    <t>21,1</t>
  </si>
  <si>
    <t>01.7.19.06-0005</t>
  </si>
  <si>
    <t>Прокладки уплотнительные, Д=40 мм</t>
  </si>
  <si>
    <t>ФССЦ-2001, 01.7.19.06-0005, приказ Минстроя России №1039/пр от 30.12.2016г.</t>
  </si>
  <si>
    <t>22</t>
  </si>
  <si>
    <t>69-15-1</t>
  </si>
  <si>
    <t>Затаривание строительного мусора в мешки</t>
  </si>
  <si>
    <t>ФЕР-2001, 69-15-1, приказ Минстроя России №1039/пр от 30.12.2016г.</t>
  </si>
  <si>
    <t>Прочие ремонтно-строительные работы</t>
  </si>
  <si>
    <t>рФЕР-69</t>
  </si>
  <si>
    <t>23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</si>
  <si>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</si>
  <si>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</si>
  <si>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</si>
  <si>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</si>
  <si>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</si>
  <si>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</si>
  <si>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</si>
  <si>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24</t>
  </si>
  <si>
    <t>т03-01-01-035</t>
  </si>
  <si>
    <t>Перевозка грузов I класса автомобилями бортовыми грузоподъемностью до 15 т на расстояние до 35 км</t>
  </si>
  <si>
    <t>ФССЦпг-2001, т03-01-01-035,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</si>
  <si>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</si>
  <si>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</si>
  <si>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</si>
  <si>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</si>
  <si>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</si>
  <si>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</si>
  <si>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</si>
  <si>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</si>
  <si>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</si>
  <si>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</si>
  <si>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</si>
  <si>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</si>
  <si>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</si>
  <si>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</si>
  <si>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</si>
  <si>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</si>
  <si>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</si>
  <si>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</si>
  <si>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</si>
  <si>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</si>
  <si>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</si>
  <si>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</si>
  <si>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</si>
  <si>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</si>
  <si>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</si>
  <si>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</si>
  <si>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</si>
  <si>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</si>
  <si>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</si>
  <si>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</si>
  <si>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</si>
  <si>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</si>
  <si>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</si>
  <si>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</si>
  <si>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</si>
  <si>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</si>
  <si>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</si>
  <si>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</si>
  <si>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</si>
  <si>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</si>
  <si>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</si>
  <si>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</si>
  <si>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</si>
  <si>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</si>
  <si>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</si>
  <si>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</si>
  <si>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</si>
  <si>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</si>
  <si>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</si>
  <si>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</si>
  <si>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</si>
  <si>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</si>
  <si>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</si>
  <si>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</si>
  <si>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</si>
  <si>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2 Сантехнические работы</t>
  </si>
  <si>
    <t>25</t>
  </si>
  <si>
    <t>65-19-1</t>
  </si>
  <si>
    <t>Демонтаж радиаторов весом до 80 кг</t>
  </si>
  <si>
    <t>ФЕР-2001, 65-19-1, приказ Минстроя России №1039/пр от 30.12.2016г.</t>
  </si>
  <si>
    <t>Внтуренниие с/техработы:  демонтаж, разборка, промывка</t>
  </si>
  <si>
    <t>26</t>
  </si>
  <si>
    <t>18-03-001-02</t>
  </si>
  <si>
    <t>Установка радиаторов стальных</t>
  </si>
  <si>
    <t>100 квт</t>
  </si>
  <si>
    <t>ФЕР-2001, 18-03-001-02, приказ Минстроя России №1039/пр от 30.12.2016г.</t>
  </si>
  <si>
    <t>Отопление - внутренние устройства</t>
  </si>
  <si>
    <t>ФЕР-18</t>
  </si>
  <si>
    <t>26,1</t>
  </si>
  <si>
    <t>18.5.10.05-0009</t>
  </si>
  <si>
    <t>Радиаторы биметаллические, марка «Rifar-A 500», количество секций 12, мощность 2304 Вт прим.</t>
  </si>
  <si>
    <t>ФССЦ-2001, 18.5.10.05-0009, приказ Минстроя России №1039/пр от 30.12.2016г.</t>
  </si>
  <si>
    <t>26,2</t>
  </si>
  <si>
    <t>18.5.10.06</t>
  </si>
  <si>
    <t>Радиаторы</t>
  </si>
  <si>
    <t>квт</t>
  </si>
  <si>
    <t>27</t>
  </si>
  <si>
    <t>15-04-030-04</t>
  </si>
  <si>
    <t>Масляная окраска металлических поверхностей решеток, переплетов, труб диаметром менее 50 мм и т.п., количество окрасок 2</t>
  </si>
  <si>
    <t>ФЕР-2001, 15-04-030-04, приказ Минстроя России №1039/пр от 30.12.2016г.</t>
  </si>
  <si>
    <t>27,1</t>
  </si>
  <si>
    <t>14.4.02.04</t>
  </si>
  <si>
    <t>Краски для внутренних работ масляные готовые к применению</t>
  </si>
  <si>
    <t>27,2</t>
  </si>
  <si>
    <t>14.4.02.04-0101</t>
  </si>
  <si>
    <t>Краски для внутренних работ масляные готовые к применению МА-15 БИО</t>
  </si>
  <si>
    <t>ФССЦ-2001, 14.4.02.04-0101, приказ Минстроя России №1039/пр от 30.12.2016г.</t>
  </si>
  <si>
    <t>28</t>
  </si>
  <si>
    <t>16-05-001-01</t>
  </si>
  <si>
    <t>Установка вентилей, задвижек, затворов, клапанов обратных, кранов проходных на трубопроводах из стальных труб диаметром до 25 мм</t>
  </si>
  <si>
    <t>ШТ</t>
  </si>
  <si>
    <t>ФЕР-2001, 16-05-001-01, приказ Минстроя России №1039/пр от 30.12.2016г.</t>
  </si>
  <si>
    <t>Трубопроводы внутренние</t>
  </si>
  <si>
    <t>ФЕР-16</t>
  </si>
  <si>
    <t>28,1</t>
  </si>
  <si>
    <t>18.1.09.06-0067</t>
  </si>
  <si>
    <t>Кран шаровый муфтовый Valtec для воды диаметром 20 мм со сгоном</t>
  </si>
  <si>
    <t>ФССЦ-2001, 18.1.09.06-0067, приказ Минстроя России №1039/пр от 30.12.2016г.</t>
  </si>
  <si>
    <t>29</t>
  </si>
  <si>
    <t>65-24-1</t>
  </si>
  <si>
    <t>Проверка на прогрев отопительных приборов с регулировкой</t>
  </si>
  <si>
    <t>ФЕР-2001, 65-24-1, приказ Минстроя России №1039/пр от 30.12.2016г.</t>
  </si>
  <si>
    <t>3 Электромонтажные работы</t>
  </si>
  <si>
    <t>30</t>
  </si>
  <si>
    <t>67-3-1</t>
  </si>
  <si>
    <t>Демонтаж кабеля</t>
  </si>
  <si>
    <t>ФЕР-2001, 67-3-1, приказ Минстроя России №1039/пр от 30.12.2016г.</t>
  </si>
  <si>
    <t>Электромонтажные работы</t>
  </si>
  <si>
    <t>рФЕР-67</t>
  </si>
  <si>
    <t>31</t>
  </si>
  <si>
    <t>м08-02-390-01</t>
  </si>
  <si>
    <t>Демонтаж:Короба пластмассовые шириной до 40 мм</t>
  </si>
  <si>
    <t>ФЕРм-2001, м08-02-390-01, приказ Минстроя России №1039/пр от 30.12.2016г.</t>
  </si>
  <si>
    <t>)*0,3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</si>
  <si>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</si>
  <si>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</si>
  <si>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</si>
  <si>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Поправка: МДС 81-37.2004, п.3.2.1.4</t>
  </si>
  <si>
    <t>32</t>
  </si>
  <si>
    <t>м08-03-594-08</t>
  </si>
  <si>
    <t>Демонтаж:Светильник отдельно устанавливаемый на подвесах (штангах) с количеством ламп в светильнике до 4</t>
  </si>
  <si>
    <t>ФЕРм-2001, м08-03-594-08, приказ Минстроя России №1039/пр от 30.12.2016г.</t>
  </si>
  <si>
    <t>33</t>
  </si>
  <si>
    <t>м08-03-525-09 прим.</t>
  </si>
  <si>
    <t>Демонтаж проектора и проекторной доски :Аппарат штепсельный общего назначения, устанавливаемый на конструкции на стене или колонне, с контактами силовых цепей на ток до 63 А</t>
  </si>
  <si>
    <t>КОМПЛ</t>
  </si>
  <si>
    <t>ФЕРм-2001, м08-03-525-09, приказ Минстроя России №1039/пр от 30.12.2016г.</t>
  </si>
  <si>
    <t>)*0,6</t>
  </si>
  <si>
    <t>Поправка: МДС 81-37.2004, п.3.2.1.2</t>
  </si>
  <si>
    <t>34</t>
  </si>
  <si>
    <t>Аппарат штепсельный общего назначения, устанавливаемый на конструкции на стене или колонне, с контактами силовых цепей на ток до 63 А (проектор и проекторная доска без материалов)</t>
  </si>
  <si>
    <t>35</t>
  </si>
  <si>
    <t>67-4-1</t>
  </si>
  <si>
    <t>Демонтаж выключателей, розеток</t>
  </si>
  <si>
    <t>ФЕР-2001, 67-4-1, приказ Минстроя России №1039/пр от 30.12.2016г.</t>
  </si>
  <si>
    <t>36</t>
  </si>
  <si>
    <t>69-1-2</t>
  </si>
  <si>
    <t>Пробивка отверстий в кирпичных стенах для  вручную при толщине стен в 1 кирпич</t>
  </si>
  <si>
    <t>ФЕР-2001, 69-1-2, приказ Минстроя России №1039/пр от 30.12.2016г.</t>
  </si>
  <si>
    <t>37</t>
  </si>
  <si>
    <t>м08-02-410-02 прим.</t>
  </si>
  <si>
    <t>Труба полиэтиленовая по основанию пола, диаметр до 50 мм</t>
  </si>
  <si>
    <t>ФЕРм-2001, м08-02-410-02, приказ Минстроя России №1039/пр от 30.12.2016г.</t>
  </si>
  <si>
    <t>37,1</t>
  </si>
  <si>
    <t>24.3.03.13-0304</t>
  </si>
  <si>
    <t>Трубы гладкие одностенные легкие из ПНД, диаметром 32 мм</t>
  </si>
  <si>
    <t>10 м</t>
  </si>
  <si>
    <t>ФССЦ-2001, 24.3.03.13-0304, приказ Минстроя России №1039/пр от 30.12.2016г.</t>
  </si>
  <si>
    <t>38</t>
  </si>
  <si>
    <t>м10-08-019-01</t>
  </si>
  <si>
    <t>Коробка ответвительная на стене</t>
  </si>
  <si>
    <t>ФЕРм-2001, м10-08-019-01, приказ Минстроя России №1039/пр от 30.12.2016г.</t>
  </si>
  <si>
    <t>Связь: пожарно-охранная сигнализация и пром. телевиз. установки  ( отделы 8 и 9 ) (при устройстве средств посадки самолетов : НР=95%, СП=55% - {АВИА}=1)</t>
  </si>
  <si>
    <t>мФЕР-10</t>
  </si>
  <si>
    <t>38,1</t>
  </si>
  <si>
    <t>20.5.02.04-0004</t>
  </si>
  <si>
    <t>Коробка ответвительная SchneiderElectrik 100x100x50мм прим.</t>
  </si>
  <si>
    <t>10 шт.</t>
  </si>
  <si>
    <t>ФССЦ-2001, 20.5.02.04-0004, приказ Минстроя России №1039/пр от 30.12.2016г.</t>
  </si>
  <si>
    <t>39</t>
  </si>
  <si>
    <t>м08-02-390-03</t>
  </si>
  <si>
    <t>Короба пластмассовые шириной до 120 мм</t>
  </si>
  <si>
    <t>ФЕРм-2001, м08-02-390-03, приказ Минстроя России №1039/пр от 30.12.2016г.</t>
  </si>
  <si>
    <t>39,1</t>
  </si>
  <si>
    <t>20.2.05.04-0034</t>
  </si>
  <si>
    <t>Кабель-канал (короб)  Efapel 110x50 мм прим.</t>
  </si>
  <si>
    <t>ФССЦ-2001, 20.2.05.04-0034, приказ Минстроя России №1039/пр от 30.12.2016г.</t>
  </si>
  <si>
    <t>40</t>
  </si>
  <si>
    <t>м08-10-010-01</t>
  </si>
  <si>
    <t>Прокладка труб гофрированных ПВХ для защиты проводов и кабелей</t>
  </si>
  <si>
    <t>ФЕРм-2001, м08-10-010-01, приказ Минстроя России №1039/пр от 30.12.2016г.</t>
  </si>
  <si>
    <t>40,1</t>
  </si>
  <si>
    <t>24.3.03.05-0012</t>
  </si>
  <si>
    <t>Трубы гибкие гофрированные легкие из ПНД, серии BL, с зондом, диаметром 20 мм</t>
  </si>
  <si>
    <t>ФССЦ-2001, 24.3.03.05-0012, приказ Минстроя России №1039/пр от 30.12.2016г.</t>
  </si>
  <si>
    <t>41</t>
  </si>
  <si>
    <t>м08-02-399-02</t>
  </si>
  <si>
    <t>Прокладка кабеля  в коробах, сечением до 35 мм2</t>
  </si>
  <si>
    <t>ФЕРм-2001, м08-02-399-02, приказ Минстроя России №1039/пр от 30.12.2016г.</t>
  </si>
  <si>
    <t>41,1</t>
  </si>
  <si>
    <t>21.1.06.09-0152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</si>
  <si>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t>
  </si>
  <si>
    <t>1000 м</t>
  </si>
  <si>
    <t>ФССЦ-2001, 21.1.06.09-0152, приказ Минстроя России №1039/пр от 30.12.2016г.</t>
  </si>
  <si>
    <t>1000 М</t>
  </si>
  <si>
    <t>42</t>
  </si>
  <si>
    <t>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</si>
  <si>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</si>
  <si>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t>ФЕРм-2001, м08-02-412-03, приказ Минстроя России №1039/пр от 30.12.2016г.</t>
  </si>
  <si>
    <t>42,1</t>
  </si>
  <si>
    <t>43</t>
  </si>
  <si>
    <t>м08-03-591-04</t>
  </si>
  <si>
    <t>Выключатель двухклавишный неутопленного типа при открытой проводке</t>
  </si>
  <si>
    <t>ФЕРм-2001, м08-03-591-04, приказ Минстроя России №1039/пр от 30.12.2016г.</t>
  </si>
  <si>
    <t>43,1</t>
  </si>
  <si>
    <t>20.4.01.01-0011</t>
  </si>
  <si>
    <t>Выключатель двухклавишный для открытой проводки "EFAPEL" SBR(45х45мм),белый,с супортами прим.</t>
  </si>
  <si>
    <t>ФССЦ-2001, 20.4.01.01-0011, приказ Минстроя России №1039/пр от 30.12.2016г.</t>
  </si>
  <si>
    <t>44</t>
  </si>
  <si>
    <t>м08-03-591-08</t>
  </si>
  <si>
    <t>Розетка штепсельная неутопленного типа при открытой проводке</t>
  </si>
  <si>
    <t>ФЕРм-2001, м08-03-591-08, приказ Минстроя России №1039/пр от 30.12.2016г.</t>
  </si>
  <si>
    <t>44,1</t>
  </si>
  <si>
    <t>20.4.03.05-0004</t>
  </si>
  <si>
    <t>Розетка открытой проводки "EFAPEL" 220В2к+з,(45х45мм),белые с супортами в кабель-канал прим.</t>
  </si>
  <si>
    <t>ФССЦ-2001, 20.4.03.05-0004, приказ Минстроя России №1039/пр от 30.12.2016г.</t>
  </si>
  <si>
    <t>44,2</t>
  </si>
  <si>
    <t>20.4.03.05-0005</t>
  </si>
  <si>
    <t>Розетка  для открытой проводки (согласно тех.задания)</t>
  </si>
  <si>
    <t>ФССЦ-2001, 20.4.03.05-0005, приказ Минстроя России №1039/пр от 30.12.2016г.</t>
  </si>
  <si>
    <t>45</t>
  </si>
  <si>
    <t>м08-02-370-02 прим.</t>
  </si>
  <si>
    <t>Щиток до трех групп, устанавливаемый в нише цоколя</t>
  </si>
  <si>
    <t>ФЕРм-2001, м08-02-370-02, приказ Минстроя России №1039/пр от 30.12.2016г.</t>
  </si>
  <si>
    <t>45,1</t>
  </si>
  <si>
    <t>62.1.02.03-0003</t>
  </si>
  <si>
    <t>Щит навесной IEK ШРН-18э1 38,18 модулей ,IP31 с клемником(АВВ) с замком,материал корпуса металл прим.</t>
  </si>
  <si>
    <t>ФССЦ-2001, 62.1.02.03-0003, приказ Минстроя России №1039/пр от 30.12.2016г.</t>
  </si>
  <si>
    <t>46</t>
  </si>
  <si>
    <t>м08-03-526-01</t>
  </si>
  <si>
    <t>Автомат одно-, двух-, трехполюсный, устанавливаемый на конструкции на стене или колонне, на ток до 25 А</t>
  </si>
  <si>
    <t>ФЕРм-2001, м08-03-526-01, приказ Минстроя России №1039/пр от 30.12.2016г.</t>
  </si>
  <si>
    <t>46,1</t>
  </si>
  <si>
    <t>62.1.01.09-0050</t>
  </si>
  <si>
    <t>Выключатели автоматические АВВ 1Р 16А  прим.</t>
  </si>
  <si>
    <t>ФССЦ-2001, 62.1.01.09-0050, приказ Минстроя России №1039/пр от 30.12.2016г.</t>
  </si>
  <si>
    <t>46,2</t>
  </si>
  <si>
    <t>62.1.01.09-0049</t>
  </si>
  <si>
    <t>Выключатели автоматические «АВВ" 1Р 10А прим.</t>
  </si>
  <si>
    <t>ФССЦ-2001, 62.1.01.09-0049, приказ Минстроя России №1039/пр от 30.12.2016г.</t>
  </si>
  <si>
    <t>46,3</t>
  </si>
  <si>
    <t>62.1.01.09-0065</t>
  </si>
  <si>
    <t>Выключатели автоматические «АВВ" 3Р 10А прим.</t>
  </si>
  <si>
    <t>ФССЦ-2001, 62.1.01.09-0065, приказ Минстроя России №1039/пр от 30.12.2016г.</t>
  </si>
  <si>
    <t>46,4</t>
  </si>
  <si>
    <t>62.1.01.09-0067</t>
  </si>
  <si>
    <t>Выключатели автоматические  АВВ 3Р 25А прим.</t>
  </si>
  <si>
    <t>ФССЦ-2001, 62.1.01.09-0067, приказ Минстроя России №1039/пр от 30.12.2016г.</t>
  </si>
  <si>
    <t>46,5</t>
  </si>
  <si>
    <t>62.1.01.09-0051</t>
  </si>
  <si>
    <t>Выключатели автоматические «АВВ" 1Р 20А прим.</t>
  </si>
  <si>
    <t>ФССЦ-2001, 62.1.01.09-0051, приказ Минстроя России №1039/пр от 30.12.2016г.</t>
  </si>
  <si>
    <t>47</t>
  </si>
  <si>
    <t>м08-03-594-14 прим.</t>
  </si>
  <si>
    <t>Установка светильников  в подвесных потолках, устанавливаемый на профиле, количество ламп в светильнике до 4</t>
  </si>
  <si>
    <t>ФЕРм-2001, м08-03-594-14, приказ Минстроя России №1039/пр от 30.12.2016г.</t>
  </si>
  <si>
    <t>47,1</t>
  </si>
  <si>
    <t>20.3.03.07-0099</t>
  </si>
  <si>
    <t>Светильник потолочный со светодиодными лампами  "Oskar LED"595х595х40мм,встраиваемые в подвесной потолок "Армстронг",36 Вт,3000Лм,IP40 прим.</t>
  </si>
  <si>
    <t>ФССЦ-2001, 20.3.03.07-0099, приказ Минстроя России №1039/пр от 30.12.2016г.</t>
  </si>
  <si>
    <t>48</t>
  </si>
  <si>
    <t>п01-11-028-01</t>
  </si>
  <si>
    <t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</si>
  <si>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ФЕРп-2001, п01-11-028-01, приказ Минстроя России №1039/пр от 30.12.2016г.</t>
  </si>
  <si>
    <t>Поправка: МДС 81-40.2006, п.2.7  Наименование: В случае, если монтажные и пусконаладочные работы по какому-либо оборудованию выполняются одним и тем же звеном (бригадой),</t>
  </si>
  <si>
    <t>Пусконаладочные работы</t>
  </si>
  <si>
    <t>Пусконаладочные работы : все сборники, отдел 05 ( диагностика лифтов ) и отдел 06 ( техническое освидетельствование ) сборника мрФЕР-01</t>
  </si>
  <si>
    <t>пФЕРп</t>
  </si>
  <si>
    <t>Поправка: МДС 81-40.2006, п.2.7</t>
  </si>
  <si>
    <t>49</t>
  </si>
  <si>
    <t>п01-11-011-01</t>
  </si>
  <si>
    <t>Проверка наличия цепи между заземлителями и заземленными элементами</t>
  </si>
  <si>
    <t>100 измерений</t>
  </si>
  <si>
    <t>ФЕРп-2001, п01-11-011-01, приказ Минстроя России №1039/пр от 30.12.2016г.</t>
  </si>
  <si>
    <t>50</t>
  </si>
  <si>
    <t>п01-11-013-01</t>
  </si>
  <si>
    <t>Замер полного сопротивления цепи "фаза-нуль"</t>
  </si>
  <si>
    <t>ФЕРп-2001, п01-11-013-01, приказ Минстроя России №1039/пр от 30.12.2016г.</t>
  </si>
  <si>
    <t>51</t>
  </si>
  <si>
    <t>п01-12-021-02</t>
  </si>
  <si>
    <t>Испытание аппарата коммутационного напряжением до 35 кВ (Автоматические выключатели до 1000 В)</t>
  </si>
  <si>
    <t>испытание</t>
  </si>
  <si>
    <t>ФЕРп-2001, п01-12-021-02, приказ Минстроя России №1039/пр от 30.12.2016г.</t>
  </si>
  <si>
    <t>и1</t>
  </si>
  <si>
    <t>Итого</t>
  </si>
  <si>
    <t>и2</t>
  </si>
  <si>
    <t>НДС 18%</t>
  </si>
  <si>
    <t>и3</t>
  </si>
  <si>
    <t>4 АПС</t>
  </si>
  <si>
    <t>52</t>
  </si>
  <si>
    <t>м10-08-002-01</t>
  </si>
  <si>
    <t>Демонтаж:Монтаж извещателя ПС автоматического теплового электро-контактный, магнитоконтактный в нормальном исполнении</t>
  </si>
  <si>
    <t>ФЕРм-2001, м10-08-002-01, приказ Минстроя России №1039/пр от 30.12.2016г.</t>
  </si>
  <si>
    <t>53</t>
  </si>
  <si>
    <t>Монтаж извещателя ПС автоматического теплового электро-контактный, магнитоконтактный в нормальном исполнении</t>
  </si>
  <si>
    <t>53,1</t>
  </si>
  <si>
    <t>61.2.02.01-0072</t>
  </si>
  <si>
    <t>Извещатель пожарный дымовой ИП 212-41М (ДИП-41М) прим.</t>
  </si>
  <si>
    <t>ФССЦ-2001, 61.2.02.01-0072, приказ Минстроя России №1039/пр от 30.12.2016г.</t>
  </si>
  <si>
    <t>54</t>
  </si>
  <si>
    <t>м10-08-001-03</t>
  </si>
  <si>
    <t>Приборы ПС приемно-контрольные, пусковые, концентратор блок линейный</t>
  </si>
  <si>
    <t>10 лучей</t>
  </si>
  <si>
    <t>ФЕРм-2001, м10-08-001-03, приказ Минстроя России №1039/пр от 30.12.2016г.</t>
  </si>
  <si>
    <t>54,1</t>
  </si>
  <si>
    <t>61.2.07.04-0051</t>
  </si>
  <si>
    <t>Устройство контроля шлейфа УШК-01 прим.</t>
  </si>
  <si>
    <t>ФССЦ-2001, 61.2.07.04-0051, приказ Минстроя России №1039/пр от 30.12.2016г.</t>
  </si>
  <si>
    <t>55</t>
  </si>
  <si>
    <t>55,1</t>
  </si>
  <si>
    <t>24.3.03.05-0011</t>
  </si>
  <si>
    <t>Трубы гибкие гофрированные легкие из ПНД, серии BL, с зондом, диаметром 16 мм</t>
  </si>
  <si>
    <t>ФССЦ-2001, 24.3.03.05-0011, приказ Минстроя России №1039/пр от 30.12.2016г.</t>
  </si>
  <si>
    <t>56</t>
  </si>
  <si>
    <t>м08-02-412-02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</si>
  <si>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</si>
  <si>
    <t>ФЕРм-2001, м08-02-412-02, приказ Минстроя России №1039/пр от 30.12.2016г.</t>
  </si>
  <si>
    <t>56,1</t>
  </si>
  <si>
    <t>21.1.08.01-0151</t>
  </si>
  <si>
    <t>ФССЦ-2001, 21.1.08.01-0151, приказ Минстроя России №1039/пр от 30.12.2016г.</t>
  </si>
  <si>
    <t>57</t>
  </si>
  <si>
    <t>м10-02-054-06</t>
  </si>
  <si>
    <t>Электрическая проверка и настройка оборудования</t>
  </si>
  <si>
    <t>ФЕРм-2001, м10-02-054-06, приказ Минстроя России №1039/пр от 30.12.2016г.</t>
  </si>
  <si>
    <t>Связь:  городская, местная, междугородняя проводная телефонная связь ( отделы 1, 2, 3 ) - ( при уст-ве средств посадки самолетов:  {AВИА}=1 - НР=95%, СП=55% )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</si>
  <si>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</si>
  <si>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</si>
  <si>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</si>
  <si>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</si>
  <si>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</si>
  <si>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</si>
  <si>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</si>
  <si>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</si>
  <si>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</si>
  <si>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</si>
  <si>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</si>
  <si>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</si>
  <si>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</si>
  <si>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</si>
  <si>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</si>
  <si>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</si>
  <si>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</si>
  <si>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</si>
  <si>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</si>
  <si>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</si>
  <si>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</si>
  <si>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</si>
  <si>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</si>
  <si>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</si>
  <si>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</si>
  <si>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</si>
  <si>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</si>
  <si>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</si>
  <si>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</si>
  <si>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</si>
  <si>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</si>
  <si>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</si>
  <si>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</si>
  <si>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</si>
  <si>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</si>
  <si>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</si>
  <si>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</si>
  <si>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</si>
  <si>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</si>
  <si>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</si>
  <si>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</si>
  <si>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</si>
  <si>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</si>
  <si>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</si>
  <si>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</si>
  <si>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</si>
  <si>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</si>
  <si>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</si>
  <si>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</si>
  <si>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</si>
  <si>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</si>
  <si>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</si>
  <si>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</si>
  <si>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</si>
  <si>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</si>
  <si>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</si>
  <si>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</si>
  <si>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</si>
  <si>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</si>
  <si>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</si>
  <si>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</si>
  <si>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</si>
  <si>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</si>
  <si>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</si>
  <si>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1-100-20</t>
  </si>
  <si>
    <t>Рабочий среднего разряда 2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</si>
  <si>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</si>
  <si>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</si>
  <si>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</si>
  <si>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</si>
  <si>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</si>
  <si>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</si>
  <si>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</si>
  <si>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1-100-30</t>
  </si>
  <si>
    <t>Рабочий среднего разряда 3</t>
  </si>
  <si>
    <t>01.7.03.01-0001</t>
  </si>
  <si>
    <t>ФССЦ-2001, 01.7.03.01-0001, приказ Минстроя России №1039/пр от 30.12.2016г.</t>
  </si>
  <si>
    <t>Вода</t>
  </si>
  <si>
    <t>03.1.01.01-0002</t>
  </si>
  <si>
    <t>ФССЦ-2001, 03.1.01.01-0002, приказ Минстроя России №1039/пр от 30.12.2016г.</t>
  </si>
  <si>
    <t>Гипсовые вяжущие, марка Г3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</si>
  <si>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</si>
  <si>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</si>
  <si>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</si>
  <si>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</si>
  <si>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</si>
  <si>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</si>
  <si>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</si>
  <si>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</si>
  <si>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</si>
  <si>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</si>
  <si>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</si>
  <si>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</si>
  <si>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04.3.02.01-0415</t>
  </si>
  <si>
    <t>ФССЦ-2001, 04.3.02.01-0415, приказ Минстроя России №1039/пр от 30.12.2016г.</t>
  </si>
  <si>
    <t>Смеси сухие для наливных полов, марка «Ветонит» 5000</t>
  </si>
  <si>
    <t>14.4.01.02-0113</t>
  </si>
  <si>
    <t>ФССЦ-2001, 14.4.01.02-0113, приказ Минстроя России №1039/пр от 30.12.2016г.</t>
  </si>
  <si>
    <t>Грунтовка акриловая НОРТЕКС-ГРУНТ</t>
  </si>
  <si>
    <t>1-100-36</t>
  </si>
  <si>
    <t>Рабочий среднего разряда 3.6</t>
  </si>
  <si>
    <t>91.21.01-012</t>
  </si>
  <si>
    <t>ФСЭМ-2001, 91.21.01-012, приказ Минстроя России №1039/пр от 30.12.2016г.</t>
  </si>
  <si>
    <t>Агрегаты окрасочные высокого давления для окраски поверхностей конструкций, мощность 1 кВт</t>
  </si>
  <si>
    <t>01.7.20.08-0051</t>
  </si>
  <si>
    <t>ФССЦ-2001, 01.7.20.08-0051, приказ Минстроя России №1039/пр от 30.12.2016г.</t>
  </si>
  <si>
    <t>Ветошь</t>
  </si>
  <si>
    <t>1-100-27</t>
  </si>
  <si>
    <t>Рабочий среднего разряда 2.7</t>
  </si>
  <si>
    <t>01.7.15.04-0048</t>
  </si>
  <si>
    <t>ФССЦ-2001, 01.7.15.04-0048, приказ Минстроя России №1039/пр от 30.12.2016г.</t>
  </si>
  <si>
    <t>Винты самонарезающие остроконечные длиной 35 мм</t>
  </si>
  <si>
    <t>01.7.15.07-0021</t>
  </si>
  <si>
    <t>ФССЦ-2001, 01.7.15.07-0021, приказ Минстроя России №1039/пр от 30.12.2016г.</t>
  </si>
  <si>
    <t>Дюбели распорные полиэтиленовые 6х30 мм</t>
  </si>
  <si>
    <t>1000 шт.</t>
  </si>
  <si>
    <t>1-100-32</t>
  </si>
  <si>
    <t>Рабочий среднего разряда 3.2</t>
  </si>
  <si>
    <t>1-100-38</t>
  </si>
  <si>
    <t>Рабочий среднего разряда 3.8</t>
  </si>
  <si>
    <t>91.07.07-041</t>
  </si>
  <si>
    <t>ФСЭМ-2001, 91.07.07-041, приказ Минстроя России №1039/пр от 30.12.2016г.</t>
  </si>
  <si>
    <t>Растворонасосы 1 м3/ч</t>
  </si>
  <si>
    <t>01.7.15.06-0121</t>
  </si>
  <si>
    <t>ФССЦ-2001, 01.7.15.06-0121, приказ Минстроя России №1039/пр от 30.12.2016г.</t>
  </si>
  <si>
    <t>Гвозди строительные с плоской головкой 1,6x50 мм</t>
  </si>
  <si>
    <t>08.1.02.17-0161</t>
  </si>
  <si>
    <t>ФССЦ-2001, 08.1.02.17-0161, приказ Минстроя России №1039/пр от 30.12.2016г.</t>
  </si>
  <si>
    <t>Сетка тканая с квадратными ячейками № 05 без покрытия</t>
  </si>
  <si>
    <t>01.6.04.02-0011</t>
  </si>
  <si>
    <t>ФССЦ-2001, 01.6.04.02-0011, приказ Минстроя России №1039/пр от 30.12.2016г.</t>
  </si>
  <si>
    <t>Панели потолочные с комплектующими «Армстронг»</t>
  </si>
  <si>
    <t>1-100-40</t>
  </si>
  <si>
    <t>Рабочий среднего разряда 4</t>
  </si>
  <si>
    <t>1-100-34</t>
  </si>
  <si>
    <t>Рабочий среднего разряда 3.4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</si>
  <si>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</si>
  <si>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</si>
  <si>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</si>
  <si>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14.5.11.01-0001</t>
  </si>
  <si>
    <t>ФССЦ-2001, 14.5.11.01-0001, приказ Минстроя России №1039/пр от 30.12.2016г.</t>
  </si>
  <si>
    <t>Шпатлевка клеевая</t>
  </si>
  <si>
    <t>1-100-39</t>
  </si>
  <si>
    <t>Рабочий среднего разряда 3.9</t>
  </si>
  <si>
    <t>01.7.02.10-0005</t>
  </si>
  <si>
    <t>ФССЦ-2001, 01.7.02.10-0005, приказ Минстроя России №1039/пр от 30.12.2016г.</t>
  </si>
  <si>
    <t>Бумага ролевая</t>
  </si>
  <si>
    <t>01.7.15.14-0174</t>
  </si>
  <si>
    <t>ФССЦ-2001, 01.7.15.14-0174, приказ Минстроя России №1039/пр от 30.12.2016г.</t>
  </si>
  <si>
    <t>Шурупы с полукруглой головкой 8x100 мм</t>
  </si>
  <si>
    <t>14.4.03.17-0004</t>
  </si>
  <si>
    <t>ФССЦ-2001, 14.4.03.17-0004, приказ Минстроя России №1039/пр от 30.12.2016г.</t>
  </si>
  <si>
    <t>Лак масляный МА-592</t>
  </si>
  <si>
    <t>14.5.09.07-0031</t>
  </si>
  <si>
    <t>ФССЦ-2001, 14.5.09.07-0031, приказ Минстроя России №1039/пр от 30.12.2016г.</t>
  </si>
  <si>
    <t>Растворитель марки Р-4А</t>
  </si>
  <si>
    <t>08.1.02.11-0001</t>
  </si>
  <si>
    <t>ФССЦ-2001, 08.1.02.11-0001, приказ Минстроя России №1039/пр от 30.12.2016г.</t>
  </si>
  <si>
    <t>Поковки из квадратных заготовок, масса 1,8 кг</t>
  </si>
  <si>
    <t>1-100-35</t>
  </si>
  <si>
    <t>Рабочий среднего разряда 3.5</t>
  </si>
  <si>
    <t>01.2.03.03-0013</t>
  </si>
  <si>
    <t>ФССЦ-2001, 01.2.03.03-0013, приказ Минстроя России №1039/пр от 30.12.2016г.</t>
  </si>
  <si>
    <t>Мастика битумная кровельная горячая</t>
  </si>
  <si>
    <t>01.7.15.06-0111</t>
  </si>
  <si>
    <t>ФССЦ-2001, 01.7.15.06-0111, приказ Минстроя России №1039/пр от 30.12.2016г.</t>
  </si>
  <si>
    <t>Гвозди строительные</t>
  </si>
  <si>
    <t>01.7.15.14-0164</t>
  </si>
  <si>
    <t>ФССЦ-2001, 01.7.15.14-0164, приказ Минстроя России №1039/пр от 30.12.2016г.</t>
  </si>
  <si>
    <t>Шурупы с полукруглой головкой 3,5х35 мм</t>
  </si>
  <si>
    <t>11.1.03.01-0062</t>
  </si>
  <si>
    <t>ФССЦ-2001, 11.1.03.01-0062, приказ Минстроя России №1039/пр от 30.12.2016г.</t>
  </si>
  <si>
    <t>Бруски обрезные хвойных пород длиной 2-3,75 м, шириной 75-150 мм, толщиной 40-75 мм, II сорта</t>
  </si>
  <si>
    <t>12.1.02.14-0001</t>
  </si>
  <si>
    <t>ФССЦ-2001, 12.1.02.14-0001, приказ Минстроя России №1039/пр от 30.12.2016г.</t>
  </si>
  <si>
    <t>Толь с крупнозернистой посыпкой гидроизоляционный марки ТГ-350</t>
  </si>
  <si>
    <t>14.1.01.01-0003</t>
  </si>
  <si>
    <t>ФССЦ-2001, 14.1.01.01-0003, приказ Минстроя России №1039/пр от 30.12.2016г.</t>
  </si>
  <si>
    <t>Клей столярный сухой</t>
  </si>
  <si>
    <t>14.5.01.10-0003</t>
  </si>
  <si>
    <t>ФССЦ-2001, 14.5.01.10-0003, приказ Минстроя России №1039/пр от 30.12.2016г.</t>
  </si>
  <si>
    <t>Пена монтажная</t>
  </si>
  <si>
    <t>л</t>
  </si>
  <si>
    <t>1-100-10</t>
  </si>
  <si>
    <t>Рабочий среднего разряда 1</t>
  </si>
  <si>
    <t>01.7.20.03-0003</t>
  </si>
  <si>
    <t>ФССЦ-2001, 01.7.20.03-0003, приказ Минстроя России №1039/пр от 30.12.2016г.</t>
  </si>
  <si>
    <t>Мешки полипропиленовые (50 кг)</t>
  </si>
  <si>
    <t>1-100-21</t>
  </si>
  <si>
    <t>Рабочий среднего разряда 2.1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</si>
  <si>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</si>
  <si>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</si>
  <si>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</si>
  <si>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91.10.09-011</t>
  </si>
  <si>
    <t>ФСЭМ-2001, 91.10.09-011, приказ Минстроя России №1039/пр от 30.12.2016г.</t>
  </si>
  <si>
    <t>Установки для гидравлических испытаний трубопроводов, давление нагнетания низкое 0,1 МПа (1 кгс/см2), высокое 10 МПа (100 кгс/см2)</t>
  </si>
  <si>
    <t>01.3.05.38-0031</t>
  </si>
  <si>
    <t>ФССЦ-2001, 01.3.05.38-0031, приказ Минстроя России №1039/пр от 30.12.2016г.</t>
  </si>
  <si>
    <t>Водный раствор нитрата и карбоната</t>
  </si>
  <si>
    <t>18.5.08.05-0031</t>
  </si>
  <si>
    <t>ФССЦ-2001, 18.5.08.05-0031, приказ Минстроя России №1039/пр от 30.12.2016г.</t>
  </si>
  <si>
    <t>Кронштейны для радиаторов стальных спаренных марки КР1-РС</t>
  </si>
  <si>
    <t>компл.</t>
  </si>
  <si>
    <t>1-100-33</t>
  </si>
  <si>
    <t>Рабочий среднего разряда 3.3</t>
  </si>
  <si>
    <t>14.5.05.02-0001</t>
  </si>
  <si>
    <t>ФССЦ-2001, 14.5.05.02-0001, приказ Минстроя России №1039/пр от 30.12.2016г.</t>
  </si>
  <si>
    <t>Олифа натуральная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</si>
  <si>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</si>
  <si>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</si>
  <si>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</si>
  <si>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01.1.02.08-0001</t>
  </si>
  <si>
    <t>ФССЦ-2001, 01.1.02.08-0001, приказ Минстроя России №1039/пр от 30.12.2016г.</t>
  </si>
  <si>
    <t>Прокладки из паронита марки ПМБ, толщиной 1 мм, диаметром 50 мм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</si>
  <si>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</si>
  <si>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</si>
  <si>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</si>
  <si>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01.7.15.03-0013</t>
  </si>
  <si>
    <t>ФССЦ-2001, 01.7.15.03-0013, приказ Минстроя России №1039/пр от 30.12.2016г.</t>
  </si>
  <si>
    <t>Болты с гайками и шайбами для санитарно-технических работ диаметром 12 мм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</si>
  <si>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</si>
  <si>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</si>
  <si>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</si>
  <si>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</si>
  <si>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</si>
  <si>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</si>
  <si>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999-9950</t>
  </si>
  <si>
    <t>Вспомогательные ненормируемые материалы (2% от ОЗП)</t>
  </si>
  <si>
    <t>РУБ</t>
  </si>
  <si>
    <t>1-100-42</t>
  </si>
  <si>
    <t>Рабочий среднего разряда 4.2</t>
  </si>
  <si>
    <t>24.3.01.01-0002</t>
  </si>
  <si>
    <t>ФССЦ-2001, 24.3.01.01-0002, приказ Минстроя России №1039/пр от 30.12.2016г.</t>
  </si>
  <si>
    <t>Трубка полихлорвиниловая</t>
  </si>
  <si>
    <t>1-100-45</t>
  </si>
  <si>
    <t>Рабочий среднего разряда 4.5</t>
  </si>
  <si>
    <t>91.21.16-012</t>
  </si>
  <si>
    <t>ФСЭМ-2001, 91.21.16-012, приказ Минстроя России №1039/пр от 30.12.2016г.</t>
  </si>
  <si>
    <t>Пресс гидравлический с электроприводом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</si>
  <si>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</si>
  <si>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</si>
  <si>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</si>
  <si>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</si>
  <si>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</si>
  <si>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</si>
  <si>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</si>
  <si>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</si>
  <si>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</si>
  <si>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</si>
  <si>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</si>
  <si>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</si>
  <si>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01.7.15.03-0042</t>
  </si>
  <si>
    <t>ФССЦ-2001, 01.7.15.03-0042, приказ Минстроя России №1039/пр от 30.12.2016г.</t>
  </si>
  <si>
    <t>Болты с гайками и шайбами строительные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</si>
  <si>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</si>
  <si>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</si>
  <si>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</si>
  <si>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01.7.20.04-0005</t>
  </si>
  <si>
    <t>ФССЦ-2001, 01.7.20.04-0005, приказ Минстроя России №1039/пр от 30.12.2016г.</t>
  </si>
  <si>
    <t>Нитки швейные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</si>
  <si>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</si>
  <si>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</si>
  <si>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</si>
  <si>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14.4.02.09-0001</t>
  </si>
  <si>
    <t>ФССЦ-2001, 14.4.02.09-0001, приказ Минстроя России №1039/пр от 30.12.2016г.</t>
  </si>
  <si>
    <t>Краска</t>
  </si>
  <si>
    <t>14.4.03.17-0011</t>
  </si>
  <si>
    <t>ФССЦ-2001, 14.4.03.17-0011, приказ Минстроя России №1039/пр от 30.12.2016г.</t>
  </si>
  <si>
    <t>Лак электроизоляционный 318</t>
  </si>
  <si>
    <t>20.1.02.23-0082</t>
  </si>
  <si>
    <t>ФССЦ-2001, 20.1.02.23-0082, приказ Минстроя России №1039/пр от 30.12.2016г.</t>
  </si>
  <si>
    <t>Перемычки гибкие, тип ПГС-50</t>
  </si>
  <si>
    <t>04.3.01.09-0016</t>
  </si>
  <si>
    <t>ФССЦ-2001, 04.3.01.09-0016, приказ Минстроя России №1039/пр от 30.12.2016г.</t>
  </si>
  <si>
    <t>Раствор готовый кладочный цементный марки 200</t>
  </si>
  <si>
    <t>14.1.02.01-0002</t>
  </si>
  <si>
    <t>ФССЦ-2001, 14.1.02.01-0002, приказ Минстроя России №1039/пр от 30.12.2016г.</t>
  </si>
  <si>
    <t>Клей БМК-5к</t>
  </si>
  <si>
    <t>20.2.02.01-0019</t>
  </si>
  <si>
    <t>ФССЦ-2001, 20.2.02.01-0019, приказ Минстроя России №1039/пр от 30.12.2016г.</t>
  </si>
  <si>
    <t>Втулки изолирующие</t>
  </si>
  <si>
    <t>20.2.02.02-0011</t>
  </si>
  <si>
    <t>ФССЦ-2001, 20.2.02.02-0011, приказ Минстроя России №1039/пр от 30.12.2016г.</t>
  </si>
  <si>
    <t>Заглушки</t>
  </si>
  <si>
    <t>20.2.08.05-0017</t>
  </si>
  <si>
    <t>ФССЦ-2001, 20.2.08.05-0017, приказ Минстроя России №1039/пр от 30.12.2016г.</t>
  </si>
  <si>
    <t>Профиль монтажный</t>
  </si>
  <si>
    <t>1-100-41</t>
  </si>
  <si>
    <t>Рабочий среднего разряда 4.1</t>
  </si>
  <si>
    <t>08.3.03.05-0013</t>
  </si>
  <si>
    <t>ФССЦ-2001, 08.3.03.05-0013, приказ Минстроя России №1039/пр от 30.12.2016г.</t>
  </si>
  <si>
    <t>Проволока стальная низкоуглеродистая разного назначения оцинкованная диаметром 1,6 мм</t>
  </si>
  <si>
    <t>01.7.15.07-0152</t>
  </si>
  <si>
    <t>ФССЦ-2001, 01.7.15.07-0152, приказ Минстроя России №1039/пр от 30.12.2016г.</t>
  </si>
  <si>
    <t>Дюбель с шурупом 6/35 мм</t>
  </si>
  <si>
    <t>01.7.06.07-0001</t>
  </si>
  <si>
    <t>ФССЦ-2001, 01.7.06.07-0001, приказ Минстроя России №1039/пр от 30.12.2016г.</t>
  </si>
  <si>
    <t>Лента К226</t>
  </si>
  <si>
    <t>01.7.07.20-0002</t>
  </si>
  <si>
    <t>ФССЦ-2001, 01.7.07.20-0002, приказ Минстроя России №1039/пр от 30.12.2016г.</t>
  </si>
  <si>
    <t>Тальк молотый, сорт I</t>
  </si>
  <si>
    <t>20.2.01.05-0005</t>
  </si>
  <si>
    <t>ФССЦ-2001, 20.2.01.05-0005, приказ Минстроя России №1039/пр от 30.12.2016г.</t>
  </si>
  <si>
    <t>Гильза кабельная медная ГМ 16</t>
  </si>
  <si>
    <t>20.2.02.01-0013</t>
  </si>
  <si>
    <t>ФССЦ-2001, 20.2.02.01-0013, приказ Минстроя России №1039/пр от 30.12.2016г.</t>
  </si>
  <si>
    <t>Втулки В28</t>
  </si>
  <si>
    <t>01.7.15.14-0161</t>
  </si>
  <si>
    <t>ФССЦ-2001, 01.7.15.14-0161, приказ Минстроя России №1039/пр от 30.12.2016г.</t>
  </si>
  <si>
    <t>Шурупы с полукруглой головкой 2,5х20 мм</t>
  </si>
  <si>
    <t>1-100-46</t>
  </si>
  <si>
    <t>Рабочий среднего разряда 4.6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</si>
  <si>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</si>
  <si>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</si>
  <si>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</si>
  <si>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2-200-60</t>
  </si>
  <si>
    <t>Электромонтажник-наладчик, разряд VI</t>
  </si>
  <si>
    <t>2-400-30</t>
  </si>
  <si>
    <t>Инженер по наладке и испытаниям, категория III</t>
  </si>
  <si>
    <t>2-300-20</t>
  </si>
  <si>
    <t>Техник по наладке и испытаниям, категория II</t>
  </si>
  <si>
    <t>2-400-20</t>
  </si>
  <si>
    <t>Инженер по наладке и испытаниям, категория II</t>
  </si>
  <si>
    <t>01.3.05.17-0002</t>
  </si>
  <si>
    <t>ФССЦ-2001, 01.3.05.17-0002, приказ Минстроя России №1039/пр от 30.12.2016г.</t>
  </si>
  <si>
    <t>Канифоль сосновая</t>
  </si>
  <si>
    <t>01.7.15.07-0012</t>
  </si>
  <si>
    <t>ФССЦ-2001, 01.7.15.07-0012, приказ Минстроя России №1039/пр от 30.12.2016г.</t>
  </si>
  <si>
    <t>Дюбели пластмассовые с шурупами 12х70 мм</t>
  </si>
  <si>
    <t>10.3.02.03-0012</t>
  </si>
  <si>
    <t>ФССЦ-2001, 10.3.02.03-0012, приказ Минстроя России №1039/пр от 30.12.2016г.</t>
  </si>
  <si>
    <t>Припои оловянно-свинцовые бессурьмянистые марки ПОС40</t>
  </si>
  <si>
    <t>14.1.04.02-0002</t>
  </si>
  <si>
    <t>ФССЦ-2001, 14.1.04.02-0002, приказ Минстроя России №1039/пр от 30.12.2016г.</t>
  </si>
  <si>
    <t>Клей 88-СА</t>
  </si>
  <si>
    <t>20.2.01.05-0003</t>
  </si>
  <si>
    <t>ФССЦ-2001, 20.2.01.05-0003, приказ Минстроя России №1039/пр от 30.12.2016г.</t>
  </si>
  <si>
    <t>Гильза кабельная медная ГМ 6</t>
  </si>
  <si>
    <t>20.2.02.01-0012</t>
  </si>
  <si>
    <t>ФССЦ-2001, 20.2.02.01-0012, приказ Минстроя России №1039/пр от 30.12.2016г.</t>
  </si>
  <si>
    <t>Втулки В22</t>
  </si>
  <si>
    <t>1-100-50</t>
  </si>
  <si>
    <t>Рабочий среднего разряда 5</t>
  </si>
  <si>
    <t>01.7.07.07</t>
  </si>
  <si>
    <t>Строительный мусор</t>
  </si>
  <si>
    <t>19.2.03.09</t>
  </si>
  <si>
    <t>Решетки жалюзийные</t>
  </si>
  <si>
    <t>03.2.02.11</t>
  </si>
  <si>
    <t>Цемент</t>
  </si>
  <si>
    <t>Уголок внутренний для пластикового плинтуса</t>
  </si>
  <si>
    <t>11.2.09.07</t>
  </si>
  <si>
    <t>Плиты древесностружечные</t>
  </si>
  <si>
    <t>01.7.15.07</t>
  </si>
  <si>
    <t>Дюбели распорные полиэтиленовые</t>
  </si>
  <si>
    <t>01.7.15.14</t>
  </si>
  <si>
    <t>Шурупы строительные</t>
  </si>
  <si>
    <t>18.2.06.04</t>
  </si>
  <si>
    <t>Гарнитура туалетная</t>
  </si>
  <si>
    <t>18.1.01.01</t>
  </si>
  <si>
    <t>Арматура трубопроводная фланцевая</t>
  </si>
  <si>
    <t>23.8.03.12</t>
  </si>
  <si>
    <t>Фланцы стальные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</si>
  <si>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</si>
  <si>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Поправка: МДС 81-37.2004, п.3.2.1.4  Наименование: Для оборудования легковесного, габаритного, поступающего на стройку в собранном виде, при монтаже которого отсутствуют работы по сварке, демонтаж при условии что оборудование не подлежит дальнейшему использованию (предназначено в лом)  без разборки и резки</t>
  </si>
  <si>
    <t>Поправка: МДС 81-37.2004, п.3.2.1.2  Наименование: Для оборудования легковесного, габаритного, поступающего на стройку в собранном виде, при монтаже которого отсутствуют работы по сварке, демонтаж при условии что оборудование подлежит дальнейшему использованию, без надобности хранения (перемещается в цеху на другое место установки и т.п.)</t>
  </si>
  <si>
    <t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ПВХ, не распространяющий горение, с низким дымо- и газовыделением, с экраном из алюмолавсановой ленты, марки КПСЭнг-FRLS 1х2х0,75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</si>
  <si>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</si>
  <si>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</si>
  <si>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</si>
  <si>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</si>
  <si>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</si>
  <si>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</si>
  <si>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</si>
  <si>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</si>
  <si>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</si>
  <si>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</si>
  <si>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</si>
  <si>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</si>
  <si>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</si>
  <si>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</si>
  <si>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</si>
  <si>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</si>
  <si>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</si>
  <si>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</si>
  <si>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</si>
  <si>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</si>
  <si>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</si>
  <si>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</si>
  <si>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</si>
  <si>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 квартал 2018 года</t>
  </si>
  <si>
    <t>Зарплата</t>
  </si>
  <si>
    <t>НР от ФОТ</t>
  </si>
  <si>
    <t>%</t>
  </si>
  <si>
    <t>СП от ФОТ</t>
  </si>
  <si>
    <t>Затраты труда</t>
  </si>
  <si>
    <t>чел-ч</t>
  </si>
  <si>
    <t>в т.ч. зарплата машинистов</t>
  </si>
  <si>
    <t>Материальные ресурсы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</si>
  <si>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</si>
  <si>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</si>
  <si>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</si>
  <si>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</si>
  <si>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</si>
  <si>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</si>
  <si>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</si>
  <si>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</si>
  <si>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</si>
  <si>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</si>
  <si>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</si>
  <si>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</si>
  <si>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</si>
  <si>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</si>
  <si>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</si>
  <si>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</si>
  <si>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</si>
  <si>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</si>
  <si>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</si>
  <si>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</si>
  <si>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</si>
  <si>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</si>
  <si>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</si>
  <si>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</si>
  <si>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</si>
  <si>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</si>
  <si>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</si>
  <si>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</si>
  <si>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</si>
  <si>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</si>
  <si>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</si>
  <si>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</si>
  <si>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</si>
  <si>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</si>
  <si>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</si>
  <si>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</si>
  <si>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</si>
  <si>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</si>
  <si>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</si>
  <si>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</si>
  <si>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</si>
  <si>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</si>
  <si>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</si>
  <si>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</si>
  <si>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СП</t>
  </si>
  <si>
    <t xml:space="preserve">Итого с НР и СП </t>
  </si>
  <si>
    <t>% НР с поправкой</t>
  </si>
  <si>
    <t>СП с поправкой</t>
  </si>
  <si>
    <t>Коэфф. к сметной цене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</si>
  <si>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</si>
  <si>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</si>
  <si>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</si>
  <si>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</si>
  <si>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</si>
  <si>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</si>
  <si>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СМЕТА</t>
  </si>
  <si>
    <t>на капитальный ремонт  учебных аудиторий  4-го этажа учебно-научного корпуса "К" НИЯУ МИФИ по адресу: г. Москва, Каширское шоссе, д.31, стр.46</t>
  </si>
  <si>
    <t>Приложение 1 к форме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</si>
</sst>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18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wrapText="1"/>
    </xf>
    <xf numFmtId="0" fontId="11" fillId="0" borderId="0" xfId="0" applyFont="1" applyBorder="1"/>
    <xf numFmtId="0" fontId="14" fillId="0" borderId="0" xfId="0" applyFont="1" applyAlignment="1">
      <alignment vertical="center" wrapText="1"/>
    </xf>
    <xf numFmtId="0" fontId="13" fillId="0" borderId="0" xfId="0" applyFont="1" applyBorder="1" applyAlignment="1">
      <alignment horizont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4" fontId="11" fillId="0" borderId="0" xfId="0" applyNumberFormat="1" applyFont="1"/>
    <xf numFmtId="164" fontId="0" fillId="0" borderId="0" xfId="0" applyNumberFormat="1"/>
    <xf numFmtId="0" fontId="9" fillId="0" borderId="0" xfId="0" applyFont="1" applyAlignment="1">
      <alignment wrapText="1"/>
    </xf>
    <xf numFmtId="0" fontId="14" fillId="0" borderId="0" xfId="0" applyFont="1"/>
    <xf numFmtId="0" fontId="11" fillId="0" borderId="0" xfId="0" applyFont="1" applyAlignment="1">
      <alignment horizontal="left" wrapText="1"/>
    </xf>
    <xf numFmtId="0" fontId="11" fillId="0" borderId="2" xfId="0" applyFont="1" applyBorder="1" applyAlignment="1">
      <alignment horizontal="left" wrapText="1"/>
    </xf>
    <xf numFmtId="0" fontId="17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9" fillId="0" borderId="0" xfId="0" applyFont="1" applyAlignment="1">
      <alignment horizontal="right" wrapText="1"/>
    </xf>
    <xf numFmtId="0" fontId="17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0" fillId="0" borderId="2" xfId="0" applyNumberFormat="1" applyFont="1" applyBorder="1" applyAlignment="1">
      <alignment horizontal="right"/>
    </xf>
    <xf numFmtId="164" fontId="16" fillId="0" borderId="0" xfId="0" applyNumberFormat="1" applyFont="1" applyAlignment="1">
      <alignment horizontal="right"/>
    </xf>
    <xf numFmtId="164" fontId="17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2" xfId="0" quotePrefix="1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4" fontId="9" fillId="0" borderId="0" xfId="0" applyNumberFormat="1" applyFont="1" applyAlignment="1">
      <alignment horizontal="left"/>
    </xf>
    <xf numFmtId="0" fontId="15" fillId="0" borderId="2" xfId="0" applyFont="1" applyBorder="1" applyAlignment="1">
      <alignment horizontal="center" wrapText="1"/>
    </xf>
    <xf numFmtId="0" fontId="11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14" fontId="9" fillId="0" borderId="4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164" fontId="9" fillId="0" borderId="0" xfId="0" applyNumberFormat="1" applyFont="1" applyAlignment="1">
      <alignment horizontal="right" wrapText="1"/>
    </xf>
    <xf numFmtId="0" fontId="14" fillId="0" borderId="0" xfId="0" applyFont="1" applyAlignment="1">
      <alignment horizontal="right"/>
    </xf>
    <xf numFmtId="164" fontId="14" fillId="0" borderId="0" xfId="0" applyNumberFormat="1" applyFont="1" applyAlignment="1">
      <alignment horizontal="right"/>
    </xf>
    <xf numFmtId="0" fontId="11" fillId="0" borderId="14" xfId="0" applyFont="1" applyBorder="1" applyAlignment="1">
      <alignment horizontal="left" vertical="center" shrinkToFit="1"/>
    </xf>
    <xf numFmtId="0" fontId="11" fillId="0" borderId="14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top" shrinkToFit="1"/>
    </xf>
    <xf numFmtId="164" fontId="14" fillId="0" borderId="0" xfId="0" applyNumberFormat="1" applyFont="1" applyAlignment="1">
      <alignment horizontal="right"/>
    </xf>
    <xf numFmtId="0" fontId="14" fillId="0" borderId="0" xfId="0" applyFont="1" applyAlignment="1">
      <alignment horizontal="left" wrapText="1"/>
    </xf>
    <xf numFmtId="164" fontId="14" fillId="0" borderId="1" xfId="0" applyNumberFormat="1" applyFont="1" applyBorder="1" applyAlignment="1">
      <alignment horizontal="right"/>
    </xf>
    <xf numFmtId="0" fontId="12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 wrapText="1"/>
    </xf>
    <xf numFmtId="0" fontId="14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0" xfId="0" applyFont="1"/>
    <xf numFmtId="0" fontId="11" fillId="0" borderId="2" xfId="0" applyFont="1" applyBorder="1" applyAlignment="1">
      <alignment horizontal="left"/>
    </xf>
    <xf numFmtId="0" fontId="11" fillId="0" borderId="0" xfId="0" applyFont="1" applyAlignment="1">
      <alignment horizontal="right"/>
    </xf>
    <xf numFmtId="0" fontId="13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10" fillId="0" borderId="15" xfId="0" applyFont="1" applyBorder="1" applyAlignment="1">
      <alignment horizontal="center" vertical="top" shrinkToFi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 vertical="center" shrinkToFit="1"/>
    </xf>
    <xf numFmtId="0" fontId="11" fillId="0" borderId="14" xfId="0" applyFont="1" applyBorder="1" applyAlignment="1">
      <alignment horizontal="left" vertical="center" shrinkToFit="1"/>
    </xf>
    <xf numFmtId="164" fontId="14" fillId="0" borderId="2" xfId="0" applyNumberFormat="1" applyFont="1" applyBorder="1" applyAlignment="1">
      <alignment horizontal="right"/>
    </xf>
    <xf numFmtId="0" fontId="11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8" xfId="0" applyFont="1" applyBorder="1" applyAlignment="1">
      <alignment horizontal="right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14" fontId="11" fillId="0" borderId="5" xfId="0" applyNumberFormat="1" applyFont="1" applyBorder="1" applyAlignment="1">
      <alignment horizontal="center"/>
    </xf>
    <xf numFmtId="14" fontId="11" fillId="0" borderId="6" xfId="0" applyNumberFormat="1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2" xfId="0" applyFont="1" applyBorder="1" applyAlignment="1">
      <alignment horizontal="left" wrapText="1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0" fillId="0" borderId="0" xfId="0" applyFont="1" applyAlignment="1">
      <alignment horizontal="right"/>
    </xf>
    <xf numFmtId="0" fontId="11" fillId="0" borderId="5" xfId="0" quotePrefix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555"/>
  <sheetViews>
    <sheetView tabSelected="1" zoomScale="70" zoomScaleNormal="70" workbookViewId="0">
      <selection activeCell="B10" sqref="B10:K10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6" width="0" hidden="1" customWidth="1"/>
  </cols>
  <sheetData>
    <row r="1" spans="1:30" x14ac:dyDescent="0.2">
      <c r="A1" s="10" t="str">
        <f>Source!B1</f>
        <v>Smeta.RU  (495) 974-1589</v>
      </c>
      <c r="I1" t="s">
        <v>1030</v>
      </c>
    </row>
    <row r="2" spans="1:30" ht="14.25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2"/>
      <c r="L2" s="12"/>
    </row>
    <row r="3" spans="1:30" ht="14.25" x14ac:dyDescent="0.2">
      <c r="A3" s="15"/>
      <c r="B3" s="76"/>
      <c r="C3" s="76"/>
      <c r="D3" s="76"/>
      <c r="E3" s="76"/>
      <c r="F3" s="76"/>
      <c r="G3" s="76"/>
      <c r="H3" s="76"/>
      <c r="I3" s="76"/>
      <c r="J3" s="76"/>
      <c r="K3" s="76"/>
      <c r="L3" s="14"/>
    </row>
    <row r="4" spans="1:30" ht="14.25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30" ht="14.25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</row>
    <row r="6" spans="1:30" ht="15.75" x14ac:dyDescent="0.25">
      <c r="A6" s="16"/>
      <c r="B6" s="74" t="s">
        <v>1028</v>
      </c>
      <c r="C6" s="74"/>
      <c r="D6" s="74"/>
      <c r="E6" s="74"/>
      <c r="F6" s="74"/>
      <c r="G6" s="74"/>
      <c r="H6" s="74"/>
      <c r="I6" s="74"/>
      <c r="J6" s="74"/>
      <c r="K6" s="74"/>
      <c r="L6" s="16"/>
    </row>
    <row r="7" spans="1:30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6"/>
    </row>
    <row r="8" spans="1:30" ht="18" hidden="1" x14ac:dyDescent="0.25">
      <c r="A8" s="16"/>
      <c r="B8" s="75" t="str">
        <f>IF(Source!G20&lt;&gt;"Новая локальная смета", Source!G20, "")</f>
        <v/>
      </c>
      <c r="C8" s="75"/>
      <c r="D8" s="75"/>
      <c r="E8" s="75"/>
      <c r="F8" s="75"/>
      <c r="G8" s="75"/>
      <c r="H8" s="75"/>
      <c r="I8" s="75"/>
      <c r="J8" s="75"/>
      <c r="K8" s="75"/>
      <c r="L8" s="16"/>
    </row>
    <row r="9" spans="1:30" ht="14.25" hidden="1" x14ac:dyDescent="0.2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  <row r="10" spans="1:30" ht="36" x14ac:dyDescent="0.25">
      <c r="A10" s="12"/>
      <c r="B10" s="75" t="str">
        <f>IF(Source!G12&lt;&gt;"Новый объект", Source!G12, "")</f>
        <v>на капитальный ремонт  учебных аудиторий  4-го этажа учебно-научного корпуса "К" НИЯУ МИФИ по адресу: г. Москва, Каширское шоссе, д.31, стр.46</v>
      </c>
      <c r="C10" s="75"/>
      <c r="D10" s="75"/>
      <c r="E10" s="75"/>
      <c r="F10" s="75"/>
      <c r="G10" s="75"/>
      <c r="H10" s="75"/>
      <c r="I10" s="75"/>
      <c r="J10" s="75"/>
      <c r="K10" s="75"/>
      <c r="L10" s="18"/>
      <c r="AD10" s="50" t="str">
        <f>IF(Source!G12&lt;&gt;"Новый объект", Source!G12, "")</f>
        <v>на капитальный ремонт  учебных аудиторий  4-го этажа учебно-научного корпуса "К" НИЯУ МИФИ по адресу: г. Москва, Каширское шоссе, д.31, стр.46</v>
      </c>
    </row>
    <row r="11" spans="1:30" ht="14.25" x14ac:dyDescent="0.2">
      <c r="A11" s="12"/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14"/>
    </row>
    <row r="12" spans="1:30" ht="14.25" x14ac:dyDescent="0.2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</row>
    <row r="13" spans="1:30" ht="14.25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4" spans="1:30" ht="14.25" x14ac:dyDescent="0.2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30" ht="14.25" x14ac:dyDescent="0.2">
      <c r="A15" s="12"/>
      <c r="B15" s="12"/>
      <c r="C15" s="12"/>
      <c r="D15" s="12"/>
      <c r="E15" s="19"/>
      <c r="F15" s="19"/>
      <c r="G15" s="77" t="s">
        <v>941</v>
      </c>
      <c r="H15" s="77"/>
      <c r="I15" s="77" t="s">
        <v>942</v>
      </c>
      <c r="J15" s="77"/>
      <c r="K15" s="12"/>
      <c r="L15" s="12"/>
    </row>
    <row r="16" spans="1:30" ht="15" x14ac:dyDescent="0.25">
      <c r="A16" s="12"/>
      <c r="B16" s="12"/>
      <c r="C16" s="69" t="s">
        <v>943</v>
      </c>
      <c r="D16" s="69"/>
      <c r="E16" s="69"/>
      <c r="F16" s="69"/>
      <c r="G16" s="70">
        <f>SUM(O27:O552)/1000</f>
        <v>330.43835000000001</v>
      </c>
      <c r="H16" s="70"/>
      <c r="I16" s="70">
        <f>(Source!F305/1000)</f>
        <v>2601.8162699999998</v>
      </c>
      <c r="J16" s="70"/>
      <c r="K16" s="71" t="s">
        <v>944</v>
      </c>
      <c r="L16" s="71"/>
    </row>
    <row r="17" spans="1:22" ht="14.25" x14ac:dyDescent="0.2">
      <c r="A17" s="12"/>
      <c r="B17" s="12"/>
      <c r="C17" s="73" t="s">
        <v>945</v>
      </c>
      <c r="D17" s="73"/>
      <c r="E17" s="73"/>
      <c r="F17" s="73"/>
      <c r="G17" s="70">
        <f>SUM(W27:W552)/1000</f>
        <v>210.45022000000003</v>
      </c>
      <c r="H17" s="70"/>
      <c r="I17" s="70">
        <f>(Source!F292)/1000</f>
        <v>1374.71065</v>
      </c>
      <c r="J17" s="70"/>
      <c r="K17" s="71" t="s">
        <v>944</v>
      </c>
      <c r="L17" s="71"/>
    </row>
    <row r="18" spans="1:22" ht="14.25" x14ac:dyDescent="0.2">
      <c r="A18" s="12"/>
      <c r="B18" s="12"/>
      <c r="C18" s="73" t="s">
        <v>946</v>
      </c>
      <c r="D18" s="73"/>
      <c r="E18" s="73"/>
      <c r="F18" s="73"/>
      <c r="G18" s="70">
        <f>SUM(X27:X552)/1000</f>
        <v>116.19785</v>
      </c>
      <c r="H18" s="70"/>
      <c r="I18" s="70">
        <f>(Source!F293)/1000</f>
        <v>758.77175</v>
      </c>
      <c r="J18" s="70"/>
      <c r="K18" s="71" t="s">
        <v>944</v>
      </c>
      <c r="L18" s="71"/>
    </row>
    <row r="19" spans="1:22" ht="14.25" x14ac:dyDescent="0.2">
      <c r="A19" s="12"/>
      <c r="B19" s="12"/>
      <c r="C19" s="73" t="s">
        <v>947</v>
      </c>
      <c r="D19" s="73"/>
      <c r="E19" s="73"/>
      <c r="F19" s="73"/>
      <c r="G19" s="70">
        <f>SUM(Y27:Y552)/1000</f>
        <v>0</v>
      </c>
      <c r="H19" s="70"/>
      <c r="I19" s="70">
        <f>(Source!F284)/1000</f>
        <v>0</v>
      </c>
      <c r="J19" s="70"/>
      <c r="K19" s="71" t="s">
        <v>944</v>
      </c>
      <c r="L19" s="71"/>
    </row>
    <row r="20" spans="1:22" ht="14.25" x14ac:dyDescent="0.2">
      <c r="A20" s="12"/>
      <c r="B20" s="12"/>
      <c r="C20" s="73" t="s">
        <v>948</v>
      </c>
      <c r="D20" s="73"/>
      <c r="E20" s="73"/>
      <c r="F20" s="73"/>
      <c r="G20" s="70">
        <f>SUM(Z27:Z552)/1000</f>
        <v>3.7902799999999996</v>
      </c>
      <c r="H20" s="70"/>
      <c r="I20" s="70">
        <f>(Source!F294+Source!F295)/1000</f>
        <v>71.446640000000002</v>
      </c>
      <c r="J20" s="70"/>
      <c r="K20" s="71" t="s">
        <v>944</v>
      </c>
      <c r="L20" s="71"/>
    </row>
    <row r="21" spans="1:22" ht="15" x14ac:dyDescent="0.25">
      <c r="A21" s="12"/>
      <c r="B21" s="12"/>
      <c r="C21" s="69" t="s">
        <v>949</v>
      </c>
      <c r="D21" s="69"/>
      <c r="E21" s="69"/>
      <c r="F21" s="69"/>
      <c r="G21" s="70">
        <f>I21</f>
        <v>2330.68845775</v>
      </c>
      <c r="H21" s="70"/>
      <c r="I21" s="70">
        <f>(Source!F297+Source!F298)</f>
        <v>2330.68845775</v>
      </c>
      <c r="J21" s="70"/>
      <c r="K21" s="71" t="s">
        <v>950</v>
      </c>
      <c r="L21" s="71"/>
    </row>
    <row r="22" spans="1:22" ht="15" x14ac:dyDescent="0.25">
      <c r="A22" s="12"/>
      <c r="B22" s="12"/>
      <c r="C22" s="69" t="s">
        <v>951</v>
      </c>
      <c r="D22" s="69"/>
      <c r="E22" s="69"/>
      <c r="F22" s="69"/>
      <c r="G22" s="70">
        <f>SUM(R27:R552)/1000</f>
        <v>21.775200000000002</v>
      </c>
      <c r="H22" s="70"/>
      <c r="I22" s="70">
        <f>(Source!F290+ Source!F289)/1000</f>
        <v>164.97018</v>
      </c>
      <c r="J22" s="70"/>
      <c r="K22" s="71" t="s">
        <v>944</v>
      </c>
      <c r="L22" s="71"/>
    </row>
    <row r="23" spans="1:22" ht="14.25" x14ac:dyDescent="0.2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2" ht="14.25" x14ac:dyDescent="0.2">
      <c r="A24" s="72" t="s">
        <v>964</v>
      </c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</row>
    <row r="25" spans="1:22" ht="57" x14ac:dyDescent="0.2">
      <c r="A25" s="20" t="s">
        <v>952</v>
      </c>
      <c r="B25" s="20" t="s">
        <v>953</v>
      </c>
      <c r="C25" s="20" t="s">
        <v>954</v>
      </c>
      <c r="D25" s="20" t="s">
        <v>955</v>
      </c>
      <c r="E25" s="20" t="s">
        <v>956</v>
      </c>
      <c r="F25" s="20" t="s">
        <v>957</v>
      </c>
      <c r="G25" s="20" t="s">
        <v>958</v>
      </c>
      <c r="H25" s="20" t="s">
        <v>959</v>
      </c>
      <c r="I25" s="20" t="s">
        <v>960</v>
      </c>
      <c r="J25" s="20" t="s">
        <v>961</v>
      </c>
      <c r="K25" s="20" t="s">
        <v>962</v>
      </c>
      <c r="L25" s="20" t="s">
        <v>963</v>
      </c>
    </row>
    <row r="26" spans="1:22" ht="14.25" x14ac:dyDescent="0.2">
      <c r="A26" s="21">
        <v>1</v>
      </c>
      <c r="B26" s="21">
        <v>2</v>
      </c>
      <c r="C26" s="21">
        <v>3</v>
      </c>
      <c r="D26" s="21">
        <v>4</v>
      </c>
      <c r="E26" s="21">
        <v>5</v>
      </c>
      <c r="F26" s="21">
        <v>6</v>
      </c>
      <c r="G26" s="21">
        <v>7</v>
      </c>
      <c r="H26" s="21">
        <v>8</v>
      </c>
      <c r="I26" s="21">
        <v>9</v>
      </c>
      <c r="J26" s="21">
        <v>10</v>
      </c>
      <c r="K26" s="21">
        <v>11</v>
      </c>
      <c r="L26" s="22">
        <v>12</v>
      </c>
    </row>
    <row r="28" spans="1:22" ht="16.5" x14ac:dyDescent="0.25">
      <c r="A28" s="66" t="str">
        <f>CONCATENATE("Раздел: ",IF(Source!G24&lt;&gt;"Новый раздел", Source!G24, ""))</f>
        <v>Раздел: 1 Общестроительные работы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</row>
    <row r="29" spans="1:22" ht="14.25" x14ac:dyDescent="0.2">
      <c r="A29" s="45" t="str">
        <f>Source!E28</f>
        <v>1</v>
      </c>
      <c r="B29" s="46" t="str">
        <f>Source!F28</f>
        <v>57-3-1</v>
      </c>
      <c r="C29" s="46" t="str">
        <f>Source!G28</f>
        <v>Разборка плинтусов деревянных</v>
      </c>
      <c r="D29" s="29" t="str">
        <f>Source!H28</f>
        <v>100 м</v>
      </c>
      <c r="E29" s="11">
        <f>Source!I28</f>
        <v>1.7048000000000001</v>
      </c>
      <c r="F29" s="30">
        <f>Source!AL28+Source!AM28+Source!AO28</f>
        <v>29.41</v>
      </c>
      <c r="G29" s="31"/>
      <c r="H29" s="30"/>
      <c r="I29" s="31" t="str">
        <f>Source!BO28</f>
        <v/>
      </c>
      <c r="J29" s="31"/>
      <c r="K29" s="30"/>
      <c r="L29" s="32"/>
      <c r="S29">
        <f>ROUND((Source!FX28/100)*((ROUND(Source!AF28*Source!I28, 2)+ROUND(Source!AE28*Source!I28, 2))), 2)</f>
        <v>40.11</v>
      </c>
      <c r="T29">
        <f>Source!X28</f>
        <v>261.92</v>
      </c>
      <c r="U29">
        <f>ROUND((Source!FY28/100)*((ROUND(Source!AF28*Source!I28, 2)+ROUND(Source!AE28*Source!I28, 2))), 2)</f>
        <v>34.1</v>
      </c>
      <c r="V29">
        <f>Source!Y28</f>
        <v>222.63</v>
      </c>
    </row>
    <row r="30" spans="1:22" ht="14.25" x14ac:dyDescent="0.2">
      <c r="A30" s="45"/>
      <c r="B30" s="46"/>
      <c r="C30" s="46" t="s">
        <v>965</v>
      </c>
      <c r="D30" s="29"/>
      <c r="E30" s="11"/>
      <c r="F30" s="30">
        <f>Source!AO28</f>
        <v>29.41</v>
      </c>
      <c r="G30" s="31" t="str">
        <f>Source!DG28</f>
        <v/>
      </c>
      <c r="H30" s="30">
        <f>ROUND(Source!AF28*Source!I28, 2)</f>
        <v>50.14</v>
      </c>
      <c r="I30" s="31"/>
      <c r="J30" s="31">
        <f>IF(Source!BA28&lt;&gt; 0, Source!BA28, 1)</f>
        <v>6.53</v>
      </c>
      <c r="K30" s="30">
        <f>Source!S28</f>
        <v>327.39999999999998</v>
      </c>
      <c r="L30" s="32"/>
      <c r="R30">
        <f>H30</f>
        <v>50.14</v>
      </c>
    </row>
    <row r="31" spans="1:22" ht="14.25" x14ac:dyDescent="0.2">
      <c r="A31" s="45"/>
      <c r="B31" s="46"/>
      <c r="C31" s="46" t="s">
        <v>966</v>
      </c>
      <c r="D31" s="29" t="s">
        <v>967</v>
      </c>
      <c r="E31" s="11">
        <f>Source!BZ28</f>
        <v>80</v>
      </c>
      <c r="F31" s="49"/>
      <c r="G31" s="31"/>
      <c r="H31" s="30">
        <f>SUM(S29:S33)</f>
        <v>40.11</v>
      </c>
      <c r="I31" s="33"/>
      <c r="J31" s="27">
        <f>Source!AT28</f>
        <v>80</v>
      </c>
      <c r="K31" s="30">
        <f>SUM(T29:T33)</f>
        <v>261.92</v>
      </c>
      <c r="L31" s="32"/>
    </row>
    <row r="32" spans="1:22" ht="14.25" x14ac:dyDescent="0.2">
      <c r="A32" s="45"/>
      <c r="B32" s="46"/>
      <c r="C32" s="46" t="s">
        <v>968</v>
      </c>
      <c r="D32" s="29" t="s">
        <v>967</v>
      </c>
      <c r="E32" s="11">
        <f>Source!CA28</f>
        <v>68</v>
      </c>
      <c r="F32" s="49"/>
      <c r="G32" s="31"/>
      <c r="H32" s="30">
        <f>SUM(U29:U33)</f>
        <v>34.1</v>
      </c>
      <c r="I32" s="33"/>
      <c r="J32" s="27">
        <f>Source!AU28</f>
        <v>68</v>
      </c>
      <c r="K32" s="30">
        <f>SUM(V29:V33)</f>
        <v>222.63</v>
      </c>
      <c r="L32" s="32"/>
    </row>
    <row r="33" spans="1:26" ht="14.25" x14ac:dyDescent="0.2">
      <c r="A33" s="47"/>
      <c r="B33" s="48"/>
      <c r="C33" s="48" t="s">
        <v>969</v>
      </c>
      <c r="D33" s="34" t="s">
        <v>970</v>
      </c>
      <c r="E33" s="35">
        <f>Source!AQ28</f>
        <v>3.77</v>
      </c>
      <c r="F33" s="36"/>
      <c r="G33" s="37" t="str">
        <f>Source!DI28</f>
        <v/>
      </c>
      <c r="H33" s="36"/>
      <c r="I33" s="37"/>
      <c r="J33" s="37"/>
      <c r="K33" s="36"/>
      <c r="L33" s="38">
        <f>Source!U28</f>
        <v>6.4270960000000006</v>
      </c>
    </row>
    <row r="34" spans="1:26" ht="15" x14ac:dyDescent="0.25">
      <c r="G34" s="65">
        <f>H30+H31+H32</f>
        <v>124.35</v>
      </c>
      <c r="H34" s="65"/>
      <c r="J34" s="65">
        <f>K30+K31+K32</f>
        <v>811.94999999999993</v>
      </c>
      <c r="K34" s="65"/>
      <c r="L34" s="39">
        <f>Source!U28</f>
        <v>6.4270960000000006</v>
      </c>
      <c r="O34" s="24">
        <f>G34</f>
        <v>124.35</v>
      </c>
      <c r="P34" s="24">
        <f>J34</f>
        <v>811.94999999999993</v>
      </c>
      <c r="Q34" s="24">
        <f>L34</f>
        <v>6.4270960000000006</v>
      </c>
      <c r="W34">
        <f>IF(Source!BI28&lt;=1,H30+H31+H32, 0)</f>
        <v>124.35</v>
      </c>
      <c r="X34">
        <f>IF(Source!BI28=2,H30+H31+H32, 0)</f>
        <v>0</v>
      </c>
      <c r="Y34">
        <f>IF(Source!BI28=3,H30+H31+H32, 0)</f>
        <v>0</v>
      </c>
      <c r="Z34">
        <f>IF(Source!BI28=4,H30+H31+H32, 0)</f>
        <v>0</v>
      </c>
    </row>
    <row r="35" spans="1:26" ht="28.5" x14ac:dyDescent="0.2">
      <c r="A35" s="45" t="str">
        <f>Source!E29</f>
        <v>2</v>
      </c>
      <c r="B35" s="46" t="str">
        <f>Source!F29</f>
        <v>57-2-1</v>
      </c>
      <c r="C35" s="46" t="str">
        <f>Source!G29</f>
        <v>Разборка покрытий полов из линолеума</v>
      </c>
      <c r="D35" s="29" t="str">
        <f>Source!H29</f>
        <v>100 м2</v>
      </c>
      <c r="E35" s="11">
        <f>Source!I29</f>
        <v>2.7930000000000001</v>
      </c>
      <c r="F35" s="30">
        <f>Source!AL29+Source!AM29+Source!AO29</f>
        <v>92.9</v>
      </c>
      <c r="G35" s="31"/>
      <c r="H35" s="30"/>
      <c r="I35" s="31" t="str">
        <f>Source!BO29</f>
        <v/>
      </c>
      <c r="J35" s="31"/>
      <c r="K35" s="30"/>
      <c r="L35" s="32"/>
      <c r="S35">
        <f>ROUND((Source!FX29/100)*((ROUND(Source!AF29*Source!I29, 2)+ROUND(Source!AE29*Source!I29, 2))), 2)</f>
        <v>202.44</v>
      </c>
      <c r="T35">
        <f>Source!X29</f>
        <v>1321.91</v>
      </c>
      <c r="U35">
        <f>ROUND((Source!FY29/100)*((ROUND(Source!AF29*Source!I29, 2)+ROUND(Source!AE29*Source!I29, 2))), 2)</f>
        <v>172.07</v>
      </c>
      <c r="V35">
        <f>Source!Y29</f>
        <v>1123.6300000000001</v>
      </c>
    </row>
    <row r="36" spans="1:26" ht="14.25" x14ac:dyDescent="0.2">
      <c r="A36" s="45"/>
      <c r="B36" s="46"/>
      <c r="C36" s="46" t="s">
        <v>965</v>
      </c>
      <c r="D36" s="29"/>
      <c r="E36" s="11"/>
      <c r="F36" s="30">
        <f>Source!AO29</f>
        <v>88.84</v>
      </c>
      <c r="G36" s="31" t="str">
        <f>Source!DG29</f>
        <v/>
      </c>
      <c r="H36" s="30">
        <f>ROUND(Source!AF29*Source!I29, 2)</f>
        <v>248.13</v>
      </c>
      <c r="I36" s="31"/>
      <c r="J36" s="31">
        <f>IF(Source!BA29&lt;&gt; 0, Source!BA29, 1)</f>
        <v>6.53</v>
      </c>
      <c r="K36" s="30">
        <f>Source!S29</f>
        <v>1620.29</v>
      </c>
      <c r="L36" s="32"/>
      <c r="R36">
        <f>H36</f>
        <v>248.13</v>
      </c>
    </row>
    <row r="37" spans="1:26" ht="14.25" x14ac:dyDescent="0.2">
      <c r="A37" s="45"/>
      <c r="B37" s="46"/>
      <c r="C37" s="46" t="s">
        <v>284</v>
      </c>
      <c r="D37" s="29"/>
      <c r="E37" s="11"/>
      <c r="F37" s="30">
        <f>Source!AM29</f>
        <v>4.0599999999999996</v>
      </c>
      <c r="G37" s="31" t="str">
        <f>Source!DE29</f>
        <v/>
      </c>
      <c r="H37" s="30">
        <f>ROUND(Source!AD29*Source!I29, 2)</f>
        <v>11.34</v>
      </c>
      <c r="I37" s="31"/>
      <c r="J37" s="31">
        <f>IF(Source!BB29&lt;&gt; 0, Source!BB29, 1)</f>
        <v>6.53</v>
      </c>
      <c r="K37" s="30">
        <f>Source!Q29</f>
        <v>74.05</v>
      </c>
      <c r="L37" s="32"/>
    </row>
    <row r="38" spans="1:26" ht="14.25" x14ac:dyDescent="0.2">
      <c r="A38" s="45"/>
      <c r="B38" s="46"/>
      <c r="C38" s="46" t="s">
        <v>971</v>
      </c>
      <c r="D38" s="29"/>
      <c r="E38" s="11"/>
      <c r="F38" s="30">
        <f>Source!AN29</f>
        <v>1.76</v>
      </c>
      <c r="G38" s="31" t="str">
        <f>Source!DF29</f>
        <v/>
      </c>
      <c r="H38" s="40">
        <f>ROUND(Source!AE29*Source!I29, 2)</f>
        <v>4.92</v>
      </c>
      <c r="I38" s="31"/>
      <c r="J38" s="31">
        <f>IF(Source!BS29&lt;&gt; 0, Source!BS29, 1)</f>
        <v>6.53</v>
      </c>
      <c r="K38" s="40">
        <f>Source!R29</f>
        <v>32.1</v>
      </c>
      <c r="L38" s="32"/>
      <c r="R38">
        <f>H38</f>
        <v>4.92</v>
      </c>
    </row>
    <row r="39" spans="1:26" ht="14.25" x14ac:dyDescent="0.2">
      <c r="A39" s="45"/>
      <c r="B39" s="46"/>
      <c r="C39" s="46" t="s">
        <v>966</v>
      </c>
      <c r="D39" s="29" t="s">
        <v>967</v>
      </c>
      <c r="E39" s="11">
        <f>Source!BZ29</f>
        <v>80</v>
      </c>
      <c r="F39" s="49"/>
      <c r="G39" s="31"/>
      <c r="H39" s="30">
        <f>SUM(S35:S41)</f>
        <v>202.44</v>
      </c>
      <c r="I39" s="33"/>
      <c r="J39" s="27">
        <f>Source!AT29</f>
        <v>80</v>
      </c>
      <c r="K39" s="30">
        <f>SUM(T35:T41)</f>
        <v>1321.91</v>
      </c>
      <c r="L39" s="32"/>
    </row>
    <row r="40" spans="1:26" ht="14.25" x14ac:dyDescent="0.2">
      <c r="A40" s="45"/>
      <c r="B40" s="46"/>
      <c r="C40" s="46" t="s">
        <v>968</v>
      </c>
      <c r="D40" s="29" t="s">
        <v>967</v>
      </c>
      <c r="E40" s="11">
        <f>Source!CA29</f>
        <v>68</v>
      </c>
      <c r="F40" s="49"/>
      <c r="G40" s="31"/>
      <c r="H40" s="30">
        <f>SUM(U35:U41)</f>
        <v>172.07</v>
      </c>
      <c r="I40" s="33"/>
      <c r="J40" s="27">
        <f>Source!AU29</f>
        <v>68</v>
      </c>
      <c r="K40" s="30">
        <f>SUM(V35:V41)</f>
        <v>1123.6300000000001</v>
      </c>
      <c r="L40" s="32"/>
    </row>
    <row r="41" spans="1:26" ht="14.25" x14ac:dyDescent="0.2">
      <c r="A41" s="47"/>
      <c r="B41" s="48"/>
      <c r="C41" s="48" t="s">
        <v>969</v>
      </c>
      <c r="D41" s="34" t="s">
        <v>970</v>
      </c>
      <c r="E41" s="35">
        <f>Source!AQ29</f>
        <v>11.39</v>
      </c>
      <c r="F41" s="36"/>
      <c r="G41" s="37" t="str">
        <f>Source!DI29</f>
        <v/>
      </c>
      <c r="H41" s="36"/>
      <c r="I41" s="37"/>
      <c r="J41" s="37"/>
      <c r="K41" s="36"/>
      <c r="L41" s="38">
        <f>Source!U29</f>
        <v>31.812270000000002</v>
      </c>
    </row>
    <row r="42" spans="1:26" ht="15" x14ac:dyDescent="0.25">
      <c r="G42" s="65">
        <f>H36+H37+H39+H40</f>
        <v>633.98</v>
      </c>
      <c r="H42" s="65"/>
      <c r="J42" s="65">
        <f>K36+K37+K39+K40</f>
        <v>4139.88</v>
      </c>
      <c r="K42" s="65"/>
      <c r="L42" s="39">
        <f>Source!U29</f>
        <v>31.812270000000002</v>
      </c>
      <c r="O42" s="24">
        <f>G42</f>
        <v>633.98</v>
      </c>
      <c r="P42" s="24">
        <f>J42</f>
        <v>4139.88</v>
      </c>
      <c r="Q42" s="24">
        <f>L42</f>
        <v>31.812270000000002</v>
      </c>
      <c r="W42">
        <f>IF(Source!BI29&lt;=1,H36+H37+H39+H40, 0)</f>
        <v>633.98</v>
      </c>
      <c r="X42">
        <f>IF(Source!BI29=2,H36+H37+H39+H40, 0)</f>
        <v>0</v>
      </c>
      <c r="Y42">
        <f>IF(Source!BI29=3,H36+H37+H39+H40, 0)</f>
        <v>0</v>
      </c>
      <c r="Z42">
        <f>IF(Source!BI29=4,H36+H37+H39+H40, 0)</f>
        <v>0</v>
      </c>
    </row>
    <row r="43" spans="1:26" ht="14.25" x14ac:dyDescent="0.2">
      <c r="A43" s="45" t="str">
        <f>Source!E30</f>
        <v>3</v>
      </c>
      <c r="B43" s="46" t="str">
        <f>Source!F30</f>
        <v>65-33-1</v>
      </c>
      <c r="C43" s="46" t="str">
        <f>Source!G30</f>
        <v>Смена жалюзийных решеток</v>
      </c>
      <c r="D43" s="29" t="str">
        <f>Source!H30</f>
        <v>100 ШТ</v>
      </c>
      <c r="E43" s="11">
        <f>Source!I30</f>
        <v>0.13</v>
      </c>
      <c r="F43" s="30">
        <f>Source!AL30+Source!AM30+Source!AO30</f>
        <v>430.86</v>
      </c>
      <c r="G43" s="31"/>
      <c r="H43" s="30"/>
      <c r="I43" s="31" t="str">
        <f>Source!BO30</f>
        <v/>
      </c>
      <c r="J43" s="31"/>
      <c r="K43" s="30"/>
      <c r="L43" s="32"/>
      <c r="S43">
        <f>ROUND((Source!FX30/100)*((ROUND(Source!AF30*Source!I30, 2)+ROUND(Source!AE30*Source!I30, 2))), 2)</f>
        <v>52.78</v>
      </c>
      <c r="T43">
        <f>Source!X30</f>
        <v>344.63</v>
      </c>
      <c r="U43">
        <f>ROUND((Source!FY30/100)*((ROUND(Source!AF30*Source!I30, 2)+ROUND(Source!AE30*Source!I30, 2))), 2)</f>
        <v>30.74</v>
      </c>
      <c r="V43">
        <f>Source!Y30</f>
        <v>200.75</v>
      </c>
    </row>
    <row r="44" spans="1:26" ht="14.25" x14ac:dyDescent="0.2">
      <c r="A44" s="45"/>
      <c r="B44" s="46"/>
      <c r="C44" s="46" t="s">
        <v>965</v>
      </c>
      <c r="D44" s="29"/>
      <c r="E44" s="11"/>
      <c r="F44" s="30">
        <f>Source!AO30</f>
        <v>394</v>
      </c>
      <c r="G44" s="31" t="str">
        <f>Source!DG30</f>
        <v/>
      </c>
      <c r="H44" s="30">
        <f>ROUND(Source!AF30*Source!I30, 2)</f>
        <v>51.22</v>
      </c>
      <c r="I44" s="31"/>
      <c r="J44" s="31">
        <f>IF(Source!BA30&lt;&gt; 0, Source!BA30, 1)</f>
        <v>6.53</v>
      </c>
      <c r="K44" s="30">
        <f>Source!S30</f>
        <v>334.47</v>
      </c>
      <c r="L44" s="32"/>
      <c r="R44">
        <f>H44</f>
        <v>51.22</v>
      </c>
    </row>
    <row r="45" spans="1:26" ht="14.25" x14ac:dyDescent="0.2">
      <c r="A45" s="45"/>
      <c r="B45" s="46"/>
      <c r="C45" s="46" t="s">
        <v>284</v>
      </c>
      <c r="D45" s="29"/>
      <c r="E45" s="11"/>
      <c r="F45" s="30">
        <f>Source!AM30</f>
        <v>0.31</v>
      </c>
      <c r="G45" s="31" t="str">
        <f>Source!DE30</f>
        <v/>
      </c>
      <c r="H45" s="30">
        <f>ROUND(Source!AD30*Source!I30, 2)</f>
        <v>0.04</v>
      </c>
      <c r="I45" s="31"/>
      <c r="J45" s="31">
        <f>IF(Source!BB30&lt;&gt; 0, Source!BB30, 1)</f>
        <v>6.53</v>
      </c>
      <c r="K45" s="30">
        <f>Source!Q30</f>
        <v>0.26</v>
      </c>
      <c r="L45" s="32"/>
    </row>
    <row r="46" spans="1:26" ht="14.25" x14ac:dyDescent="0.2">
      <c r="A46" s="45"/>
      <c r="B46" s="46"/>
      <c r="C46" s="46" t="s">
        <v>971</v>
      </c>
      <c r="D46" s="29"/>
      <c r="E46" s="11"/>
      <c r="F46" s="30">
        <f>Source!AN30</f>
        <v>0.14000000000000001</v>
      </c>
      <c r="G46" s="31" t="str">
        <f>Source!DF30</f>
        <v/>
      </c>
      <c r="H46" s="40">
        <f>ROUND(Source!AE30*Source!I30, 2)</f>
        <v>0.02</v>
      </c>
      <c r="I46" s="31"/>
      <c r="J46" s="31">
        <f>IF(Source!BS30&lt;&gt; 0, Source!BS30, 1)</f>
        <v>6.53</v>
      </c>
      <c r="K46" s="40">
        <f>Source!R30</f>
        <v>0.12</v>
      </c>
      <c r="L46" s="32"/>
      <c r="R46">
        <f>H46</f>
        <v>0.02</v>
      </c>
    </row>
    <row r="47" spans="1:26" ht="14.25" x14ac:dyDescent="0.2">
      <c r="A47" s="45"/>
      <c r="B47" s="46"/>
      <c r="C47" s="46" t="s">
        <v>972</v>
      </c>
      <c r="D47" s="29"/>
      <c r="E47" s="11"/>
      <c r="F47" s="30">
        <f>Source!AL30</f>
        <v>36.549999999999997</v>
      </c>
      <c r="G47" s="31" t="str">
        <f>Source!DD30</f>
        <v/>
      </c>
      <c r="H47" s="30">
        <f>ROUND(Source!AC30*Source!I30, 2)</f>
        <v>4.75</v>
      </c>
      <c r="I47" s="31"/>
      <c r="J47" s="31">
        <f>IF(Source!BC30&lt;&gt; 0, Source!BC30, 1)</f>
        <v>6.53</v>
      </c>
      <c r="K47" s="30">
        <f>Source!P30</f>
        <v>31.03</v>
      </c>
      <c r="L47" s="32"/>
    </row>
    <row r="48" spans="1:26" ht="14.25" x14ac:dyDescent="0.2">
      <c r="A48" s="45"/>
      <c r="B48" s="46"/>
      <c r="C48" s="46" t="s">
        <v>966</v>
      </c>
      <c r="D48" s="29" t="s">
        <v>967</v>
      </c>
      <c r="E48" s="11">
        <f>Source!BZ30</f>
        <v>103</v>
      </c>
      <c r="F48" s="49"/>
      <c r="G48" s="31"/>
      <c r="H48" s="30">
        <f>SUM(S43:S51)</f>
        <v>52.78</v>
      </c>
      <c r="I48" s="33"/>
      <c r="J48" s="27">
        <f>Source!AT30</f>
        <v>103</v>
      </c>
      <c r="K48" s="30">
        <f>SUM(T43:T51)</f>
        <v>344.63</v>
      </c>
      <c r="L48" s="32"/>
    </row>
    <row r="49" spans="1:26" ht="14.25" x14ac:dyDescent="0.2">
      <c r="A49" s="45"/>
      <c r="B49" s="46"/>
      <c r="C49" s="46" t="s">
        <v>968</v>
      </c>
      <c r="D49" s="29" t="s">
        <v>967</v>
      </c>
      <c r="E49" s="11">
        <f>Source!CA30</f>
        <v>60</v>
      </c>
      <c r="F49" s="49"/>
      <c r="G49" s="31"/>
      <c r="H49" s="30">
        <f>SUM(U43:U51)</f>
        <v>30.74</v>
      </c>
      <c r="I49" s="33"/>
      <c r="J49" s="27">
        <f>Source!AU30</f>
        <v>60</v>
      </c>
      <c r="K49" s="30">
        <f>SUM(V43:V51)</f>
        <v>200.75</v>
      </c>
      <c r="L49" s="32"/>
    </row>
    <row r="50" spans="1:26" ht="14.25" x14ac:dyDescent="0.2">
      <c r="A50" s="45"/>
      <c r="B50" s="46"/>
      <c r="C50" s="46" t="s">
        <v>969</v>
      </c>
      <c r="D50" s="29" t="s">
        <v>970</v>
      </c>
      <c r="E50" s="11">
        <f>Source!AQ30</f>
        <v>46.19</v>
      </c>
      <c r="F50" s="30"/>
      <c r="G50" s="31" t="str">
        <f>Source!DI30</f>
        <v/>
      </c>
      <c r="H50" s="30"/>
      <c r="I50" s="31"/>
      <c r="J50" s="31"/>
      <c r="K50" s="30"/>
      <c r="L50" s="41">
        <f>Source!U30</f>
        <v>6.0046999999999997</v>
      </c>
    </row>
    <row r="51" spans="1:26" ht="42.75" x14ac:dyDescent="0.2">
      <c r="A51" s="47" t="str">
        <f>Source!E31</f>
        <v>3,1</v>
      </c>
      <c r="B51" s="48" t="str">
        <f>Source!F31</f>
        <v>19.2.03.07-0028</v>
      </c>
      <c r="C51" s="48" t="str">
        <f>Source!G31</f>
        <v>Решетки пластиковые вентиляционные прим.(согласно тех.заданию)</v>
      </c>
      <c r="D51" s="34" t="str">
        <f>Source!H31</f>
        <v>шт.</v>
      </c>
      <c r="E51" s="35">
        <f>Source!I31</f>
        <v>13</v>
      </c>
      <c r="F51" s="36">
        <f>Source!AL31+Source!AM31+Source!AO31</f>
        <v>956.29</v>
      </c>
      <c r="G51" s="42" t="s">
        <v>3</v>
      </c>
      <c r="H51" s="36">
        <f>ROUND(Source!AC31*Source!I31, 2)+ROUND(Source!AD31*Source!I31, 2)+ROUND(Source!AF31*Source!I31, 2)</f>
        <v>12431.77</v>
      </c>
      <c r="I51" s="37"/>
      <c r="J51" s="37">
        <f>IF(Source!BC31&lt;&gt; 0, Source!BC31, 1)</f>
        <v>6.53</v>
      </c>
      <c r="K51" s="36">
        <f>Source!O31</f>
        <v>81179.460000000006</v>
      </c>
      <c r="L51" s="43"/>
      <c r="S51">
        <f>ROUND((Source!FX31/100)*((ROUND(Source!AF31*Source!I31, 2)+ROUND(Source!AE31*Source!I31, 2))), 2)</f>
        <v>0</v>
      </c>
      <c r="T51">
        <f>Source!X31</f>
        <v>0</v>
      </c>
      <c r="U51">
        <f>ROUND((Source!FY31/100)*((ROUND(Source!AF31*Source!I31, 2)+ROUND(Source!AE31*Source!I31, 2))), 2)</f>
        <v>0</v>
      </c>
      <c r="V51">
        <f>Source!Y31</f>
        <v>0</v>
      </c>
      <c r="W51">
        <f>IF(Source!BI31&lt;=1,H51, 0)</f>
        <v>12431.77</v>
      </c>
      <c r="X51">
        <f>IF(Source!BI31=2,H51, 0)</f>
        <v>0</v>
      </c>
      <c r="Y51">
        <f>IF(Source!BI31=3,H51, 0)</f>
        <v>0</v>
      </c>
      <c r="Z51">
        <f>IF(Source!BI31=4,H51, 0)</f>
        <v>0</v>
      </c>
    </row>
    <row r="52" spans="1:26" ht="15" x14ac:dyDescent="0.25">
      <c r="G52" s="65">
        <f>H44+H45+H47+H48+H49+SUM(H51:H51)</f>
        <v>12571.300000000001</v>
      </c>
      <c r="H52" s="65"/>
      <c r="J52" s="65">
        <f>K44+K45+K47+K48+K49+SUM(K51:K51)</f>
        <v>82090.600000000006</v>
      </c>
      <c r="K52" s="65"/>
      <c r="L52" s="39">
        <f>Source!U30</f>
        <v>6.0046999999999997</v>
      </c>
      <c r="O52" s="24">
        <f>G52</f>
        <v>12571.300000000001</v>
      </c>
      <c r="P52" s="24">
        <f>J52</f>
        <v>82090.600000000006</v>
      </c>
      <c r="Q52" s="24">
        <f>L52</f>
        <v>6.0046999999999997</v>
      </c>
      <c r="W52">
        <f>IF(Source!BI30&lt;=1,H44+H45+H47+H48+H49, 0)</f>
        <v>139.53</v>
      </c>
      <c r="X52">
        <f>IF(Source!BI30=2,H44+H45+H47+H48+H49, 0)</f>
        <v>0</v>
      </c>
      <c r="Y52">
        <f>IF(Source!BI30=3,H44+H45+H47+H48+H49, 0)</f>
        <v>0</v>
      </c>
      <c r="Z52">
        <f>IF(Source!BI30=4,H44+H45+H47+H48+H49, 0)</f>
        <v>0</v>
      </c>
    </row>
    <row r="53" spans="1:26" ht="28.5" x14ac:dyDescent="0.2">
      <c r="A53" s="45" t="str">
        <f>Source!E32</f>
        <v>4</v>
      </c>
      <c r="B53" s="46" t="str">
        <f>Source!F32</f>
        <v>46-02-009-02</v>
      </c>
      <c r="C53" s="46" t="str">
        <f>Source!G32</f>
        <v>Отбивка штукатурки с поверхностей стен</v>
      </c>
      <c r="D53" s="29" t="str">
        <f>Source!H32</f>
        <v>100 м2</v>
      </c>
      <c r="E53" s="11">
        <f>Source!I32</f>
        <v>1.5465</v>
      </c>
      <c r="F53" s="30">
        <f>Source!AL32+Source!AM32+Source!AO32</f>
        <v>178</v>
      </c>
      <c r="G53" s="31"/>
      <c r="H53" s="30"/>
      <c r="I53" s="31" t="str">
        <f>Source!BO32</f>
        <v/>
      </c>
      <c r="J53" s="31"/>
      <c r="K53" s="30"/>
      <c r="L53" s="32"/>
      <c r="S53">
        <f>ROUND((Source!FX32/100)*((ROUND(Source!AF32*Source!I32, 2)+ROUND(Source!AE32*Source!I32, 2))), 2)</f>
        <v>272.52999999999997</v>
      </c>
      <c r="T53">
        <f>Source!X32</f>
        <v>1779.58</v>
      </c>
      <c r="U53">
        <f>ROUND((Source!FY32/100)*((ROUND(Source!AF32*Source!I32, 2)+ROUND(Source!AE32*Source!I32, 2))), 2)</f>
        <v>163.79</v>
      </c>
      <c r="V53">
        <f>Source!Y32</f>
        <v>1078.54</v>
      </c>
    </row>
    <row r="54" spans="1:26" ht="14.25" x14ac:dyDescent="0.2">
      <c r="A54" s="45"/>
      <c r="B54" s="46"/>
      <c r="C54" s="46" t="s">
        <v>965</v>
      </c>
      <c r="D54" s="29"/>
      <c r="E54" s="11"/>
      <c r="F54" s="30">
        <f>Source!AO32</f>
        <v>178</v>
      </c>
      <c r="G54" s="31" t="str">
        <f>Source!DG32</f>
        <v/>
      </c>
      <c r="H54" s="30">
        <f>ROUND(Source!AF32*Source!I32, 2)</f>
        <v>275.27999999999997</v>
      </c>
      <c r="I54" s="31"/>
      <c r="J54" s="31">
        <f>IF(Source!BA32&lt;&gt; 0, Source!BA32, 1)</f>
        <v>6.53</v>
      </c>
      <c r="K54" s="30">
        <f>Source!S32</f>
        <v>1797.56</v>
      </c>
      <c r="L54" s="32"/>
      <c r="R54">
        <f>H54</f>
        <v>275.27999999999997</v>
      </c>
    </row>
    <row r="55" spans="1:26" ht="14.25" x14ac:dyDescent="0.2">
      <c r="A55" s="45"/>
      <c r="B55" s="46"/>
      <c r="C55" s="46" t="s">
        <v>966</v>
      </c>
      <c r="D55" s="29" t="s">
        <v>967</v>
      </c>
      <c r="E55" s="11">
        <f>Source!BZ32</f>
        <v>110</v>
      </c>
      <c r="F55" s="67" t="str">
        <f>CONCATENATE(" )", Source!DL32, Source!FT32, "=", Source!FX32)</f>
        <v xml:space="preserve"> )*0,9=99</v>
      </c>
      <c r="G55" s="68"/>
      <c r="H55" s="30">
        <f>SUM(S53:S57)</f>
        <v>272.52999999999997</v>
      </c>
      <c r="I55" s="33"/>
      <c r="J55" s="27">
        <f>Source!AT32</f>
        <v>99</v>
      </c>
      <c r="K55" s="30">
        <f>SUM(T53:T57)</f>
        <v>1779.58</v>
      </c>
      <c r="L55" s="32"/>
    </row>
    <row r="56" spans="1:26" ht="14.25" x14ac:dyDescent="0.2">
      <c r="A56" s="45"/>
      <c r="B56" s="46"/>
      <c r="C56" s="46" t="s">
        <v>968</v>
      </c>
      <c r="D56" s="29" t="s">
        <v>967</v>
      </c>
      <c r="E56" s="11">
        <f>Source!CA32</f>
        <v>70</v>
      </c>
      <c r="F56" s="67" t="str">
        <f>CONCATENATE(" )", Source!DM32, Source!FU32, "=", Source!FY32)</f>
        <v xml:space="preserve"> )*0,85=59,5</v>
      </c>
      <c r="G56" s="68"/>
      <c r="H56" s="30">
        <f>SUM(U53:U57)</f>
        <v>163.79</v>
      </c>
      <c r="I56" s="33"/>
      <c r="J56" s="27">
        <f>Source!AU32</f>
        <v>60</v>
      </c>
      <c r="K56" s="30">
        <f>SUM(V53:V57)</f>
        <v>1078.54</v>
      </c>
      <c r="L56" s="32"/>
    </row>
    <row r="57" spans="1:26" ht="14.25" x14ac:dyDescent="0.2">
      <c r="A57" s="47"/>
      <c r="B57" s="48"/>
      <c r="C57" s="48" t="s">
        <v>969</v>
      </c>
      <c r="D57" s="34" t="s">
        <v>970</v>
      </c>
      <c r="E57" s="35">
        <f>Source!AQ32</f>
        <v>22.82</v>
      </c>
      <c r="F57" s="36"/>
      <c r="G57" s="37" t="str">
        <f>Source!DI32</f>
        <v/>
      </c>
      <c r="H57" s="36"/>
      <c r="I57" s="37"/>
      <c r="J57" s="37"/>
      <c r="K57" s="36"/>
      <c r="L57" s="38">
        <f>Source!U32</f>
        <v>35.291130000000003</v>
      </c>
    </row>
    <row r="58" spans="1:26" ht="15" x14ac:dyDescent="0.25">
      <c r="G58" s="65">
        <f>H54+H55+H56</f>
        <v>711.59999999999991</v>
      </c>
      <c r="H58" s="65"/>
      <c r="J58" s="65">
        <f>K54+K55+K56</f>
        <v>4655.68</v>
      </c>
      <c r="K58" s="65"/>
      <c r="L58" s="39">
        <f>Source!U32</f>
        <v>35.291130000000003</v>
      </c>
      <c r="O58" s="24">
        <f>G58</f>
        <v>711.59999999999991</v>
      </c>
      <c r="P58" s="24">
        <f>J58</f>
        <v>4655.68</v>
      </c>
      <c r="Q58" s="24">
        <f>L58</f>
        <v>35.291130000000003</v>
      </c>
      <c r="W58">
        <f>IF(Source!BI32&lt;=1,H54+H55+H56, 0)</f>
        <v>711.59999999999991</v>
      </c>
      <c r="X58">
        <f>IF(Source!BI32=2,H54+H55+H56, 0)</f>
        <v>0</v>
      </c>
      <c r="Y58">
        <f>IF(Source!BI32=3,H54+H55+H56, 0)</f>
        <v>0</v>
      </c>
      <c r="Z58">
        <f>IF(Source!BI32=4,H54+H55+H56, 0)</f>
        <v>0</v>
      </c>
    </row>
    <row r="59" spans="1:26" ht="28.5" x14ac:dyDescent="0.2">
      <c r="A59" s="45" t="str">
        <f>Source!E33</f>
        <v>5</v>
      </c>
      <c r="B59" s="46" t="str">
        <f>Source!F33</f>
        <v>57-10-3</v>
      </c>
      <c r="C59" s="46" t="str">
        <f>Source!G33</f>
        <v>Заделка выбоин в полах цементных площадью до 1,0 м2</v>
      </c>
      <c r="D59" s="29" t="str">
        <f>Source!H33</f>
        <v>100 мест</v>
      </c>
      <c r="E59" s="11">
        <f>Source!I33</f>
        <v>0.43</v>
      </c>
      <c r="F59" s="30">
        <f>Source!AL33+Source!AM33+Source!AO33</f>
        <v>1106.8800000000001</v>
      </c>
      <c r="G59" s="31"/>
      <c r="H59" s="30"/>
      <c r="I59" s="31" t="str">
        <f>Source!BO33</f>
        <v/>
      </c>
      <c r="J59" s="31"/>
      <c r="K59" s="30"/>
      <c r="L59" s="32"/>
      <c r="S59">
        <f>ROUND((Source!FX33/100)*((ROUND(Source!AF33*Source!I33, 2)+ROUND(Source!AE33*Source!I33, 2))), 2)</f>
        <v>364.53</v>
      </c>
      <c r="T59">
        <f>Source!X33</f>
        <v>2380.38</v>
      </c>
      <c r="U59">
        <f>ROUND((Source!FY33/100)*((ROUND(Source!AF33*Source!I33, 2)+ROUND(Source!AE33*Source!I33, 2))), 2)</f>
        <v>309.85000000000002</v>
      </c>
      <c r="V59">
        <f>Source!Y33</f>
        <v>2023.33</v>
      </c>
    </row>
    <row r="60" spans="1:26" ht="14.25" x14ac:dyDescent="0.2">
      <c r="A60" s="45"/>
      <c r="B60" s="46"/>
      <c r="C60" s="46" t="s">
        <v>965</v>
      </c>
      <c r="D60" s="29"/>
      <c r="E60" s="11"/>
      <c r="F60" s="30">
        <f>Source!AO33</f>
        <v>1059.68</v>
      </c>
      <c r="G60" s="31" t="str">
        <f>Source!DG33</f>
        <v/>
      </c>
      <c r="H60" s="30">
        <f>ROUND(Source!AF33*Source!I33, 2)</f>
        <v>455.66</v>
      </c>
      <c r="I60" s="31"/>
      <c r="J60" s="31">
        <f>IF(Source!BA33&lt;&gt; 0, Source!BA33, 1)</f>
        <v>6.53</v>
      </c>
      <c r="K60" s="30">
        <f>Source!S33</f>
        <v>2975.48</v>
      </c>
      <c r="L60" s="32"/>
      <c r="R60">
        <f>H60</f>
        <v>455.66</v>
      </c>
    </row>
    <row r="61" spans="1:26" ht="14.25" x14ac:dyDescent="0.2">
      <c r="A61" s="45"/>
      <c r="B61" s="46"/>
      <c r="C61" s="46" t="s">
        <v>284</v>
      </c>
      <c r="D61" s="29"/>
      <c r="E61" s="11"/>
      <c r="F61" s="30">
        <f>Source!AM33</f>
        <v>46.96</v>
      </c>
      <c r="G61" s="31" t="str">
        <f>Source!DE33</f>
        <v/>
      </c>
      <c r="H61" s="30">
        <f>ROUND(Source!AD33*Source!I33, 2)</f>
        <v>20.190000000000001</v>
      </c>
      <c r="I61" s="31"/>
      <c r="J61" s="31">
        <f>IF(Source!BB33&lt;&gt; 0, Source!BB33, 1)</f>
        <v>6.53</v>
      </c>
      <c r="K61" s="30">
        <f>Source!Q33</f>
        <v>131.86000000000001</v>
      </c>
      <c r="L61" s="32"/>
    </row>
    <row r="62" spans="1:26" ht="14.25" x14ac:dyDescent="0.2">
      <c r="A62" s="45"/>
      <c r="B62" s="46"/>
      <c r="C62" s="46" t="s">
        <v>972</v>
      </c>
      <c r="D62" s="29"/>
      <c r="E62" s="11"/>
      <c r="F62" s="30">
        <f>Source!AL33</f>
        <v>0.24</v>
      </c>
      <c r="G62" s="31" t="str">
        <f>Source!DD33</f>
        <v/>
      </c>
      <c r="H62" s="30">
        <f>ROUND(Source!AC33*Source!I33, 2)</f>
        <v>0.1</v>
      </c>
      <c r="I62" s="31"/>
      <c r="J62" s="31">
        <f>IF(Source!BC33&lt;&gt; 0, Source!BC33, 1)</f>
        <v>6.53</v>
      </c>
      <c r="K62" s="30">
        <f>Source!P33</f>
        <v>0.67</v>
      </c>
      <c r="L62" s="32"/>
    </row>
    <row r="63" spans="1:26" ht="14.25" x14ac:dyDescent="0.2">
      <c r="A63" s="45"/>
      <c r="B63" s="46"/>
      <c r="C63" s="46" t="s">
        <v>966</v>
      </c>
      <c r="D63" s="29" t="s">
        <v>967</v>
      </c>
      <c r="E63" s="11">
        <f>Source!BZ33</f>
        <v>80</v>
      </c>
      <c r="F63" s="49"/>
      <c r="G63" s="31"/>
      <c r="H63" s="30">
        <f>SUM(S59:S67)</f>
        <v>364.53</v>
      </c>
      <c r="I63" s="33"/>
      <c r="J63" s="27">
        <f>Source!AT33</f>
        <v>80</v>
      </c>
      <c r="K63" s="30">
        <f>SUM(T59:T67)</f>
        <v>2380.38</v>
      </c>
      <c r="L63" s="32"/>
    </row>
    <row r="64" spans="1:26" ht="14.25" x14ac:dyDescent="0.2">
      <c r="A64" s="45"/>
      <c r="B64" s="46"/>
      <c r="C64" s="46" t="s">
        <v>968</v>
      </c>
      <c r="D64" s="29" t="s">
        <v>967</v>
      </c>
      <c r="E64" s="11">
        <f>Source!CA33</f>
        <v>68</v>
      </c>
      <c r="F64" s="49"/>
      <c r="G64" s="31"/>
      <c r="H64" s="30">
        <f>SUM(U59:U67)</f>
        <v>309.85000000000002</v>
      </c>
      <c r="I64" s="33"/>
      <c r="J64" s="27">
        <f>Source!AU33</f>
        <v>68</v>
      </c>
      <c r="K64" s="30">
        <f>SUM(V59:V67)</f>
        <v>2023.33</v>
      </c>
      <c r="L64" s="32"/>
    </row>
    <row r="65" spans="1:26" ht="14.25" x14ac:dyDescent="0.2">
      <c r="A65" s="45"/>
      <c r="B65" s="46"/>
      <c r="C65" s="46" t="s">
        <v>969</v>
      </c>
      <c r="D65" s="29" t="s">
        <v>970</v>
      </c>
      <c r="E65" s="11">
        <f>Source!AQ33</f>
        <v>124.23</v>
      </c>
      <c r="F65" s="30"/>
      <c r="G65" s="31" t="str">
        <f>Source!DI33</f>
        <v/>
      </c>
      <c r="H65" s="30"/>
      <c r="I65" s="31"/>
      <c r="J65" s="31"/>
      <c r="K65" s="30"/>
      <c r="L65" s="41">
        <f>Source!U33</f>
        <v>53.418900000000001</v>
      </c>
    </row>
    <row r="66" spans="1:26" ht="28.5" x14ac:dyDescent="0.2">
      <c r="A66" s="45" t="str">
        <f>Source!E34</f>
        <v>5,1</v>
      </c>
      <c r="B66" s="46" t="str">
        <f>Source!F34</f>
        <v>04.3.01.09</v>
      </c>
      <c r="C66" s="46" t="str">
        <f>Source!G34</f>
        <v>Раствор готовый кладочный тяжелый цементный</v>
      </c>
      <c r="D66" s="29" t="str">
        <f>Source!H34</f>
        <v>м3</v>
      </c>
      <c r="E66" s="11">
        <f>Source!I34</f>
        <v>0.92020000000000002</v>
      </c>
      <c r="F66" s="30">
        <f>Source!AL34+Source!AM34+Source!AO34</f>
        <v>0</v>
      </c>
      <c r="G66" s="44" t="s">
        <v>3</v>
      </c>
      <c r="H66" s="30">
        <f>ROUND(Source!AC34*Source!I34, 2)+ROUND(Source!AD34*Source!I34, 2)+ROUND(Source!AF34*Source!I34, 2)</f>
        <v>0</v>
      </c>
      <c r="I66" s="31"/>
      <c r="J66" s="31">
        <f>IF(Source!BC34&lt;&gt; 0, Source!BC34, 1)</f>
        <v>6.53</v>
      </c>
      <c r="K66" s="30">
        <f>Source!O34</f>
        <v>0</v>
      </c>
      <c r="L66" s="32"/>
      <c r="S66">
        <f>ROUND((Source!FX34/100)*((ROUND(Source!AF34*Source!I34, 2)+ROUND(Source!AE34*Source!I34, 2))), 2)</f>
        <v>0</v>
      </c>
      <c r="T66">
        <f>Source!X34</f>
        <v>0</v>
      </c>
      <c r="U66">
        <f>ROUND((Source!FY34/100)*((ROUND(Source!AF34*Source!I34, 2)+ROUND(Source!AE34*Source!I34, 2))), 2)</f>
        <v>0</v>
      </c>
      <c r="V66">
        <f>Source!Y34</f>
        <v>0</v>
      </c>
      <c r="W66">
        <f>IF(Source!BI34&lt;=1,H66, 0)</f>
        <v>0</v>
      </c>
      <c r="X66">
        <f>IF(Source!BI34=2,H66, 0)</f>
        <v>0</v>
      </c>
      <c r="Y66">
        <f>IF(Source!BI34=3,H66, 0)</f>
        <v>0</v>
      </c>
      <c r="Z66">
        <f>IF(Source!BI34=4,H66, 0)</f>
        <v>0</v>
      </c>
    </row>
    <row r="67" spans="1:26" ht="28.5" x14ac:dyDescent="0.2">
      <c r="A67" s="47" t="str">
        <f>Source!E35</f>
        <v>5,2</v>
      </c>
      <c r="B67" s="48" t="str">
        <f>Source!F35</f>
        <v>04.3.01.09-0015</v>
      </c>
      <c r="C67" s="48" t="str">
        <f>Source!G35</f>
        <v>Раствор готовый кладочный цементный марки 150</v>
      </c>
      <c r="D67" s="34" t="str">
        <f>Source!H35</f>
        <v>м3</v>
      </c>
      <c r="E67" s="35">
        <f>Source!I35</f>
        <v>0.92020000000000002</v>
      </c>
      <c r="F67" s="36">
        <f>Source!AL35+Source!AM35+Source!AO35</f>
        <v>548.29999999999995</v>
      </c>
      <c r="G67" s="42" t="s">
        <v>3</v>
      </c>
      <c r="H67" s="36">
        <f>ROUND(Source!AC35*Source!I35, 2)+ROUND(Source!AD35*Source!I35, 2)+ROUND(Source!AF35*Source!I35, 2)</f>
        <v>504.55</v>
      </c>
      <c r="I67" s="37"/>
      <c r="J67" s="37">
        <f>IF(Source!BC35&lt;&gt; 0, Source!BC35, 1)</f>
        <v>6.53</v>
      </c>
      <c r="K67" s="36">
        <f>Source!O35</f>
        <v>3294.68</v>
      </c>
      <c r="L67" s="43"/>
      <c r="S67">
        <f>ROUND((Source!FX35/100)*((ROUND(Source!AF35*Source!I35, 2)+ROUND(Source!AE35*Source!I35, 2))), 2)</f>
        <v>0</v>
      </c>
      <c r="T67">
        <f>Source!X35</f>
        <v>0</v>
      </c>
      <c r="U67">
        <f>ROUND((Source!FY35/100)*((ROUND(Source!AF35*Source!I35, 2)+ROUND(Source!AE35*Source!I35, 2))), 2)</f>
        <v>0</v>
      </c>
      <c r="V67">
        <f>Source!Y35</f>
        <v>0</v>
      </c>
      <c r="W67">
        <f>IF(Source!BI35&lt;=1,H67, 0)</f>
        <v>504.55</v>
      </c>
      <c r="X67">
        <f>IF(Source!BI35=2,H67, 0)</f>
        <v>0</v>
      </c>
      <c r="Y67">
        <f>IF(Source!BI35=3,H67, 0)</f>
        <v>0</v>
      </c>
      <c r="Z67">
        <f>IF(Source!BI35=4,H67, 0)</f>
        <v>0</v>
      </c>
    </row>
    <row r="68" spans="1:26" ht="15" x14ac:dyDescent="0.25">
      <c r="G68" s="65">
        <f>H60+H61+H62+H63+H64+SUM(H66:H67)</f>
        <v>1654.8799999999999</v>
      </c>
      <c r="H68" s="65"/>
      <c r="J68" s="65">
        <f>K60+K61+K62+K63+K64+SUM(K66:K67)</f>
        <v>10806.4</v>
      </c>
      <c r="K68" s="65"/>
      <c r="L68" s="39">
        <f>Source!U33</f>
        <v>53.418900000000001</v>
      </c>
      <c r="O68" s="24">
        <f>G68</f>
        <v>1654.8799999999999</v>
      </c>
      <c r="P68" s="24">
        <f>J68</f>
        <v>10806.4</v>
      </c>
      <c r="Q68" s="24">
        <f>L68</f>
        <v>53.418900000000001</v>
      </c>
      <c r="W68">
        <f>IF(Source!BI33&lt;=1,H60+H61+H62+H63+H64, 0)</f>
        <v>1150.33</v>
      </c>
      <c r="X68">
        <f>IF(Source!BI33=2,H60+H61+H62+H63+H64, 0)</f>
        <v>0</v>
      </c>
      <c r="Y68">
        <f>IF(Source!BI33=3,H60+H61+H62+H63+H64, 0)</f>
        <v>0</v>
      </c>
      <c r="Z68">
        <f>IF(Source!BI33=4,H60+H61+H62+H63+H64, 0)</f>
        <v>0</v>
      </c>
    </row>
    <row r="69" spans="1:26" ht="42.75" x14ac:dyDescent="0.2">
      <c r="A69" s="45" t="str">
        <f>Source!E36</f>
        <v>6</v>
      </c>
      <c r="B69" s="46" t="str">
        <f>Source!F36</f>
        <v>11-01-011-08</v>
      </c>
      <c r="C69" s="46" t="str">
        <f>Source!G36</f>
        <v>Устройство стяжек из выравнивающей смеси типа "Ветонит" 5000, толщиной 5 мм</v>
      </c>
      <c r="D69" s="29" t="str">
        <f>Source!H36</f>
        <v>100 м2</v>
      </c>
      <c r="E69" s="11">
        <f>Source!I36</f>
        <v>2.7930000000000001</v>
      </c>
      <c r="F69" s="30">
        <f>Source!AL36+Source!AM36+Source!AO36</f>
        <v>11028.89</v>
      </c>
      <c r="G69" s="31"/>
      <c r="H69" s="30"/>
      <c r="I69" s="31" t="str">
        <f>Source!BO36</f>
        <v/>
      </c>
      <c r="J69" s="31"/>
      <c r="K69" s="30"/>
      <c r="L69" s="32"/>
      <c r="S69">
        <f>ROUND((Source!FX36/100)*((ROUND(Source!AF36*Source!I36, 2)+ROUND(Source!AE36*Source!I36, 2))), 2)</f>
        <v>1150.1400000000001</v>
      </c>
      <c r="T69">
        <f>Source!X36</f>
        <v>7530.76</v>
      </c>
      <c r="U69">
        <f>ROUND((Source!FY36/100)*((ROUND(Source!AF36*Source!I36, 2)+ROUND(Source!AE36*Source!I36, 2))), 2)</f>
        <v>662.34</v>
      </c>
      <c r="V69">
        <f>Source!Y36</f>
        <v>4342.0600000000004</v>
      </c>
    </row>
    <row r="70" spans="1:26" ht="14.25" x14ac:dyDescent="0.2">
      <c r="A70" s="45"/>
      <c r="B70" s="46"/>
      <c r="C70" s="46" t="s">
        <v>965</v>
      </c>
      <c r="D70" s="29"/>
      <c r="E70" s="11"/>
      <c r="F70" s="30">
        <f>Source!AO36</f>
        <v>321.33</v>
      </c>
      <c r="G70" s="31" t="str">
        <f>Source!DG36</f>
        <v>)*1,15</v>
      </c>
      <c r="H70" s="30">
        <f>ROUND(Source!AF36*Source!I36, 2)</f>
        <v>1032.0999999999999</v>
      </c>
      <c r="I70" s="31"/>
      <c r="J70" s="31">
        <f>IF(Source!BA36&lt;&gt; 0, Source!BA36, 1)</f>
        <v>6.53</v>
      </c>
      <c r="K70" s="30">
        <f>Source!S36</f>
        <v>6739.6</v>
      </c>
      <c r="L70" s="32"/>
      <c r="R70">
        <f>H70</f>
        <v>1032.0999999999999</v>
      </c>
    </row>
    <row r="71" spans="1:26" ht="14.25" x14ac:dyDescent="0.2">
      <c r="A71" s="45"/>
      <c r="B71" s="46"/>
      <c r="C71" s="46" t="s">
        <v>284</v>
      </c>
      <c r="D71" s="29"/>
      <c r="E71" s="11"/>
      <c r="F71" s="30">
        <f>Source!AM36</f>
        <v>6.23</v>
      </c>
      <c r="G71" s="31" t="str">
        <f>Source!DE36</f>
        <v>)*1,25</v>
      </c>
      <c r="H71" s="30">
        <f>ROUND(Source!AD36*Source!I36, 2)</f>
        <v>21.76</v>
      </c>
      <c r="I71" s="31"/>
      <c r="J71" s="31">
        <f>IF(Source!BB36&lt;&gt; 0, Source!BB36, 1)</f>
        <v>6.53</v>
      </c>
      <c r="K71" s="30">
        <f>Source!Q36</f>
        <v>142.08000000000001</v>
      </c>
      <c r="L71" s="32"/>
    </row>
    <row r="72" spans="1:26" ht="14.25" x14ac:dyDescent="0.2">
      <c r="A72" s="45"/>
      <c r="B72" s="46"/>
      <c r="C72" s="46" t="s">
        <v>971</v>
      </c>
      <c r="D72" s="29"/>
      <c r="E72" s="11"/>
      <c r="F72" s="30">
        <f>Source!AN36</f>
        <v>1.97</v>
      </c>
      <c r="G72" s="31" t="str">
        <f>Source!DF36</f>
        <v>)*1,25</v>
      </c>
      <c r="H72" s="40">
        <f>ROUND(Source!AE36*Source!I36, 2)</f>
        <v>6.87</v>
      </c>
      <c r="I72" s="31"/>
      <c r="J72" s="31">
        <f>IF(Source!BS36&lt;&gt; 0, Source!BS36, 1)</f>
        <v>6.53</v>
      </c>
      <c r="K72" s="40">
        <f>Source!R36</f>
        <v>44.87</v>
      </c>
      <c r="L72" s="32"/>
      <c r="R72">
        <f>H72</f>
        <v>6.87</v>
      </c>
    </row>
    <row r="73" spans="1:26" ht="14.25" x14ac:dyDescent="0.2">
      <c r="A73" s="45"/>
      <c r="B73" s="46"/>
      <c r="C73" s="46" t="s">
        <v>972</v>
      </c>
      <c r="D73" s="29"/>
      <c r="E73" s="11"/>
      <c r="F73" s="30">
        <f>Source!AL36</f>
        <v>10701.33</v>
      </c>
      <c r="G73" s="31" t="str">
        <f>Source!DD36</f>
        <v/>
      </c>
      <c r="H73" s="30">
        <f>ROUND(Source!AC36*Source!I36, 2)</f>
        <v>29888.81</v>
      </c>
      <c r="I73" s="31"/>
      <c r="J73" s="31">
        <f>IF(Source!BC36&lt;&gt; 0, Source!BC36, 1)</f>
        <v>6.53</v>
      </c>
      <c r="K73" s="30">
        <f>Source!P36</f>
        <v>195173.96</v>
      </c>
      <c r="L73" s="32"/>
    </row>
    <row r="74" spans="1:26" ht="14.25" x14ac:dyDescent="0.2">
      <c r="A74" s="45"/>
      <c r="B74" s="46"/>
      <c r="C74" s="46" t="s">
        <v>966</v>
      </c>
      <c r="D74" s="29" t="s">
        <v>967</v>
      </c>
      <c r="E74" s="11">
        <f>Source!BZ36</f>
        <v>123</v>
      </c>
      <c r="F74" s="67" t="str">
        <f>CONCATENATE(" )", Source!DL36, Source!FT36, "=", Source!FX36)</f>
        <v xml:space="preserve"> )*0,9=110,7</v>
      </c>
      <c r="G74" s="68"/>
      <c r="H74" s="30">
        <f>SUM(S69:S76)</f>
        <v>1150.1400000000001</v>
      </c>
      <c r="I74" s="33"/>
      <c r="J74" s="27">
        <f>Source!AT36</f>
        <v>111</v>
      </c>
      <c r="K74" s="30">
        <f>SUM(T69:T76)</f>
        <v>7530.76</v>
      </c>
      <c r="L74" s="32"/>
    </row>
    <row r="75" spans="1:26" ht="14.25" x14ac:dyDescent="0.2">
      <c r="A75" s="45"/>
      <c r="B75" s="46"/>
      <c r="C75" s="46" t="s">
        <v>968</v>
      </c>
      <c r="D75" s="29" t="s">
        <v>967</v>
      </c>
      <c r="E75" s="11">
        <f>Source!CA36</f>
        <v>75</v>
      </c>
      <c r="F75" s="67" t="str">
        <f>CONCATENATE(" )", Source!DM36, Source!FU36, "=", Source!FY36)</f>
        <v xml:space="preserve"> )*0,85=63,75</v>
      </c>
      <c r="G75" s="68"/>
      <c r="H75" s="30">
        <f>SUM(U69:U76)</f>
        <v>662.34</v>
      </c>
      <c r="I75" s="33"/>
      <c r="J75" s="27">
        <f>Source!AU36</f>
        <v>64</v>
      </c>
      <c r="K75" s="30">
        <f>SUM(V69:V76)</f>
        <v>4342.0600000000004</v>
      </c>
      <c r="L75" s="32"/>
    </row>
    <row r="76" spans="1:26" ht="14.25" x14ac:dyDescent="0.2">
      <c r="A76" s="47"/>
      <c r="B76" s="48"/>
      <c r="C76" s="48" t="s">
        <v>969</v>
      </c>
      <c r="D76" s="34" t="s">
        <v>970</v>
      </c>
      <c r="E76" s="35">
        <f>Source!AQ36</f>
        <v>37.67</v>
      </c>
      <c r="F76" s="36"/>
      <c r="G76" s="37" t="str">
        <f>Source!DI36</f>
        <v>)*1,15</v>
      </c>
      <c r="H76" s="36"/>
      <c r="I76" s="37"/>
      <c r="J76" s="37"/>
      <c r="K76" s="36"/>
      <c r="L76" s="38">
        <f>Source!U36</f>
        <v>120.99415649999999</v>
      </c>
    </row>
    <row r="77" spans="1:26" ht="15" x14ac:dyDescent="0.25">
      <c r="G77" s="65">
        <f>H70+H71+H73+H74+H75</f>
        <v>32755.15</v>
      </c>
      <c r="H77" s="65"/>
      <c r="J77" s="65">
        <f>K70+K71+K73+K74+K75</f>
        <v>213928.46</v>
      </c>
      <c r="K77" s="65"/>
      <c r="L77" s="39">
        <f>Source!U36</f>
        <v>120.99415649999999</v>
      </c>
      <c r="O77" s="24">
        <f>G77</f>
        <v>32755.15</v>
      </c>
      <c r="P77" s="24">
        <f>J77</f>
        <v>213928.46</v>
      </c>
      <c r="Q77" s="24">
        <f>L77</f>
        <v>120.99415649999999</v>
      </c>
      <c r="W77">
        <f>IF(Source!BI36&lt;=1,H70+H71+H73+H74+H75, 0)</f>
        <v>32755.15</v>
      </c>
      <c r="X77">
        <f>IF(Source!BI36=2,H70+H71+H73+H74+H75, 0)</f>
        <v>0</v>
      </c>
      <c r="Y77">
        <f>IF(Source!BI36=3,H70+H71+H73+H74+H75, 0)</f>
        <v>0</v>
      </c>
      <c r="Z77">
        <f>IF(Source!BI36=4,H70+H71+H73+H74+H75, 0)</f>
        <v>0</v>
      </c>
    </row>
    <row r="78" spans="1:26" ht="42.75" x14ac:dyDescent="0.2">
      <c r="A78" s="45" t="str">
        <f>Source!E37</f>
        <v>7</v>
      </c>
      <c r="B78" s="46" t="str">
        <f>Source!F37</f>
        <v>11-01-011-10</v>
      </c>
      <c r="C78" s="46" t="str">
        <f>Source!G37</f>
        <v>Устройство стяжек на каждый последующий слой толщиной 1 мм добавлять к расценке 11-01-011-08</v>
      </c>
      <c r="D78" s="29" t="str">
        <f>Source!H37</f>
        <v>100 м2</v>
      </c>
      <c r="E78" s="11">
        <f>Source!I37</f>
        <v>2.7930000000000001</v>
      </c>
      <c r="F78" s="30">
        <f>Source!AL37+Source!AM37+Source!AO37</f>
        <v>2070.6</v>
      </c>
      <c r="G78" s="31"/>
      <c r="H78" s="30"/>
      <c r="I78" s="31" t="str">
        <f>Source!BO37</f>
        <v/>
      </c>
      <c r="J78" s="31"/>
      <c r="K78" s="30"/>
      <c r="L78" s="32"/>
      <c r="S78">
        <f>ROUND((Source!FX37/100)*((ROUND(Source!AF37*Source!I37, 2)+ROUND(Source!AE37*Source!I37, 2))), 2)</f>
        <v>373.71</v>
      </c>
      <c r="T78">
        <f>Source!X37</f>
        <v>2446.9499999999998</v>
      </c>
      <c r="U78">
        <f>ROUND((Source!FY37/100)*((ROUND(Source!AF37*Source!I37, 2)+ROUND(Source!AE37*Source!I37, 2))), 2)</f>
        <v>215.21</v>
      </c>
      <c r="V78">
        <f>Source!Y37</f>
        <v>1410.85</v>
      </c>
    </row>
    <row r="79" spans="1:26" ht="14.25" x14ac:dyDescent="0.2">
      <c r="A79" s="45"/>
      <c r="B79" s="46"/>
      <c r="C79" s="46" t="s">
        <v>965</v>
      </c>
      <c r="D79" s="29"/>
      <c r="E79" s="11"/>
      <c r="F79" s="30">
        <f>Source!AO37</f>
        <v>20.64</v>
      </c>
      <c r="G79" s="31" t="str">
        <f>Source!DG37</f>
        <v>)*1,15*5</v>
      </c>
      <c r="H79" s="30">
        <f>ROUND(Source!AF37*Source!I37, 2)</f>
        <v>331.47</v>
      </c>
      <c r="I79" s="31"/>
      <c r="J79" s="31">
        <f>IF(Source!BA37&lt;&gt; 0, Source!BA37, 1)</f>
        <v>6.53</v>
      </c>
      <c r="K79" s="30">
        <f>Source!S37</f>
        <v>2164.52</v>
      </c>
      <c r="L79" s="32"/>
      <c r="R79">
        <f>H79</f>
        <v>331.47</v>
      </c>
    </row>
    <row r="80" spans="1:26" ht="14.25" x14ac:dyDescent="0.2">
      <c r="A80" s="45"/>
      <c r="B80" s="46"/>
      <c r="C80" s="46" t="s">
        <v>284</v>
      </c>
      <c r="D80" s="29"/>
      <c r="E80" s="11"/>
      <c r="F80" s="30">
        <f>Source!AM37</f>
        <v>1.21</v>
      </c>
      <c r="G80" s="31" t="str">
        <f>Source!DE37</f>
        <v>)*1,25*5</v>
      </c>
      <c r="H80" s="30">
        <f>ROUND(Source!AD37*Source!I37, 2)</f>
        <v>21.14</v>
      </c>
      <c r="I80" s="31"/>
      <c r="J80" s="31">
        <f>IF(Source!BB37&lt;&gt; 0, Source!BB37, 1)</f>
        <v>6.53</v>
      </c>
      <c r="K80" s="30">
        <f>Source!Q37</f>
        <v>138.06</v>
      </c>
      <c r="L80" s="32"/>
    </row>
    <row r="81" spans="1:26" ht="14.25" x14ac:dyDescent="0.2">
      <c r="A81" s="45"/>
      <c r="B81" s="46"/>
      <c r="C81" s="46" t="s">
        <v>971</v>
      </c>
      <c r="D81" s="29"/>
      <c r="E81" s="11"/>
      <c r="F81" s="30">
        <f>Source!AN37</f>
        <v>0.35</v>
      </c>
      <c r="G81" s="31" t="str">
        <f>Source!DF37</f>
        <v>)*1,25*5</v>
      </c>
      <c r="H81" s="40">
        <f>ROUND(Source!AE37*Source!I37, 2)</f>
        <v>6.12</v>
      </c>
      <c r="I81" s="31"/>
      <c r="J81" s="31">
        <f>IF(Source!BS37&lt;&gt; 0, Source!BS37, 1)</f>
        <v>6.53</v>
      </c>
      <c r="K81" s="40">
        <f>Source!R37</f>
        <v>39.94</v>
      </c>
      <c r="L81" s="32"/>
      <c r="R81">
        <f>H81</f>
        <v>6.12</v>
      </c>
    </row>
    <row r="82" spans="1:26" ht="14.25" x14ac:dyDescent="0.2">
      <c r="A82" s="45"/>
      <c r="B82" s="46"/>
      <c r="C82" s="46" t="s">
        <v>972</v>
      </c>
      <c r="D82" s="29"/>
      <c r="E82" s="11"/>
      <c r="F82" s="30">
        <f>Source!AL37</f>
        <v>2048.75</v>
      </c>
      <c r="G82" s="31" t="str">
        <f>Source!DD37</f>
        <v>*5</v>
      </c>
      <c r="H82" s="30">
        <f>ROUND(Source!AC37*Source!I37, 2)</f>
        <v>28610.79</v>
      </c>
      <c r="I82" s="31"/>
      <c r="J82" s="31">
        <f>IF(Source!BC37&lt;&gt; 0, Source!BC37, 1)</f>
        <v>6.53</v>
      </c>
      <c r="K82" s="30">
        <f>Source!P37</f>
        <v>186828.48</v>
      </c>
      <c r="L82" s="32"/>
    </row>
    <row r="83" spans="1:26" ht="14.25" x14ac:dyDescent="0.2">
      <c r="A83" s="45"/>
      <c r="B83" s="46"/>
      <c r="C83" s="46" t="s">
        <v>966</v>
      </c>
      <c r="D83" s="29" t="s">
        <v>967</v>
      </c>
      <c r="E83" s="11">
        <f>Source!BZ37</f>
        <v>123</v>
      </c>
      <c r="F83" s="67" t="str">
        <f>CONCATENATE(" )", Source!DL37, Source!FT37, "=", Source!FX37)</f>
        <v xml:space="preserve"> )*0,9=110,7</v>
      </c>
      <c r="G83" s="68"/>
      <c r="H83" s="30">
        <f>SUM(S78:S85)</f>
        <v>373.71</v>
      </c>
      <c r="I83" s="33"/>
      <c r="J83" s="27">
        <f>Source!AT37</f>
        <v>111</v>
      </c>
      <c r="K83" s="30">
        <f>SUM(T78:T85)</f>
        <v>2446.9499999999998</v>
      </c>
      <c r="L83" s="32"/>
    </row>
    <row r="84" spans="1:26" ht="14.25" x14ac:dyDescent="0.2">
      <c r="A84" s="45"/>
      <c r="B84" s="46"/>
      <c r="C84" s="46" t="s">
        <v>968</v>
      </c>
      <c r="D84" s="29" t="s">
        <v>967</v>
      </c>
      <c r="E84" s="11">
        <f>Source!CA37</f>
        <v>75</v>
      </c>
      <c r="F84" s="67" t="str">
        <f>CONCATENATE(" )", Source!DM37, Source!FU37, "=", Source!FY37)</f>
        <v xml:space="preserve"> )*0,85=63,75</v>
      </c>
      <c r="G84" s="68"/>
      <c r="H84" s="30">
        <f>SUM(U78:U85)</f>
        <v>215.21</v>
      </c>
      <c r="I84" s="33"/>
      <c r="J84" s="27">
        <f>Source!AU37</f>
        <v>64</v>
      </c>
      <c r="K84" s="30">
        <f>SUM(V78:V85)</f>
        <v>1410.85</v>
      </c>
      <c r="L84" s="32"/>
    </row>
    <row r="85" spans="1:26" ht="14.25" x14ac:dyDescent="0.2">
      <c r="A85" s="47"/>
      <c r="B85" s="48"/>
      <c r="C85" s="48" t="s">
        <v>969</v>
      </c>
      <c r="D85" s="34" t="s">
        <v>970</v>
      </c>
      <c r="E85" s="35">
        <f>Source!AQ37</f>
        <v>2.42</v>
      </c>
      <c r="F85" s="36"/>
      <c r="G85" s="37" t="str">
        <f>Source!DI37</f>
        <v>)*1,15*5</v>
      </c>
      <c r="H85" s="36"/>
      <c r="I85" s="37"/>
      <c r="J85" s="37"/>
      <c r="K85" s="36"/>
      <c r="L85" s="38">
        <f>Source!U37</f>
        <v>38.864595000000001</v>
      </c>
    </row>
    <row r="86" spans="1:26" ht="15" x14ac:dyDescent="0.25">
      <c r="G86" s="65">
        <f>H79+H80+H82+H83+H84</f>
        <v>29552.32</v>
      </c>
      <c r="H86" s="65"/>
      <c r="J86" s="65">
        <f>K79+K80+K82+K83+K84</f>
        <v>192988.86000000002</v>
      </c>
      <c r="K86" s="65"/>
      <c r="L86" s="39">
        <f>Source!U37</f>
        <v>38.864595000000001</v>
      </c>
      <c r="O86" s="24">
        <f>G86</f>
        <v>29552.32</v>
      </c>
      <c r="P86" s="24">
        <f>J86</f>
        <v>192988.86000000002</v>
      </c>
      <c r="Q86" s="24">
        <f>L86</f>
        <v>38.864595000000001</v>
      </c>
      <c r="W86">
        <f>IF(Source!BI37&lt;=1,H79+H80+H82+H83+H84, 0)</f>
        <v>29552.32</v>
      </c>
      <c r="X86">
        <f>IF(Source!BI37=2,H79+H80+H82+H83+H84, 0)</f>
        <v>0</v>
      </c>
      <c r="Y86">
        <f>IF(Source!BI37=3,H79+H80+H82+H83+H84, 0)</f>
        <v>0</v>
      </c>
      <c r="Z86">
        <f>IF(Source!BI37=4,H79+H80+H82+H83+H84, 0)</f>
        <v>0</v>
      </c>
    </row>
    <row r="87" spans="1:26" ht="42.75" x14ac:dyDescent="0.2">
      <c r="A87" s="45" t="str">
        <f>Source!E38</f>
        <v>8</v>
      </c>
      <c r="B87" s="46" t="str">
        <f>Source!F38</f>
        <v>15-07-003-02</v>
      </c>
      <c r="C87" s="46" t="str">
        <f>Source!G38</f>
        <v>Грунтование водно-дисперсионной грунтовкой  поверхностей пористых (камень, кирпич, бетон и т д)</v>
      </c>
      <c r="D87" s="29" t="str">
        <f>Source!H38</f>
        <v>100 м2</v>
      </c>
      <c r="E87" s="11">
        <f>Source!I38</f>
        <v>2.7930000000000001</v>
      </c>
      <c r="F87" s="30">
        <f>Source!AL38+Source!AM38+Source!AO38</f>
        <v>268.3</v>
      </c>
      <c r="G87" s="31"/>
      <c r="H87" s="30"/>
      <c r="I87" s="31" t="str">
        <f>Source!BO38</f>
        <v/>
      </c>
      <c r="J87" s="31"/>
      <c r="K87" s="30"/>
      <c r="L87" s="32"/>
      <c r="S87">
        <f>ROUND((Source!FX38/100)*((ROUND(Source!AF38*Source!I38, 2)+ROUND(Source!AE38*Source!I38, 2))), 2)</f>
        <v>90.93</v>
      </c>
      <c r="T87">
        <f>Source!X38</f>
        <v>596.89</v>
      </c>
      <c r="U87">
        <f>ROUND((Source!FY38/100)*((ROUND(Source!AF38*Source!I38, 2)+ROUND(Source!AE38*Source!I38, 2))), 2)</f>
        <v>44.98</v>
      </c>
      <c r="V87">
        <f>Source!Y38</f>
        <v>295.31</v>
      </c>
    </row>
    <row r="88" spans="1:26" ht="14.25" x14ac:dyDescent="0.2">
      <c r="A88" s="45"/>
      <c r="B88" s="46"/>
      <c r="C88" s="46" t="s">
        <v>965</v>
      </c>
      <c r="D88" s="29"/>
      <c r="E88" s="11"/>
      <c r="F88" s="30">
        <f>Source!AO38</f>
        <v>33.869999999999997</v>
      </c>
      <c r="G88" s="31" t="str">
        <f>Source!DG38</f>
        <v/>
      </c>
      <c r="H88" s="30">
        <f>ROUND(Source!AF38*Source!I38, 2)</f>
        <v>94.6</v>
      </c>
      <c r="I88" s="31"/>
      <c r="J88" s="31">
        <f>IF(Source!BA38&lt;&gt; 0, Source!BA38, 1)</f>
        <v>6.53</v>
      </c>
      <c r="K88" s="30">
        <f>Source!S38</f>
        <v>617.73</v>
      </c>
      <c r="L88" s="32"/>
      <c r="R88">
        <f>H88</f>
        <v>94.6</v>
      </c>
    </row>
    <row r="89" spans="1:26" ht="14.25" x14ac:dyDescent="0.2">
      <c r="A89" s="45"/>
      <c r="B89" s="46"/>
      <c r="C89" s="46" t="s">
        <v>284</v>
      </c>
      <c r="D89" s="29"/>
      <c r="E89" s="11"/>
      <c r="F89" s="30">
        <f>Source!AM38</f>
        <v>22.14</v>
      </c>
      <c r="G89" s="31" t="str">
        <f>Source!DE38</f>
        <v/>
      </c>
      <c r="H89" s="30">
        <f>ROUND(Source!AD38*Source!I38, 2)</f>
        <v>61.84</v>
      </c>
      <c r="I89" s="31"/>
      <c r="J89" s="31">
        <f>IF(Source!BB38&lt;&gt; 0, Source!BB38, 1)</f>
        <v>6.53</v>
      </c>
      <c r="K89" s="30">
        <f>Source!Q38</f>
        <v>403.8</v>
      </c>
      <c r="L89" s="32"/>
    </row>
    <row r="90" spans="1:26" ht="14.25" x14ac:dyDescent="0.2">
      <c r="A90" s="45"/>
      <c r="B90" s="46"/>
      <c r="C90" s="46" t="s">
        <v>971</v>
      </c>
      <c r="D90" s="29"/>
      <c r="E90" s="11"/>
      <c r="F90" s="30">
        <f>Source!AN38</f>
        <v>0.57999999999999996</v>
      </c>
      <c r="G90" s="31" t="str">
        <f>Source!DF38</f>
        <v/>
      </c>
      <c r="H90" s="40">
        <f>ROUND(Source!AE38*Source!I38, 2)</f>
        <v>1.62</v>
      </c>
      <c r="I90" s="31"/>
      <c r="J90" s="31">
        <f>IF(Source!BS38&lt;&gt; 0, Source!BS38, 1)</f>
        <v>6.53</v>
      </c>
      <c r="K90" s="40">
        <f>Source!R38</f>
        <v>10.58</v>
      </c>
      <c r="L90" s="32"/>
      <c r="R90">
        <f>H90</f>
        <v>1.62</v>
      </c>
    </row>
    <row r="91" spans="1:26" ht="14.25" x14ac:dyDescent="0.2">
      <c r="A91" s="45"/>
      <c r="B91" s="46"/>
      <c r="C91" s="46" t="s">
        <v>972</v>
      </c>
      <c r="D91" s="29"/>
      <c r="E91" s="11"/>
      <c r="F91" s="30">
        <f>Source!AL38</f>
        <v>212.29</v>
      </c>
      <c r="G91" s="31" t="str">
        <f>Source!DD38</f>
        <v/>
      </c>
      <c r="H91" s="30">
        <f>ROUND(Source!AC38*Source!I38, 2)</f>
        <v>592.92999999999995</v>
      </c>
      <c r="I91" s="31"/>
      <c r="J91" s="31">
        <f>IF(Source!BC38&lt;&gt; 0, Source!BC38, 1)</f>
        <v>6.53</v>
      </c>
      <c r="K91" s="30">
        <f>Source!P38</f>
        <v>3871.81</v>
      </c>
      <c r="L91" s="32"/>
    </row>
    <row r="92" spans="1:26" ht="14.25" x14ac:dyDescent="0.2">
      <c r="A92" s="45"/>
      <c r="B92" s="46"/>
      <c r="C92" s="46" t="s">
        <v>966</v>
      </c>
      <c r="D92" s="29" t="s">
        <v>967</v>
      </c>
      <c r="E92" s="11">
        <f>Source!BZ38</f>
        <v>105</v>
      </c>
      <c r="F92" s="67" t="str">
        <f>CONCATENATE(" )", Source!DL38, Source!FT38, "=", Source!FX38)</f>
        <v xml:space="preserve"> )*0,9=94,5</v>
      </c>
      <c r="G92" s="68"/>
      <c r="H92" s="30">
        <f>SUM(S87:S94)</f>
        <v>90.93</v>
      </c>
      <c r="I92" s="33"/>
      <c r="J92" s="27">
        <f>Source!AT38</f>
        <v>95</v>
      </c>
      <c r="K92" s="30">
        <f>SUM(T87:T94)</f>
        <v>596.89</v>
      </c>
      <c r="L92" s="32"/>
    </row>
    <row r="93" spans="1:26" ht="14.25" x14ac:dyDescent="0.2">
      <c r="A93" s="45"/>
      <c r="B93" s="46"/>
      <c r="C93" s="46" t="s">
        <v>968</v>
      </c>
      <c r="D93" s="29" t="s">
        <v>967</v>
      </c>
      <c r="E93" s="11">
        <f>Source!CA38</f>
        <v>55</v>
      </c>
      <c r="F93" s="67" t="str">
        <f>CONCATENATE(" )", Source!DM38, Source!FU38, "=", Source!FY38)</f>
        <v xml:space="preserve"> )*0,85=46,75</v>
      </c>
      <c r="G93" s="68"/>
      <c r="H93" s="30">
        <f>SUM(U87:U94)</f>
        <v>44.98</v>
      </c>
      <c r="I93" s="33"/>
      <c r="J93" s="27">
        <f>Source!AU38</f>
        <v>47</v>
      </c>
      <c r="K93" s="30">
        <f>SUM(V87:V94)</f>
        <v>295.31</v>
      </c>
      <c r="L93" s="32"/>
    </row>
    <row r="94" spans="1:26" ht="14.25" x14ac:dyDescent="0.2">
      <c r="A94" s="47"/>
      <c r="B94" s="48"/>
      <c r="C94" s="48" t="s">
        <v>969</v>
      </c>
      <c r="D94" s="34" t="s">
        <v>970</v>
      </c>
      <c r="E94" s="35">
        <f>Source!AQ38</f>
        <v>3.69</v>
      </c>
      <c r="F94" s="36"/>
      <c r="G94" s="37" t="str">
        <f>Source!DI38</f>
        <v/>
      </c>
      <c r="H94" s="36"/>
      <c r="I94" s="37"/>
      <c r="J94" s="37"/>
      <c r="K94" s="36"/>
      <c r="L94" s="38">
        <f>Source!U38</f>
        <v>10.30617</v>
      </c>
    </row>
    <row r="95" spans="1:26" ht="15" x14ac:dyDescent="0.25">
      <c r="G95" s="65">
        <f>H88+H89+H91+H92+H93</f>
        <v>885.28</v>
      </c>
      <c r="H95" s="65"/>
      <c r="J95" s="65">
        <f>K88+K89+K91+K92+K93</f>
        <v>5785.5400000000009</v>
      </c>
      <c r="K95" s="65"/>
      <c r="L95" s="39">
        <f>Source!U38</f>
        <v>10.30617</v>
      </c>
      <c r="O95" s="24">
        <f>G95</f>
        <v>885.28</v>
      </c>
      <c r="P95" s="24">
        <f>J95</f>
        <v>5785.5400000000009</v>
      </c>
      <c r="Q95" s="24">
        <f>L95</f>
        <v>10.30617</v>
      </c>
      <c r="W95">
        <f>IF(Source!BI38&lt;=1,H88+H89+H91+H92+H93, 0)</f>
        <v>885.28</v>
      </c>
      <c r="X95">
        <f>IF(Source!BI38=2,H88+H89+H91+H92+H93, 0)</f>
        <v>0</v>
      </c>
      <c r="Y95">
        <f>IF(Source!BI38=3,H88+H89+H91+H92+H93, 0)</f>
        <v>0</v>
      </c>
      <c r="Z95">
        <f>IF(Source!BI38=4,H88+H89+H91+H92+H93, 0)</f>
        <v>0</v>
      </c>
    </row>
    <row r="96" spans="1:26" ht="28.5" x14ac:dyDescent="0.2">
      <c r="A96" s="45" t="str">
        <f>Source!E39</f>
        <v>9</v>
      </c>
      <c r="B96" s="46" t="str">
        <f>Source!F39</f>
        <v>11-01-036-01</v>
      </c>
      <c r="C96" s="46" t="str">
        <f>Source!G39</f>
        <v>Устройство покрытий из линолеума на клее</v>
      </c>
      <c r="D96" s="29" t="str">
        <f>Source!H39</f>
        <v>100 м2</v>
      </c>
      <c r="E96" s="11">
        <f>Source!I39</f>
        <v>2.7930000000000001</v>
      </c>
      <c r="F96" s="30">
        <f>Source!AL39+Source!AM39+Source!AO39</f>
        <v>397.04999999999995</v>
      </c>
      <c r="G96" s="31"/>
      <c r="H96" s="30"/>
      <c r="I96" s="31" t="str">
        <f>Source!BO39</f>
        <v/>
      </c>
      <c r="J96" s="31"/>
      <c r="K96" s="30"/>
      <c r="L96" s="32"/>
      <c r="S96">
        <f>ROUND((Source!FX39/100)*((ROUND(Source!AF39*Source!I39, 2)+ROUND(Source!AE39*Source!I39, 2))), 2)</f>
        <v>1121.94</v>
      </c>
      <c r="T96">
        <f>Source!X39</f>
        <v>7346.12</v>
      </c>
      <c r="U96">
        <f>ROUND((Source!FY39/100)*((ROUND(Source!AF39*Source!I39, 2)+ROUND(Source!AE39*Source!I39, 2))), 2)</f>
        <v>646.11</v>
      </c>
      <c r="V96">
        <f>Source!Y39</f>
        <v>4235.6000000000004</v>
      </c>
    </row>
    <row r="97" spans="1:26" ht="14.25" x14ac:dyDescent="0.2">
      <c r="A97" s="45"/>
      <c r="B97" s="46"/>
      <c r="C97" s="46" t="s">
        <v>965</v>
      </c>
      <c r="D97" s="29"/>
      <c r="E97" s="11"/>
      <c r="F97" s="30">
        <f>Source!AO39</f>
        <v>352.34</v>
      </c>
      <c r="G97" s="31" t="str">
        <f>Source!DG39</f>
        <v/>
      </c>
      <c r="H97" s="30">
        <f>ROUND(Source!AF39*Source!I39, 2)</f>
        <v>984.09</v>
      </c>
      <c r="I97" s="31"/>
      <c r="J97" s="31">
        <f>IF(Source!BA39&lt;&gt; 0, Source!BA39, 1)</f>
        <v>6.53</v>
      </c>
      <c r="K97" s="30">
        <f>Source!S39</f>
        <v>6426.08</v>
      </c>
      <c r="L97" s="32"/>
      <c r="R97">
        <f>H97</f>
        <v>984.09</v>
      </c>
    </row>
    <row r="98" spans="1:26" ht="14.25" x14ac:dyDescent="0.2">
      <c r="A98" s="45"/>
      <c r="B98" s="46"/>
      <c r="C98" s="46" t="s">
        <v>284</v>
      </c>
      <c r="D98" s="29"/>
      <c r="E98" s="11"/>
      <c r="F98" s="30">
        <f>Source!AM39</f>
        <v>43.8</v>
      </c>
      <c r="G98" s="31" t="str">
        <f>Source!DE39</f>
        <v/>
      </c>
      <c r="H98" s="30">
        <f>ROUND(Source!AD39*Source!I39, 2)</f>
        <v>122.33</v>
      </c>
      <c r="I98" s="31"/>
      <c r="J98" s="31">
        <f>IF(Source!BB39&lt;&gt; 0, Source!BB39, 1)</f>
        <v>6.53</v>
      </c>
      <c r="K98" s="30">
        <f>Source!Q39</f>
        <v>798.84</v>
      </c>
      <c r="L98" s="32"/>
    </row>
    <row r="99" spans="1:26" ht="14.25" x14ac:dyDescent="0.2">
      <c r="A99" s="45"/>
      <c r="B99" s="46"/>
      <c r="C99" s="46" t="s">
        <v>971</v>
      </c>
      <c r="D99" s="29"/>
      <c r="E99" s="11"/>
      <c r="F99" s="30">
        <f>Source!AN39</f>
        <v>10.53</v>
      </c>
      <c r="G99" s="31" t="str">
        <f>Source!DF39</f>
        <v/>
      </c>
      <c r="H99" s="40">
        <f>ROUND(Source!AE39*Source!I39, 2)</f>
        <v>29.41</v>
      </c>
      <c r="I99" s="31"/>
      <c r="J99" s="31">
        <f>IF(Source!BS39&lt;&gt; 0, Source!BS39, 1)</f>
        <v>6.53</v>
      </c>
      <c r="K99" s="40">
        <f>Source!R39</f>
        <v>192.05</v>
      </c>
      <c r="L99" s="32"/>
      <c r="R99">
        <f>H99</f>
        <v>29.41</v>
      </c>
    </row>
    <row r="100" spans="1:26" ht="14.25" x14ac:dyDescent="0.2">
      <c r="A100" s="45"/>
      <c r="B100" s="46"/>
      <c r="C100" s="46" t="s">
        <v>972</v>
      </c>
      <c r="D100" s="29"/>
      <c r="E100" s="11"/>
      <c r="F100" s="30">
        <f>Source!AL39</f>
        <v>0.91</v>
      </c>
      <c r="G100" s="31" t="str">
        <f>Source!DD39</f>
        <v/>
      </c>
      <c r="H100" s="30">
        <f>ROUND(Source!AC39*Source!I39, 2)</f>
        <v>2.54</v>
      </c>
      <c r="I100" s="31"/>
      <c r="J100" s="31">
        <f>IF(Source!BC39&lt;&gt; 0, Source!BC39, 1)</f>
        <v>6.53</v>
      </c>
      <c r="K100" s="30">
        <f>Source!P39</f>
        <v>16.600000000000001</v>
      </c>
      <c r="L100" s="32"/>
    </row>
    <row r="101" spans="1:26" ht="14.25" x14ac:dyDescent="0.2">
      <c r="A101" s="45"/>
      <c r="B101" s="46"/>
      <c r="C101" s="46" t="s">
        <v>966</v>
      </c>
      <c r="D101" s="29" t="s">
        <v>967</v>
      </c>
      <c r="E101" s="11">
        <f>Source!BZ39</f>
        <v>123</v>
      </c>
      <c r="F101" s="67" t="str">
        <f>CONCATENATE(" )", Source!DL39, Source!FT39, "=", Source!FX39)</f>
        <v xml:space="preserve"> )*0,9=110,7</v>
      </c>
      <c r="G101" s="68"/>
      <c r="H101" s="30">
        <f>SUM(S96:S107)</f>
        <v>1121.94</v>
      </c>
      <c r="I101" s="33"/>
      <c r="J101" s="27">
        <f>Source!AT39</f>
        <v>111</v>
      </c>
      <c r="K101" s="30">
        <f>SUM(T96:T107)</f>
        <v>7346.12</v>
      </c>
      <c r="L101" s="32"/>
    </row>
    <row r="102" spans="1:26" ht="14.25" x14ac:dyDescent="0.2">
      <c r="A102" s="45"/>
      <c r="B102" s="46"/>
      <c r="C102" s="46" t="s">
        <v>968</v>
      </c>
      <c r="D102" s="29" t="s">
        <v>967</v>
      </c>
      <c r="E102" s="11">
        <f>Source!CA39</f>
        <v>75</v>
      </c>
      <c r="F102" s="67" t="str">
        <f>CONCATENATE(" )", Source!DM39, Source!FU39, "=", Source!FY39)</f>
        <v xml:space="preserve"> )*0,85=63,75</v>
      </c>
      <c r="G102" s="68"/>
      <c r="H102" s="30">
        <f>SUM(U96:U107)</f>
        <v>646.11</v>
      </c>
      <c r="I102" s="33"/>
      <c r="J102" s="27">
        <f>Source!AU39</f>
        <v>64</v>
      </c>
      <c r="K102" s="30">
        <f>SUM(V96:V107)</f>
        <v>4235.6000000000004</v>
      </c>
      <c r="L102" s="32"/>
    </row>
    <row r="103" spans="1:26" ht="14.25" x14ac:dyDescent="0.2">
      <c r="A103" s="45"/>
      <c r="B103" s="46"/>
      <c r="C103" s="46" t="s">
        <v>969</v>
      </c>
      <c r="D103" s="29" t="s">
        <v>970</v>
      </c>
      <c r="E103" s="11">
        <f>Source!AQ39</f>
        <v>42.4</v>
      </c>
      <c r="F103" s="30"/>
      <c r="G103" s="31" t="str">
        <f>Source!DI39</f>
        <v/>
      </c>
      <c r="H103" s="30"/>
      <c r="I103" s="31"/>
      <c r="J103" s="31"/>
      <c r="K103" s="30"/>
      <c r="L103" s="41">
        <f>Source!U39</f>
        <v>118.42320000000001</v>
      </c>
    </row>
    <row r="104" spans="1:26" ht="28.5" x14ac:dyDescent="0.2">
      <c r="A104" s="45" t="str">
        <f>Source!E40</f>
        <v>9,1</v>
      </c>
      <c r="B104" s="46" t="str">
        <f>Source!F40</f>
        <v>01.6.03.04</v>
      </c>
      <c r="C104" s="46" t="str">
        <f>Source!G40</f>
        <v>Линолеум на теплозвукоизолирующей подоснове</v>
      </c>
      <c r="D104" s="29" t="str">
        <f>Source!H40</f>
        <v>м2</v>
      </c>
      <c r="E104" s="11">
        <f>Source!I40</f>
        <v>284.88600000000002</v>
      </c>
      <c r="F104" s="30">
        <f>Source!AL40+Source!AM40+Source!AO40</f>
        <v>0</v>
      </c>
      <c r="G104" s="44" t="s">
        <v>3</v>
      </c>
      <c r="H104" s="30">
        <f>ROUND(Source!AC40*Source!I40, 2)+ROUND(Source!AD40*Source!I40, 2)+ROUND(Source!AF40*Source!I40, 2)</f>
        <v>0</v>
      </c>
      <c r="I104" s="31"/>
      <c r="J104" s="31">
        <f>IF(Source!BC40&lt;&gt; 0, Source!BC40, 1)</f>
        <v>6.53</v>
      </c>
      <c r="K104" s="30">
        <f>Source!O40</f>
        <v>0</v>
      </c>
      <c r="L104" s="32"/>
      <c r="S104">
        <f>ROUND((Source!FX40/100)*((ROUND(Source!AF40*Source!I40, 2)+ROUND(Source!AE40*Source!I40, 2))), 2)</f>
        <v>0</v>
      </c>
      <c r="T104">
        <f>Source!X40</f>
        <v>0</v>
      </c>
      <c r="U104">
        <f>ROUND((Source!FY40/100)*((ROUND(Source!AF40*Source!I40, 2)+ROUND(Source!AE40*Source!I40, 2))), 2)</f>
        <v>0</v>
      </c>
      <c r="V104">
        <f>Source!Y40</f>
        <v>0</v>
      </c>
      <c r="W104">
        <f>IF(Source!BI40&lt;=1,H104, 0)</f>
        <v>0</v>
      </c>
      <c r="X104">
        <f>IF(Source!BI40=2,H104, 0)</f>
        <v>0</v>
      </c>
      <c r="Y104">
        <f>IF(Source!BI40=3,H104, 0)</f>
        <v>0</v>
      </c>
      <c r="Z104">
        <f>IF(Source!BI40=4,H104, 0)</f>
        <v>0</v>
      </c>
    </row>
    <row r="105" spans="1:26" ht="71.25" x14ac:dyDescent="0.2">
      <c r="A105" s="45" t="str">
        <f>Source!E41</f>
        <v>9,2</v>
      </c>
      <c r="B105" s="46" t="str">
        <f>Source!F41</f>
        <v>01.6.03.04-0101</v>
      </c>
      <c r="C105" s="46" t="str">
        <f>Source!G41</f>
        <v>Линолеум коммерческий гетерогенный "ТАРКЕТТ TRAVERTINE" (толщина 2 мм, толщина защитного слоя 0,5 мм, класс 33/41, пож. безопасность Г1, В2, РП1, Д2, Т2)</v>
      </c>
      <c r="D105" s="29" t="str">
        <f>Source!H41</f>
        <v>м2</v>
      </c>
      <c r="E105" s="11">
        <f>Source!I41</f>
        <v>284.88600000000002</v>
      </c>
      <c r="F105" s="30">
        <f>Source!AL41+Source!AM41+Source!AO41</f>
        <v>77.5</v>
      </c>
      <c r="G105" s="44" t="s">
        <v>3</v>
      </c>
      <c r="H105" s="30">
        <f>ROUND(Source!AC41*Source!I41, 2)+ROUND(Source!AD41*Source!I41, 2)+ROUND(Source!AF41*Source!I41, 2)</f>
        <v>22078.67</v>
      </c>
      <c r="I105" s="31"/>
      <c r="J105" s="31">
        <f>IF(Source!BC41&lt;&gt; 0, Source!BC41, 1)</f>
        <v>6.53</v>
      </c>
      <c r="K105" s="30">
        <f>Source!O41</f>
        <v>144173.68</v>
      </c>
      <c r="L105" s="32"/>
      <c r="S105">
        <f>ROUND((Source!FX41/100)*((ROUND(Source!AF41*Source!I41, 2)+ROUND(Source!AE41*Source!I41, 2))), 2)</f>
        <v>0</v>
      </c>
      <c r="T105">
        <f>Source!X41</f>
        <v>0</v>
      </c>
      <c r="U105">
        <f>ROUND((Source!FY41/100)*((ROUND(Source!AF41*Source!I41, 2)+ROUND(Source!AE41*Source!I41, 2))), 2)</f>
        <v>0</v>
      </c>
      <c r="V105">
        <f>Source!Y41</f>
        <v>0</v>
      </c>
      <c r="W105">
        <f>IF(Source!BI41&lt;=1,H105, 0)</f>
        <v>22078.67</v>
      </c>
      <c r="X105">
        <f>IF(Source!BI41=2,H105, 0)</f>
        <v>0</v>
      </c>
      <c r="Y105">
        <f>IF(Source!BI41=3,H105, 0)</f>
        <v>0</v>
      </c>
      <c r="Z105">
        <f>IF(Source!BI41=4,H105, 0)</f>
        <v>0</v>
      </c>
    </row>
    <row r="106" spans="1:26" ht="14.25" x14ac:dyDescent="0.2">
      <c r="A106" s="45" t="str">
        <f>Source!E42</f>
        <v>9,3</v>
      </c>
      <c r="B106" s="46" t="str">
        <f>Source!F42</f>
        <v>14.1.06.05</v>
      </c>
      <c r="C106" s="46" t="str">
        <f>Source!G42</f>
        <v>Состав клеящий</v>
      </c>
      <c r="D106" s="29" t="str">
        <f>Source!H42</f>
        <v>кг</v>
      </c>
      <c r="E106" s="11">
        <f>Source!I42</f>
        <v>139.65</v>
      </c>
      <c r="F106" s="30">
        <f>Source!AL42+Source!AM42+Source!AO42</f>
        <v>0</v>
      </c>
      <c r="G106" s="44" t="s">
        <v>3</v>
      </c>
      <c r="H106" s="30">
        <f>ROUND(Source!AC42*Source!I42, 2)+ROUND(Source!AD42*Source!I42, 2)+ROUND(Source!AF42*Source!I42, 2)</f>
        <v>0</v>
      </c>
      <c r="I106" s="31"/>
      <c r="J106" s="31">
        <f>IF(Source!BC42&lt;&gt; 0, Source!BC42, 1)</f>
        <v>6.53</v>
      </c>
      <c r="K106" s="30">
        <f>Source!O42</f>
        <v>0</v>
      </c>
      <c r="L106" s="32"/>
      <c r="S106">
        <f>ROUND((Source!FX42/100)*((ROUND(Source!AF42*Source!I42, 2)+ROUND(Source!AE42*Source!I42, 2))), 2)</f>
        <v>0</v>
      </c>
      <c r="T106">
        <f>Source!X42</f>
        <v>0</v>
      </c>
      <c r="U106">
        <f>ROUND((Source!FY42/100)*((ROUND(Source!AF42*Source!I42, 2)+ROUND(Source!AE42*Source!I42, 2))), 2)</f>
        <v>0</v>
      </c>
      <c r="V106">
        <f>Source!Y42</f>
        <v>0</v>
      </c>
      <c r="W106">
        <f>IF(Source!BI42&lt;=1,H106, 0)</f>
        <v>0</v>
      </c>
      <c r="X106">
        <f>IF(Source!BI42=2,H106, 0)</f>
        <v>0</v>
      </c>
      <c r="Y106">
        <f>IF(Source!BI42=3,H106, 0)</f>
        <v>0</v>
      </c>
      <c r="Z106">
        <f>IF(Source!BI42=4,H106, 0)</f>
        <v>0</v>
      </c>
    </row>
    <row r="107" spans="1:26" ht="28.5" x14ac:dyDescent="0.2">
      <c r="A107" s="47" t="str">
        <f>Source!E43</f>
        <v>9,4</v>
      </c>
      <c r="B107" s="48" t="str">
        <f>Source!F43</f>
        <v>14.1.02.03-0002</v>
      </c>
      <c r="C107" s="48" t="str">
        <f>Source!G43</f>
        <v>Клей ПВА</v>
      </c>
      <c r="D107" s="34" t="str">
        <f>Source!H43</f>
        <v>кг</v>
      </c>
      <c r="E107" s="35">
        <f>Source!I43</f>
        <v>139.65</v>
      </c>
      <c r="F107" s="36">
        <f>Source!AL43+Source!AM43+Source!AO43</f>
        <v>15.9</v>
      </c>
      <c r="G107" s="42" t="s">
        <v>3</v>
      </c>
      <c r="H107" s="36">
        <f>ROUND(Source!AC43*Source!I43, 2)+ROUND(Source!AD43*Source!I43, 2)+ROUND(Source!AF43*Source!I43, 2)</f>
        <v>2220.44</v>
      </c>
      <c r="I107" s="37"/>
      <c r="J107" s="37">
        <f>IF(Source!BC43&lt;&gt; 0, Source!BC43, 1)</f>
        <v>6.53</v>
      </c>
      <c r="K107" s="36">
        <f>Source!O43</f>
        <v>14499.44</v>
      </c>
      <c r="L107" s="43"/>
      <c r="S107">
        <f>ROUND((Source!FX43/100)*((ROUND(Source!AF43*Source!I43, 2)+ROUND(Source!AE43*Source!I43, 2))), 2)</f>
        <v>0</v>
      </c>
      <c r="T107">
        <f>Source!X43</f>
        <v>0</v>
      </c>
      <c r="U107">
        <f>ROUND((Source!FY43/100)*((ROUND(Source!AF43*Source!I43, 2)+ROUND(Source!AE43*Source!I43, 2))), 2)</f>
        <v>0</v>
      </c>
      <c r="V107">
        <f>Source!Y43</f>
        <v>0</v>
      </c>
      <c r="W107">
        <f>IF(Source!BI43&lt;=1,H107, 0)</f>
        <v>2220.44</v>
      </c>
      <c r="X107">
        <f>IF(Source!BI43=2,H107, 0)</f>
        <v>0</v>
      </c>
      <c r="Y107">
        <f>IF(Source!BI43=3,H107, 0)</f>
        <v>0</v>
      </c>
      <c r="Z107">
        <f>IF(Source!BI43=4,H107, 0)</f>
        <v>0</v>
      </c>
    </row>
    <row r="108" spans="1:26" ht="15" x14ac:dyDescent="0.25">
      <c r="G108" s="65">
        <f>H97+H98+H100+H101+H102+SUM(H104:H107)</f>
        <v>27176.119999999995</v>
      </c>
      <c r="H108" s="65"/>
      <c r="J108" s="65">
        <f>K97+K98+K100+K101+K102+SUM(K104:K107)</f>
        <v>177496.36</v>
      </c>
      <c r="K108" s="65"/>
      <c r="L108" s="39">
        <f>Source!U39</f>
        <v>118.42320000000001</v>
      </c>
      <c r="O108" s="24">
        <f>G108</f>
        <v>27176.119999999995</v>
      </c>
      <c r="P108" s="24">
        <f>J108</f>
        <v>177496.36</v>
      </c>
      <c r="Q108" s="24">
        <f>L108</f>
        <v>118.42320000000001</v>
      </c>
      <c r="W108">
        <f>IF(Source!BI39&lt;=1,H97+H98+H100+H101+H102, 0)</f>
        <v>2877.01</v>
      </c>
      <c r="X108">
        <f>IF(Source!BI39=2,H97+H98+H100+H101+H102, 0)</f>
        <v>0</v>
      </c>
      <c r="Y108">
        <f>IF(Source!BI39=3,H97+H98+H100+H101+H102, 0)</f>
        <v>0</v>
      </c>
      <c r="Z108">
        <f>IF(Source!BI39=4,H97+H98+H100+H101+H102, 0)</f>
        <v>0</v>
      </c>
    </row>
    <row r="109" spans="1:26" ht="42.75" x14ac:dyDescent="0.2">
      <c r="A109" s="45" t="str">
        <f>Source!E44</f>
        <v>10</v>
      </c>
      <c r="B109" s="46" t="str">
        <f>Source!F44</f>
        <v>11-01-040-03</v>
      </c>
      <c r="C109" s="46" t="str">
        <f>Source!G44</f>
        <v>Устройство плинтусов поливинилхлоридных на винтах самонарезающих</v>
      </c>
      <c r="D109" s="29" t="str">
        <f>Source!H44</f>
        <v>100 м</v>
      </c>
      <c r="E109" s="11">
        <f>Source!I44</f>
        <v>1.7048000000000001</v>
      </c>
      <c r="F109" s="30">
        <f>Source!AL44+Source!AM44+Source!AO44</f>
        <v>137.09</v>
      </c>
      <c r="G109" s="31"/>
      <c r="H109" s="30"/>
      <c r="I109" s="31" t="str">
        <f>Source!BO44</f>
        <v/>
      </c>
      <c r="J109" s="31"/>
      <c r="K109" s="30"/>
      <c r="L109" s="32"/>
      <c r="S109">
        <f>ROUND((Source!FX44/100)*((ROUND(Source!AF44*Source!I44, 2)+ROUND(Source!AE44*Source!I44, 2))), 2)</f>
        <v>116.52</v>
      </c>
      <c r="T109">
        <f>Source!X44</f>
        <v>762.93</v>
      </c>
      <c r="U109">
        <f>ROUND((Source!FY44/100)*((ROUND(Source!AF44*Source!I44, 2)+ROUND(Source!AE44*Source!I44, 2))), 2)</f>
        <v>67.099999999999994</v>
      </c>
      <c r="V109">
        <f>Source!Y44</f>
        <v>439.88</v>
      </c>
    </row>
    <row r="110" spans="1:26" ht="14.25" x14ac:dyDescent="0.2">
      <c r="A110" s="45"/>
      <c r="B110" s="46"/>
      <c r="C110" s="46" t="s">
        <v>965</v>
      </c>
      <c r="D110" s="29"/>
      <c r="E110" s="11"/>
      <c r="F110" s="30">
        <f>Source!AO44</f>
        <v>61.32</v>
      </c>
      <c r="G110" s="31" t="str">
        <f>Source!DG44</f>
        <v/>
      </c>
      <c r="H110" s="30">
        <f>ROUND(Source!AF44*Source!I44, 2)</f>
        <v>104.54</v>
      </c>
      <c r="I110" s="31"/>
      <c r="J110" s="31">
        <f>IF(Source!BA44&lt;&gt; 0, Source!BA44, 1)</f>
        <v>6.53</v>
      </c>
      <c r="K110" s="30">
        <f>Source!S44</f>
        <v>682.64</v>
      </c>
      <c r="L110" s="32"/>
      <c r="R110">
        <f>H110</f>
        <v>104.54</v>
      </c>
    </row>
    <row r="111" spans="1:26" ht="14.25" x14ac:dyDescent="0.2">
      <c r="A111" s="45"/>
      <c r="B111" s="46"/>
      <c r="C111" s="46" t="s">
        <v>284</v>
      </c>
      <c r="D111" s="29"/>
      <c r="E111" s="11"/>
      <c r="F111" s="30">
        <f>Source!AM44</f>
        <v>2.13</v>
      </c>
      <c r="G111" s="31" t="str">
        <f>Source!DE44</f>
        <v/>
      </c>
      <c r="H111" s="30">
        <f>ROUND(Source!AD44*Source!I44, 2)</f>
        <v>3.63</v>
      </c>
      <c r="I111" s="31"/>
      <c r="J111" s="31">
        <f>IF(Source!BB44&lt;&gt; 0, Source!BB44, 1)</f>
        <v>6.53</v>
      </c>
      <c r="K111" s="30">
        <f>Source!Q44</f>
        <v>23.71</v>
      </c>
      <c r="L111" s="32"/>
    </row>
    <row r="112" spans="1:26" ht="14.25" x14ac:dyDescent="0.2">
      <c r="A112" s="45"/>
      <c r="B112" s="46"/>
      <c r="C112" s="46" t="s">
        <v>971</v>
      </c>
      <c r="D112" s="29"/>
      <c r="E112" s="11"/>
      <c r="F112" s="30">
        <f>Source!AN44</f>
        <v>0.42</v>
      </c>
      <c r="G112" s="31" t="str">
        <f>Source!DF44</f>
        <v/>
      </c>
      <c r="H112" s="40">
        <f>ROUND(Source!AE44*Source!I44, 2)</f>
        <v>0.72</v>
      </c>
      <c r="I112" s="31"/>
      <c r="J112" s="31">
        <f>IF(Source!BS44&lt;&gt; 0, Source!BS44, 1)</f>
        <v>6.53</v>
      </c>
      <c r="K112" s="40">
        <f>Source!R44</f>
        <v>4.68</v>
      </c>
      <c r="L112" s="32"/>
      <c r="R112">
        <f>H112</f>
        <v>0.72</v>
      </c>
    </row>
    <row r="113" spans="1:26" ht="14.25" x14ac:dyDescent="0.2">
      <c r="A113" s="45"/>
      <c r="B113" s="46"/>
      <c r="C113" s="46" t="s">
        <v>972</v>
      </c>
      <c r="D113" s="29"/>
      <c r="E113" s="11"/>
      <c r="F113" s="30">
        <f>Source!AL44</f>
        <v>73.64</v>
      </c>
      <c r="G113" s="31" t="str">
        <f>Source!DD44</f>
        <v/>
      </c>
      <c r="H113" s="30">
        <f>ROUND(Source!AC44*Source!I44, 2)</f>
        <v>125.54</v>
      </c>
      <c r="I113" s="31"/>
      <c r="J113" s="31">
        <f>IF(Source!BC44&lt;&gt; 0, Source!BC44, 1)</f>
        <v>6.53</v>
      </c>
      <c r="K113" s="30">
        <f>Source!P44</f>
        <v>819.79</v>
      </c>
      <c r="L113" s="32"/>
    </row>
    <row r="114" spans="1:26" ht="14.25" x14ac:dyDescent="0.2">
      <c r="A114" s="45"/>
      <c r="B114" s="46"/>
      <c r="C114" s="46" t="s">
        <v>966</v>
      </c>
      <c r="D114" s="29" t="s">
        <v>967</v>
      </c>
      <c r="E114" s="11">
        <f>Source!BZ44</f>
        <v>123</v>
      </c>
      <c r="F114" s="67" t="str">
        <f>CONCATENATE(" )", Source!DL44, Source!FT44, "=", Source!FX44)</f>
        <v xml:space="preserve"> )*0,9=110,7</v>
      </c>
      <c r="G114" s="68"/>
      <c r="H114" s="30">
        <f>SUM(S109:S128)</f>
        <v>116.52</v>
      </c>
      <c r="I114" s="33"/>
      <c r="J114" s="27">
        <f>Source!AT44</f>
        <v>111</v>
      </c>
      <c r="K114" s="30">
        <f>SUM(T109:T128)</f>
        <v>762.93</v>
      </c>
      <c r="L114" s="32"/>
    </row>
    <row r="115" spans="1:26" ht="14.25" x14ac:dyDescent="0.2">
      <c r="A115" s="45"/>
      <c r="B115" s="46"/>
      <c r="C115" s="46" t="s">
        <v>968</v>
      </c>
      <c r="D115" s="29" t="s">
        <v>967</v>
      </c>
      <c r="E115" s="11">
        <f>Source!CA44</f>
        <v>75</v>
      </c>
      <c r="F115" s="67" t="str">
        <f>CONCATENATE(" )", Source!DM44, Source!FU44, "=", Source!FY44)</f>
        <v xml:space="preserve"> )*0,85=63,75</v>
      </c>
      <c r="G115" s="68"/>
      <c r="H115" s="30">
        <f>SUM(U109:U128)</f>
        <v>67.099999999999994</v>
      </c>
      <c r="I115" s="33"/>
      <c r="J115" s="27">
        <f>Source!AU44</f>
        <v>64</v>
      </c>
      <c r="K115" s="30">
        <f>SUM(V109:V128)</f>
        <v>439.88</v>
      </c>
      <c r="L115" s="32"/>
    </row>
    <row r="116" spans="1:26" ht="14.25" x14ac:dyDescent="0.2">
      <c r="A116" s="45"/>
      <c r="B116" s="46"/>
      <c r="C116" s="46" t="s">
        <v>969</v>
      </c>
      <c r="D116" s="29" t="s">
        <v>970</v>
      </c>
      <c r="E116" s="11">
        <f>Source!AQ44</f>
        <v>6.68</v>
      </c>
      <c r="F116" s="30"/>
      <c r="G116" s="31" t="str">
        <f>Source!DI44</f>
        <v/>
      </c>
      <c r="H116" s="30"/>
      <c r="I116" s="31"/>
      <c r="J116" s="31"/>
      <c r="K116" s="30"/>
      <c r="L116" s="41">
        <f>Source!U44</f>
        <v>11.388064</v>
      </c>
    </row>
    <row r="117" spans="1:26" ht="14.25" x14ac:dyDescent="0.2">
      <c r="A117" s="45" t="str">
        <f>Source!E45</f>
        <v>10,1</v>
      </c>
      <c r="B117" s="46" t="str">
        <f>Source!F45</f>
        <v>11.3.03.06</v>
      </c>
      <c r="C117" s="46" t="str">
        <f>Source!G45</f>
        <v>Плинтуса для полов пластиковые</v>
      </c>
      <c r="D117" s="29" t="str">
        <f>Source!H45</f>
        <v>м</v>
      </c>
      <c r="E117" s="11">
        <f>Source!I45</f>
        <v>172.1848</v>
      </c>
      <c r="F117" s="30">
        <f>Source!AL45+Source!AM45+Source!AO45</f>
        <v>0</v>
      </c>
      <c r="G117" s="44" t="s">
        <v>3</v>
      </c>
      <c r="H117" s="30">
        <f>ROUND(Source!AC45*Source!I45, 2)+ROUND(Source!AD45*Source!I45, 2)+ROUND(Source!AF45*Source!I45, 2)</f>
        <v>0</v>
      </c>
      <c r="I117" s="31"/>
      <c r="J117" s="31">
        <f>IF(Source!BC45&lt;&gt; 0, Source!BC45, 1)</f>
        <v>6.53</v>
      </c>
      <c r="K117" s="30">
        <f>Source!O45</f>
        <v>0</v>
      </c>
      <c r="L117" s="32"/>
      <c r="S117">
        <f>ROUND((Source!FX45/100)*((ROUND(Source!AF45*Source!I45, 2)+ROUND(Source!AE45*Source!I45, 2))), 2)</f>
        <v>0</v>
      </c>
      <c r="T117">
        <f>Source!X45</f>
        <v>0</v>
      </c>
      <c r="U117">
        <f>ROUND((Source!FY45/100)*((ROUND(Source!AF45*Source!I45, 2)+ROUND(Source!AE45*Source!I45, 2))), 2)</f>
        <v>0</v>
      </c>
      <c r="V117">
        <f>Source!Y45</f>
        <v>0</v>
      </c>
      <c r="W117">
        <f>IF(Source!BI45&lt;=1,H117, 0)</f>
        <v>0</v>
      </c>
      <c r="X117">
        <f>IF(Source!BI45=2,H117, 0)</f>
        <v>0</v>
      </c>
      <c r="Y117">
        <f>IF(Source!BI45=3,H117, 0)</f>
        <v>0</v>
      </c>
      <c r="Z117">
        <f>IF(Source!BI45=4,H117, 0)</f>
        <v>0</v>
      </c>
    </row>
    <row r="118" spans="1:26" ht="42.75" x14ac:dyDescent="0.2">
      <c r="A118" s="45" t="str">
        <f>Source!E46</f>
        <v>10,2</v>
      </c>
      <c r="B118" s="46" t="str">
        <f>Source!F46</f>
        <v>11.3.03.06-0001</v>
      </c>
      <c r="C118" s="46" t="str">
        <f>Source!G46</f>
        <v>Плинтуса для полов пластиковые KronPlast Premium  с кабель-каналом, 19х48 мм прим.</v>
      </c>
      <c r="D118" s="29" t="str">
        <f>Source!H46</f>
        <v>м</v>
      </c>
      <c r="E118" s="11">
        <f>Source!I46</f>
        <v>172.1848</v>
      </c>
      <c r="F118" s="30">
        <f>Source!AL46+Source!AM46+Source!AO46</f>
        <v>12.3</v>
      </c>
      <c r="G118" s="44" t="s">
        <v>3</v>
      </c>
      <c r="H118" s="30">
        <f>ROUND(Source!AC46*Source!I46, 2)+ROUND(Source!AD46*Source!I46, 2)+ROUND(Source!AF46*Source!I46, 2)</f>
        <v>2117.87</v>
      </c>
      <c r="I118" s="31"/>
      <c r="J118" s="31">
        <f>IF(Source!BC46&lt;&gt; 0, Source!BC46, 1)</f>
        <v>6.53</v>
      </c>
      <c r="K118" s="30">
        <f>Source!O46</f>
        <v>13829.71</v>
      </c>
      <c r="L118" s="32"/>
      <c r="S118">
        <f>ROUND((Source!FX46/100)*((ROUND(Source!AF46*Source!I46, 2)+ROUND(Source!AE46*Source!I46, 2))), 2)</f>
        <v>0</v>
      </c>
      <c r="T118">
        <f>Source!X46</f>
        <v>0</v>
      </c>
      <c r="U118">
        <f>ROUND((Source!FY46/100)*((ROUND(Source!AF46*Source!I46, 2)+ROUND(Source!AE46*Source!I46, 2))), 2)</f>
        <v>0</v>
      </c>
      <c r="V118">
        <f>Source!Y46</f>
        <v>0</v>
      </c>
      <c r="W118">
        <f>IF(Source!BI46&lt;=1,H118, 0)</f>
        <v>2117.87</v>
      </c>
      <c r="X118">
        <f>IF(Source!BI46=2,H118, 0)</f>
        <v>0</v>
      </c>
      <c r="Y118">
        <f>IF(Source!BI46=3,H118, 0)</f>
        <v>0</v>
      </c>
      <c r="Z118">
        <f>IF(Source!BI46=4,H118, 0)</f>
        <v>0</v>
      </c>
    </row>
    <row r="119" spans="1:26" ht="28.5" x14ac:dyDescent="0.2">
      <c r="A119" s="45" t="str">
        <f>Source!E47</f>
        <v>10,3</v>
      </c>
      <c r="B119" s="46" t="str">
        <f>Source!F47</f>
        <v>11.3.03.14</v>
      </c>
      <c r="C119" s="46" t="str">
        <f>Source!G47</f>
        <v>Уголок наружный для пластикового плинтуса</v>
      </c>
      <c r="D119" s="29" t="str">
        <f>Source!H47</f>
        <v>шт.</v>
      </c>
      <c r="E119" s="11">
        <f>Source!I47</f>
        <v>12</v>
      </c>
      <c r="F119" s="30">
        <f>Source!AL47+Source!AM47+Source!AO47</f>
        <v>0</v>
      </c>
      <c r="G119" s="44" t="s">
        <v>3</v>
      </c>
      <c r="H119" s="30">
        <f>ROUND(Source!AC47*Source!I47, 2)+ROUND(Source!AD47*Source!I47, 2)+ROUND(Source!AF47*Source!I47, 2)</f>
        <v>0</v>
      </c>
      <c r="I119" s="31"/>
      <c r="J119" s="31">
        <f>IF(Source!BC47&lt;&gt; 0, Source!BC47, 1)</f>
        <v>6.53</v>
      </c>
      <c r="K119" s="30">
        <f>Source!O47</f>
        <v>0</v>
      </c>
      <c r="L119" s="32"/>
      <c r="S119">
        <f>ROUND((Source!FX47/100)*((ROUND(Source!AF47*Source!I47, 2)+ROUND(Source!AE47*Source!I47, 2))), 2)</f>
        <v>0</v>
      </c>
      <c r="T119">
        <f>Source!X47</f>
        <v>0</v>
      </c>
      <c r="U119">
        <f>ROUND((Source!FY47/100)*((ROUND(Source!AF47*Source!I47, 2)+ROUND(Source!AE47*Source!I47, 2))), 2)</f>
        <v>0</v>
      </c>
      <c r="V119">
        <f>Source!Y47</f>
        <v>0</v>
      </c>
      <c r="W119">
        <f>IF(Source!BI47&lt;=1,H119, 0)</f>
        <v>0</v>
      </c>
      <c r="X119">
        <f>IF(Source!BI47=2,H119, 0)</f>
        <v>0</v>
      </c>
      <c r="Y119">
        <f>IF(Source!BI47=3,H119, 0)</f>
        <v>0</v>
      </c>
      <c r="Z119">
        <f>IF(Source!BI47=4,H119, 0)</f>
        <v>0</v>
      </c>
    </row>
    <row r="120" spans="1:26" ht="28.5" x14ac:dyDescent="0.2">
      <c r="A120" s="45" t="str">
        <f>Source!E48</f>
        <v>10,4</v>
      </c>
      <c r="B120" s="46" t="str">
        <f>Source!F48</f>
        <v>11.3.03.14-0011</v>
      </c>
      <c r="C120" s="46" t="str">
        <f>Source!G48</f>
        <v>Заглушки торцевая для пластикового плинтуса правая, высота 48 мм</v>
      </c>
      <c r="D120" s="29" t="str">
        <f>Source!H48</f>
        <v>100 шт.</v>
      </c>
      <c r="E120" s="11">
        <f>Source!I48</f>
        <v>0.14000000000000001</v>
      </c>
      <c r="F120" s="30">
        <f>Source!AL48+Source!AM48+Source!AO48</f>
        <v>63</v>
      </c>
      <c r="G120" s="44" t="s">
        <v>3</v>
      </c>
      <c r="H120" s="30">
        <f>ROUND(Source!AC48*Source!I48, 2)+ROUND(Source!AD48*Source!I48, 2)+ROUND(Source!AF48*Source!I48, 2)</f>
        <v>8.82</v>
      </c>
      <c r="I120" s="31"/>
      <c r="J120" s="31">
        <f>IF(Source!BC48&lt;&gt; 0, Source!BC48, 1)</f>
        <v>6.53</v>
      </c>
      <c r="K120" s="30">
        <f>Source!O48</f>
        <v>57.59</v>
      </c>
      <c r="L120" s="32"/>
      <c r="S120">
        <f>ROUND((Source!FX48/100)*((ROUND(Source!AF48*Source!I48, 2)+ROUND(Source!AE48*Source!I48, 2))), 2)</f>
        <v>0</v>
      </c>
      <c r="T120">
        <f>Source!X48</f>
        <v>0</v>
      </c>
      <c r="U120">
        <f>ROUND((Source!FY48/100)*((ROUND(Source!AF48*Source!I48, 2)+ROUND(Source!AE48*Source!I48, 2))), 2)</f>
        <v>0</v>
      </c>
      <c r="V120">
        <f>Source!Y48</f>
        <v>0</v>
      </c>
      <c r="W120">
        <f>IF(Source!BI48&lt;=1,H120, 0)</f>
        <v>8.82</v>
      </c>
      <c r="X120">
        <f>IF(Source!BI48=2,H120, 0)</f>
        <v>0</v>
      </c>
      <c r="Y120">
        <f>IF(Source!BI48=3,H120, 0)</f>
        <v>0</v>
      </c>
      <c r="Z120">
        <f>IF(Source!BI48=4,H120, 0)</f>
        <v>0</v>
      </c>
    </row>
    <row r="121" spans="1:26" ht="28.5" x14ac:dyDescent="0.2">
      <c r="A121" s="45" t="str">
        <f>Source!E49</f>
        <v>10,5</v>
      </c>
      <c r="B121" s="46" t="str">
        <f>Source!F49</f>
        <v>11.3.03.14-0001</v>
      </c>
      <c r="C121" s="46" t="str">
        <f>Source!G49</f>
        <v>Заглушка торцевая для пластикового плинтуса левая, высота 48 мм</v>
      </c>
      <c r="D121" s="29" t="str">
        <f>Source!H49</f>
        <v>100 шт.</v>
      </c>
      <c r="E121" s="11">
        <f>Source!I49</f>
        <v>0.14000000000000001</v>
      </c>
      <c r="F121" s="30">
        <f>Source!AL49+Source!AM49+Source!AO49</f>
        <v>63</v>
      </c>
      <c r="G121" s="44" t="s">
        <v>3</v>
      </c>
      <c r="H121" s="30">
        <f>ROUND(Source!AC49*Source!I49, 2)+ROUND(Source!AD49*Source!I49, 2)+ROUND(Source!AF49*Source!I49, 2)</f>
        <v>8.82</v>
      </c>
      <c r="I121" s="31"/>
      <c r="J121" s="31">
        <f>IF(Source!BC49&lt;&gt; 0, Source!BC49, 1)</f>
        <v>6.53</v>
      </c>
      <c r="K121" s="30">
        <f>Source!O49</f>
        <v>57.59</v>
      </c>
      <c r="L121" s="32"/>
      <c r="S121">
        <f>ROUND((Source!FX49/100)*((ROUND(Source!AF49*Source!I49, 2)+ROUND(Source!AE49*Source!I49, 2))), 2)</f>
        <v>0</v>
      </c>
      <c r="T121">
        <f>Source!X49</f>
        <v>0</v>
      </c>
      <c r="U121">
        <f>ROUND((Source!FY49/100)*((ROUND(Source!AF49*Source!I49, 2)+ROUND(Source!AE49*Source!I49, 2))), 2)</f>
        <v>0</v>
      </c>
      <c r="V121">
        <f>Source!Y49</f>
        <v>0</v>
      </c>
      <c r="W121">
        <f>IF(Source!BI49&lt;=1,H121, 0)</f>
        <v>8.82</v>
      </c>
      <c r="X121">
        <f>IF(Source!BI49=2,H121, 0)</f>
        <v>0</v>
      </c>
      <c r="Y121">
        <f>IF(Source!BI49=3,H121, 0)</f>
        <v>0</v>
      </c>
      <c r="Z121">
        <f>IF(Source!BI49=4,H121, 0)</f>
        <v>0</v>
      </c>
    </row>
    <row r="122" spans="1:26" ht="28.5" x14ac:dyDescent="0.2">
      <c r="A122" s="45" t="str">
        <f>Source!E50</f>
        <v>10,6</v>
      </c>
      <c r="B122" s="46" t="str">
        <f>Source!F50</f>
        <v>11.3.03.14-0021</v>
      </c>
      <c r="C122" s="46" t="str">
        <f>Source!G50</f>
        <v>Соединитель для пластикового плинтуса, высота 48 мм</v>
      </c>
      <c r="D122" s="29" t="str">
        <f>Source!H50</f>
        <v>100 шт.</v>
      </c>
      <c r="E122" s="11">
        <f>Source!I50</f>
        <v>0.68</v>
      </c>
      <c r="F122" s="30">
        <f>Source!AL50+Source!AM50+Source!AO50</f>
        <v>128</v>
      </c>
      <c r="G122" s="44" t="s">
        <v>3</v>
      </c>
      <c r="H122" s="30">
        <f>ROUND(Source!AC50*Source!I50, 2)+ROUND(Source!AD50*Source!I50, 2)+ROUND(Source!AF50*Source!I50, 2)</f>
        <v>87.04</v>
      </c>
      <c r="I122" s="31"/>
      <c r="J122" s="31">
        <f>IF(Source!BC50&lt;&gt; 0, Source!BC50, 1)</f>
        <v>6.53</v>
      </c>
      <c r="K122" s="30">
        <f>Source!O50</f>
        <v>568.37</v>
      </c>
      <c r="L122" s="32"/>
      <c r="S122">
        <f>ROUND((Source!FX50/100)*((ROUND(Source!AF50*Source!I50, 2)+ROUND(Source!AE50*Source!I50, 2))), 2)</f>
        <v>0</v>
      </c>
      <c r="T122">
        <f>Source!X50</f>
        <v>0</v>
      </c>
      <c r="U122">
        <f>ROUND((Source!FY50/100)*((ROUND(Source!AF50*Source!I50, 2)+ROUND(Source!AE50*Source!I50, 2))), 2)</f>
        <v>0</v>
      </c>
      <c r="V122">
        <f>Source!Y50</f>
        <v>0</v>
      </c>
      <c r="W122">
        <f>IF(Source!BI50&lt;=1,H122, 0)</f>
        <v>87.04</v>
      </c>
      <c r="X122">
        <f>IF(Source!BI50=2,H122, 0)</f>
        <v>0</v>
      </c>
      <c r="Y122">
        <f>IF(Source!BI50=3,H122, 0)</f>
        <v>0</v>
      </c>
      <c r="Z122">
        <f>IF(Source!BI50=4,H122, 0)</f>
        <v>0</v>
      </c>
    </row>
    <row r="123" spans="1:26" ht="28.5" x14ac:dyDescent="0.2">
      <c r="A123" s="45" t="str">
        <f>Source!E51</f>
        <v>10,7</v>
      </c>
      <c r="B123" s="46" t="str">
        <f>Source!F51</f>
        <v>11.3.03.14-0031</v>
      </c>
      <c r="C123" s="46" t="str">
        <f>Source!G51</f>
        <v>Уголок внутренний для пластикового плинтуса, высота 48 мм</v>
      </c>
      <c r="D123" s="29" t="str">
        <f>Source!H51</f>
        <v>100 шт.</v>
      </c>
      <c r="E123" s="11">
        <f>Source!I51</f>
        <v>0.11999999999999998</v>
      </c>
      <c r="F123" s="30">
        <f>Source!AL51+Source!AM51+Source!AO51</f>
        <v>128</v>
      </c>
      <c r="G123" s="44" t="s">
        <v>3</v>
      </c>
      <c r="H123" s="30">
        <f>ROUND(Source!AC51*Source!I51, 2)+ROUND(Source!AD51*Source!I51, 2)+ROUND(Source!AF51*Source!I51, 2)</f>
        <v>15.36</v>
      </c>
      <c r="I123" s="31"/>
      <c r="J123" s="31">
        <f>IF(Source!BC51&lt;&gt; 0, Source!BC51, 1)</f>
        <v>6.53</v>
      </c>
      <c r="K123" s="30">
        <f>Source!O51</f>
        <v>100.3</v>
      </c>
      <c r="L123" s="32"/>
      <c r="S123">
        <f>ROUND((Source!FX51/100)*((ROUND(Source!AF51*Source!I51, 2)+ROUND(Source!AE51*Source!I51, 2))), 2)</f>
        <v>0</v>
      </c>
      <c r="T123">
        <f>Source!X51</f>
        <v>0</v>
      </c>
      <c r="U123">
        <f>ROUND((Source!FY51/100)*((ROUND(Source!AF51*Source!I51, 2)+ROUND(Source!AE51*Source!I51, 2))), 2)</f>
        <v>0</v>
      </c>
      <c r="V123">
        <f>Source!Y51</f>
        <v>0</v>
      </c>
      <c r="W123">
        <f>IF(Source!BI51&lt;=1,H123, 0)</f>
        <v>15.36</v>
      </c>
      <c r="X123">
        <f>IF(Source!BI51=2,H123, 0)</f>
        <v>0</v>
      </c>
      <c r="Y123">
        <f>IF(Source!BI51=3,H123, 0)</f>
        <v>0</v>
      </c>
      <c r="Z123">
        <f>IF(Source!BI51=4,H123, 0)</f>
        <v>0</v>
      </c>
    </row>
    <row r="124" spans="1:26" ht="28.5" x14ac:dyDescent="0.2">
      <c r="A124" s="45" t="str">
        <f>Source!E52</f>
        <v>10,8</v>
      </c>
      <c r="B124" s="46" t="str">
        <f>Source!F52</f>
        <v>11.3.03.14-0033</v>
      </c>
      <c r="C124" s="46" t="str">
        <f>Source!G52</f>
        <v>Уголок наружный для пластикового плинтуса, высота 48 мм</v>
      </c>
      <c r="D124" s="29" t="str">
        <f>Source!H52</f>
        <v>100 шт.</v>
      </c>
      <c r="E124" s="11">
        <f>Source!I52</f>
        <v>0.11999999999999998</v>
      </c>
      <c r="F124" s="30">
        <f>Source!AL52+Source!AM52+Source!AO52</f>
        <v>128</v>
      </c>
      <c r="G124" s="44" t="s">
        <v>3</v>
      </c>
      <c r="H124" s="30">
        <f>ROUND(Source!AC52*Source!I52, 2)+ROUND(Source!AD52*Source!I52, 2)+ROUND(Source!AF52*Source!I52, 2)</f>
        <v>15.36</v>
      </c>
      <c r="I124" s="31"/>
      <c r="J124" s="31">
        <f>IF(Source!BC52&lt;&gt; 0, Source!BC52, 1)</f>
        <v>6.53</v>
      </c>
      <c r="K124" s="30">
        <f>Source!O52</f>
        <v>100.3</v>
      </c>
      <c r="L124" s="32"/>
      <c r="S124">
        <f>ROUND((Source!FX52/100)*((ROUND(Source!AF52*Source!I52, 2)+ROUND(Source!AE52*Source!I52, 2))), 2)</f>
        <v>0</v>
      </c>
      <c r="T124">
        <f>Source!X52</f>
        <v>0</v>
      </c>
      <c r="U124">
        <f>ROUND((Source!FY52/100)*((ROUND(Source!AF52*Source!I52, 2)+ROUND(Source!AE52*Source!I52, 2))), 2)</f>
        <v>0</v>
      </c>
      <c r="V124">
        <f>Source!Y52</f>
        <v>0</v>
      </c>
      <c r="W124">
        <f>IF(Source!BI52&lt;=1,H124, 0)</f>
        <v>15.36</v>
      </c>
      <c r="X124">
        <f>IF(Source!BI52=2,H124, 0)</f>
        <v>0</v>
      </c>
      <c r="Y124">
        <f>IF(Source!BI52=3,H124, 0)</f>
        <v>0</v>
      </c>
      <c r="Z124">
        <f>IF(Source!BI52=4,H124, 0)</f>
        <v>0</v>
      </c>
    </row>
    <row r="125" spans="1:26" ht="28.5" x14ac:dyDescent="0.2">
      <c r="A125" s="45" t="str">
        <f>Source!E53</f>
        <v>10,9</v>
      </c>
      <c r="B125" s="46" t="str">
        <f>Source!F53</f>
        <v>11.3.03.14-0001</v>
      </c>
      <c r="C125" s="46" t="str">
        <f>Source!G53</f>
        <v>Заглушка торцевая для пластикового плинтуса левая, высота 48 мм</v>
      </c>
      <c r="D125" s="29" t="str">
        <f>Source!H53</f>
        <v>100 шт.</v>
      </c>
      <c r="E125" s="11">
        <f>Source!I53</f>
        <v>0.11999999999999998</v>
      </c>
      <c r="F125" s="30">
        <f>Source!AL53+Source!AM53+Source!AO53</f>
        <v>63</v>
      </c>
      <c r="G125" s="44" t="s">
        <v>3</v>
      </c>
      <c r="H125" s="30">
        <f>ROUND(Source!AC53*Source!I53, 2)+ROUND(Source!AD53*Source!I53, 2)+ROUND(Source!AF53*Source!I53, 2)</f>
        <v>7.56</v>
      </c>
      <c r="I125" s="31"/>
      <c r="J125" s="31">
        <f>IF(Source!BC53&lt;&gt; 0, Source!BC53, 1)</f>
        <v>6.53</v>
      </c>
      <c r="K125" s="30">
        <f>Source!O53</f>
        <v>49.37</v>
      </c>
      <c r="L125" s="32"/>
      <c r="S125">
        <f>ROUND((Source!FX53/100)*((ROUND(Source!AF53*Source!I53, 2)+ROUND(Source!AE53*Source!I53, 2))), 2)</f>
        <v>0</v>
      </c>
      <c r="T125">
        <f>Source!X53</f>
        <v>0</v>
      </c>
      <c r="U125">
        <f>ROUND((Source!FY53/100)*((ROUND(Source!AF53*Source!I53, 2)+ROUND(Source!AE53*Source!I53, 2))), 2)</f>
        <v>0</v>
      </c>
      <c r="V125">
        <f>Source!Y53</f>
        <v>0</v>
      </c>
      <c r="W125">
        <f>IF(Source!BI53&lt;=1,H125, 0)</f>
        <v>7.56</v>
      </c>
      <c r="X125">
        <f>IF(Source!BI53=2,H125, 0)</f>
        <v>0</v>
      </c>
      <c r="Y125">
        <f>IF(Source!BI53=3,H125, 0)</f>
        <v>0</v>
      </c>
      <c r="Z125">
        <f>IF(Source!BI53=4,H125, 0)</f>
        <v>0</v>
      </c>
    </row>
    <row r="126" spans="1:26" ht="28.5" x14ac:dyDescent="0.2">
      <c r="A126" s="45" t="str">
        <f>Source!E54</f>
        <v>10,10</v>
      </c>
      <c r="B126" s="46" t="str">
        <f>Source!F54</f>
        <v>11.3.03.14</v>
      </c>
      <c r="C126" s="46" t="str">
        <f>Source!G54</f>
        <v>Соединитель для пластикового плинтуса</v>
      </c>
      <c r="D126" s="29" t="str">
        <f>Source!H54</f>
        <v>шт.</v>
      </c>
      <c r="E126" s="11">
        <f>Source!I54</f>
        <v>68</v>
      </c>
      <c r="F126" s="30">
        <f>Source!AL54+Source!AM54+Source!AO54</f>
        <v>0</v>
      </c>
      <c r="G126" s="44" t="s">
        <v>3</v>
      </c>
      <c r="H126" s="30">
        <f>ROUND(Source!AC54*Source!I54, 2)+ROUND(Source!AD54*Source!I54, 2)+ROUND(Source!AF54*Source!I54, 2)</f>
        <v>0</v>
      </c>
      <c r="I126" s="31"/>
      <c r="J126" s="31">
        <f>IF(Source!BC54&lt;&gt; 0, Source!BC54, 1)</f>
        <v>6.53</v>
      </c>
      <c r="K126" s="30">
        <f>Source!O54</f>
        <v>0</v>
      </c>
      <c r="L126" s="32"/>
      <c r="S126">
        <f>ROUND((Source!FX54/100)*((ROUND(Source!AF54*Source!I54, 2)+ROUND(Source!AE54*Source!I54, 2))), 2)</f>
        <v>0</v>
      </c>
      <c r="T126">
        <f>Source!X54</f>
        <v>0</v>
      </c>
      <c r="U126">
        <f>ROUND((Source!FY54/100)*((ROUND(Source!AF54*Source!I54, 2)+ROUND(Source!AE54*Source!I54, 2))), 2)</f>
        <v>0</v>
      </c>
      <c r="V126">
        <f>Source!Y54</f>
        <v>0</v>
      </c>
      <c r="W126">
        <f>IF(Source!BI54&lt;=1,H126, 0)</f>
        <v>0</v>
      </c>
      <c r="X126">
        <f>IF(Source!BI54=2,H126, 0)</f>
        <v>0</v>
      </c>
      <c r="Y126">
        <f>IF(Source!BI54=3,H126, 0)</f>
        <v>0</v>
      </c>
      <c r="Z126">
        <f>IF(Source!BI54=4,H126, 0)</f>
        <v>0</v>
      </c>
    </row>
    <row r="127" spans="1:26" ht="28.5" x14ac:dyDescent="0.2">
      <c r="A127" s="45" t="str">
        <f>Source!E55</f>
        <v>10,11</v>
      </c>
      <c r="B127" s="46" t="str">
        <f>Source!F55</f>
        <v>11.3.03.14</v>
      </c>
      <c r="C127" s="46" t="str">
        <f>Source!G55</f>
        <v>Заглушка торцевая для пластикового плинтуса левая</v>
      </c>
      <c r="D127" s="29" t="str">
        <f>Source!H55</f>
        <v>шт.</v>
      </c>
      <c r="E127" s="11">
        <f>Source!I55</f>
        <v>14.000000000000002</v>
      </c>
      <c r="F127" s="30">
        <f>Source!AL55+Source!AM55+Source!AO55</f>
        <v>0</v>
      </c>
      <c r="G127" s="44" t="s">
        <v>3</v>
      </c>
      <c r="H127" s="30">
        <f>ROUND(Source!AC55*Source!I55, 2)+ROUND(Source!AD55*Source!I55, 2)+ROUND(Source!AF55*Source!I55, 2)</f>
        <v>0</v>
      </c>
      <c r="I127" s="31"/>
      <c r="J127" s="31">
        <f>IF(Source!BC55&lt;&gt; 0, Source!BC55, 1)</f>
        <v>6.53</v>
      </c>
      <c r="K127" s="30">
        <f>Source!O55</f>
        <v>0</v>
      </c>
      <c r="L127" s="32"/>
      <c r="S127">
        <f>ROUND((Source!FX55/100)*((ROUND(Source!AF55*Source!I55, 2)+ROUND(Source!AE55*Source!I55, 2))), 2)</f>
        <v>0</v>
      </c>
      <c r="T127">
        <f>Source!X55</f>
        <v>0</v>
      </c>
      <c r="U127">
        <f>ROUND((Source!FY55/100)*((ROUND(Source!AF55*Source!I55, 2)+ROUND(Source!AE55*Source!I55, 2))), 2)</f>
        <v>0</v>
      </c>
      <c r="V127">
        <f>Source!Y55</f>
        <v>0</v>
      </c>
      <c r="W127">
        <f>IF(Source!BI55&lt;=1,H127, 0)</f>
        <v>0</v>
      </c>
      <c r="X127">
        <f>IF(Source!BI55=2,H127, 0)</f>
        <v>0</v>
      </c>
      <c r="Y127">
        <f>IF(Source!BI55=3,H127, 0)</f>
        <v>0</v>
      </c>
      <c r="Z127">
        <f>IF(Source!BI55=4,H127, 0)</f>
        <v>0</v>
      </c>
    </row>
    <row r="128" spans="1:26" ht="28.5" x14ac:dyDescent="0.2">
      <c r="A128" s="47" t="str">
        <f>Source!E56</f>
        <v>10,12</v>
      </c>
      <c r="B128" s="48" t="str">
        <f>Source!F56</f>
        <v>11.3.03.14</v>
      </c>
      <c r="C128" s="48" t="str">
        <f>Source!G56</f>
        <v>Заглушка торцевая для пластикового плинтуса правая</v>
      </c>
      <c r="D128" s="34" t="str">
        <f>Source!H56</f>
        <v>шт.</v>
      </c>
      <c r="E128" s="35">
        <f>Source!I56</f>
        <v>14.000000000000002</v>
      </c>
      <c r="F128" s="36">
        <f>Source!AL56+Source!AM56+Source!AO56</f>
        <v>0</v>
      </c>
      <c r="G128" s="42" t="s">
        <v>3</v>
      </c>
      <c r="H128" s="36">
        <f>ROUND(Source!AC56*Source!I56, 2)+ROUND(Source!AD56*Source!I56, 2)+ROUND(Source!AF56*Source!I56, 2)</f>
        <v>0</v>
      </c>
      <c r="I128" s="37"/>
      <c r="J128" s="37">
        <f>IF(Source!BC56&lt;&gt; 0, Source!BC56, 1)</f>
        <v>6.53</v>
      </c>
      <c r="K128" s="36">
        <f>Source!O56</f>
        <v>0</v>
      </c>
      <c r="L128" s="43"/>
      <c r="S128">
        <f>ROUND((Source!FX56/100)*((ROUND(Source!AF56*Source!I56, 2)+ROUND(Source!AE56*Source!I56, 2))), 2)</f>
        <v>0</v>
      </c>
      <c r="T128">
        <f>Source!X56</f>
        <v>0</v>
      </c>
      <c r="U128">
        <f>ROUND((Source!FY56/100)*((ROUND(Source!AF56*Source!I56, 2)+ROUND(Source!AE56*Source!I56, 2))), 2)</f>
        <v>0</v>
      </c>
      <c r="V128">
        <f>Source!Y56</f>
        <v>0</v>
      </c>
      <c r="W128">
        <f>IF(Source!BI56&lt;=1,H128, 0)</f>
        <v>0</v>
      </c>
      <c r="X128">
        <f>IF(Source!BI56=2,H128, 0)</f>
        <v>0</v>
      </c>
      <c r="Y128">
        <f>IF(Source!BI56=3,H128, 0)</f>
        <v>0</v>
      </c>
      <c r="Z128">
        <f>IF(Source!BI56=4,H128, 0)</f>
        <v>0</v>
      </c>
    </row>
    <row r="129" spans="1:26" ht="15" x14ac:dyDescent="0.25">
      <c r="G129" s="65">
        <f>H110+H111+H113+H114+H115+SUM(H117:H128)</f>
        <v>2678.1600000000003</v>
      </c>
      <c r="H129" s="65"/>
      <c r="J129" s="65">
        <f>K110+K111+K113+K114+K115+SUM(K117:K128)</f>
        <v>17492.18</v>
      </c>
      <c r="K129" s="65"/>
      <c r="L129" s="39">
        <f>Source!U44</f>
        <v>11.388064</v>
      </c>
      <c r="O129" s="24">
        <f>G129</f>
        <v>2678.1600000000003</v>
      </c>
      <c r="P129" s="24">
        <f>J129</f>
        <v>17492.18</v>
      </c>
      <c r="Q129" s="24">
        <f>L129</f>
        <v>11.388064</v>
      </c>
      <c r="W129">
        <f>IF(Source!BI44&lt;=1,H110+H111+H113+H114+H115, 0)</f>
        <v>417.33000000000004</v>
      </c>
      <c r="X129">
        <f>IF(Source!BI44=2,H110+H111+H113+H114+H115, 0)</f>
        <v>0</v>
      </c>
      <c r="Y129">
        <f>IF(Source!BI44=3,H110+H111+H113+H114+H115, 0)</f>
        <v>0</v>
      </c>
      <c r="Z129">
        <f>IF(Source!BI44=4,H110+H111+H113+H114+H115, 0)</f>
        <v>0</v>
      </c>
    </row>
    <row r="130" spans="1:26" ht="28.5" x14ac:dyDescent="0.2">
      <c r="A130" s="45" t="str">
        <f>Source!E57</f>
        <v>11</v>
      </c>
      <c r="B130" s="46" t="str">
        <f>Source!F57</f>
        <v>11-01-049-01</v>
      </c>
      <c r="C130" s="46" t="str">
        <f>Source!G57</f>
        <v>Укладка металлического накладного профиля (порога)</v>
      </c>
      <c r="D130" s="29" t="str">
        <f>Source!H57</f>
        <v>100 м</v>
      </c>
      <c r="E130" s="11">
        <f>Source!I57</f>
        <v>7.1999999999999995E-2</v>
      </c>
      <c r="F130" s="30">
        <f>Source!AL57+Source!AM57+Source!AO57</f>
        <v>225.83</v>
      </c>
      <c r="G130" s="31"/>
      <c r="H130" s="30"/>
      <c r="I130" s="31" t="str">
        <f>Source!BO57</f>
        <v/>
      </c>
      <c r="J130" s="31"/>
      <c r="K130" s="30"/>
      <c r="L130" s="32"/>
      <c r="S130">
        <f>ROUND((Source!FX57/100)*((ROUND(Source!AF57*Source!I57, 2)+ROUND(Source!AE57*Source!I57, 2))), 2)</f>
        <v>11.59</v>
      </c>
      <c r="T130">
        <f>Source!X57</f>
        <v>75.900000000000006</v>
      </c>
      <c r="U130">
        <f>ROUND((Source!FY57/100)*((ROUND(Source!AF57*Source!I57, 2)+ROUND(Source!AE57*Source!I57, 2))), 2)</f>
        <v>6.67</v>
      </c>
      <c r="V130">
        <f>Source!Y57</f>
        <v>43.76</v>
      </c>
    </row>
    <row r="131" spans="1:26" x14ac:dyDescent="0.2">
      <c r="C131" s="25" t="str">
        <f>"Объем: "&amp;Source!I57&amp;"=7,2/"&amp;"100"</f>
        <v>Объем: 0,072=7,2/100</v>
      </c>
    </row>
    <row r="132" spans="1:26" ht="14.25" x14ac:dyDescent="0.2">
      <c r="A132" s="45"/>
      <c r="B132" s="46"/>
      <c r="C132" s="46" t="s">
        <v>965</v>
      </c>
      <c r="D132" s="29"/>
      <c r="E132" s="11"/>
      <c r="F132" s="30">
        <f>Source!AO57</f>
        <v>145.43</v>
      </c>
      <c r="G132" s="31" t="str">
        <f>Source!DG57</f>
        <v/>
      </c>
      <c r="H132" s="30">
        <f>ROUND(Source!AF57*Source!I57, 2)</f>
        <v>10.47</v>
      </c>
      <c r="I132" s="31"/>
      <c r="J132" s="31">
        <f>IF(Source!BA57&lt;&gt; 0, Source!BA57, 1)</f>
        <v>6.53</v>
      </c>
      <c r="K132" s="30">
        <f>Source!S57</f>
        <v>68.38</v>
      </c>
      <c r="L132" s="32"/>
      <c r="R132">
        <f>H132</f>
        <v>10.47</v>
      </c>
    </row>
    <row r="133" spans="1:26" ht="14.25" x14ac:dyDescent="0.2">
      <c r="A133" s="45"/>
      <c r="B133" s="46"/>
      <c r="C133" s="46" t="s">
        <v>972</v>
      </c>
      <c r="D133" s="29"/>
      <c r="E133" s="11"/>
      <c r="F133" s="30">
        <f>Source!AL57</f>
        <v>80.400000000000006</v>
      </c>
      <c r="G133" s="31" t="str">
        <f>Source!DD57</f>
        <v/>
      </c>
      <c r="H133" s="30">
        <f>ROUND(Source!AC57*Source!I57, 2)</f>
        <v>5.79</v>
      </c>
      <c r="I133" s="31"/>
      <c r="J133" s="31">
        <f>IF(Source!BC57&lt;&gt; 0, Source!BC57, 1)</f>
        <v>6.53</v>
      </c>
      <c r="K133" s="30">
        <f>Source!P57</f>
        <v>37.799999999999997</v>
      </c>
      <c r="L133" s="32"/>
    </row>
    <row r="134" spans="1:26" ht="14.25" x14ac:dyDescent="0.2">
      <c r="A134" s="45"/>
      <c r="B134" s="46"/>
      <c r="C134" s="46" t="s">
        <v>966</v>
      </c>
      <c r="D134" s="29" t="s">
        <v>967</v>
      </c>
      <c r="E134" s="11">
        <f>Source!BZ57</f>
        <v>123</v>
      </c>
      <c r="F134" s="67" t="str">
        <f>CONCATENATE(" )", Source!DL57, Source!FT57, "=", Source!FX57)</f>
        <v xml:space="preserve"> )*0,9=110,7</v>
      </c>
      <c r="G134" s="68"/>
      <c r="H134" s="30">
        <f>SUM(S130:S139)</f>
        <v>11.59</v>
      </c>
      <c r="I134" s="33"/>
      <c r="J134" s="27">
        <f>Source!AT57</f>
        <v>111</v>
      </c>
      <c r="K134" s="30">
        <f>SUM(T130:T139)</f>
        <v>75.900000000000006</v>
      </c>
      <c r="L134" s="32"/>
    </row>
    <row r="135" spans="1:26" ht="14.25" x14ac:dyDescent="0.2">
      <c r="A135" s="45"/>
      <c r="B135" s="46"/>
      <c r="C135" s="46" t="s">
        <v>968</v>
      </c>
      <c r="D135" s="29" t="s">
        <v>967</v>
      </c>
      <c r="E135" s="11">
        <f>Source!CA57</f>
        <v>75</v>
      </c>
      <c r="F135" s="67" t="str">
        <f>CONCATENATE(" )", Source!DM57, Source!FU57, "=", Source!FY57)</f>
        <v xml:space="preserve"> )*0,85=63,75</v>
      </c>
      <c r="G135" s="68"/>
      <c r="H135" s="30">
        <f>SUM(U130:U139)</f>
        <v>6.67</v>
      </c>
      <c r="I135" s="33"/>
      <c r="J135" s="27">
        <f>Source!AU57</f>
        <v>64</v>
      </c>
      <c r="K135" s="30">
        <f>SUM(V130:V139)</f>
        <v>43.76</v>
      </c>
      <c r="L135" s="32"/>
    </row>
    <row r="136" spans="1:26" ht="14.25" x14ac:dyDescent="0.2">
      <c r="A136" s="45"/>
      <c r="B136" s="46"/>
      <c r="C136" s="46" t="s">
        <v>969</v>
      </c>
      <c r="D136" s="29" t="s">
        <v>970</v>
      </c>
      <c r="E136" s="11">
        <f>Source!AQ57</f>
        <v>16.64</v>
      </c>
      <c r="F136" s="30"/>
      <c r="G136" s="31" t="str">
        <f>Source!DI57</f>
        <v/>
      </c>
      <c r="H136" s="30"/>
      <c r="I136" s="31"/>
      <c r="J136" s="31"/>
      <c r="K136" s="30"/>
      <c r="L136" s="41">
        <f>Source!U57</f>
        <v>1.19808</v>
      </c>
    </row>
    <row r="137" spans="1:26" ht="71.25" x14ac:dyDescent="0.2">
      <c r="A137" s="45" t="str">
        <f>Source!E58</f>
        <v>11,1</v>
      </c>
      <c r="B137" s="46" t="str">
        <f>Source!F58</f>
        <v>09.2.03.02-0002</v>
      </c>
      <c r="C137" s="46" t="str">
        <f>Source!G58</f>
        <v>Профили стыкоперекрывающие из алюминиевых сплавов (порожки) с покрытием и антискользящей вставкой, шириной 39 мм, длиной до 1,8 м</v>
      </c>
      <c r="D137" s="29" t="str">
        <f>Source!H58</f>
        <v>шт.</v>
      </c>
      <c r="E137" s="11">
        <f>Source!I58</f>
        <v>1</v>
      </c>
      <c r="F137" s="30">
        <f>Source!AL58+Source!AM58+Source!AO58</f>
        <v>31.28</v>
      </c>
      <c r="G137" s="44" t="s">
        <v>3</v>
      </c>
      <c r="H137" s="30">
        <f>ROUND(Source!AC58*Source!I58, 2)+ROUND(Source!AD58*Source!I58, 2)+ROUND(Source!AF58*Source!I58, 2)</f>
        <v>31.28</v>
      </c>
      <c r="I137" s="31"/>
      <c r="J137" s="31">
        <f>IF(Source!BC58&lt;&gt; 0, Source!BC58, 1)</f>
        <v>6.53</v>
      </c>
      <c r="K137" s="30">
        <f>Source!O58</f>
        <v>204.26</v>
      </c>
      <c r="L137" s="32"/>
      <c r="S137">
        <f>ROUND((Source!FX58/100)*((ROUND(Source!AF58*Source!I58, 2)+ROUND(Source!AE58*Source!I58, 2))), 2)</f>
        <v>0</v>
      </c>
      <c r="T137">
        <f>Source!X58</f>
        <v>0</v>
      </c>
      <c r="U137">
        <f>ROUND((Source!FY58/100)*((ROUND(Source!AF58*Source!I58, 2)+ROUND(Source!AE58*Source!I58, 2))), 2)</f>
        <v>0</v>
      </c>
      <c r="V137">
        <f>Source!Y58</f>
        <v>0</v>
      </c>
      <c r="W137">
        <f>IF(Source!BI58&lt;=1,H137, 0)</f>
        <v>31.28</v>
      </c>
      <c r="X137">
        <f>IF(Source!BI58=2,H137, 0)</f>
        <v>0</v>
      </c>
      <c r="Y137">
        <f>IF(Source!BI58=3,H137, 0)</f>
        <v>0</v>
      </c>
      <c r="Z137">
        <f>IF(Source!BI58=4,H137, 0)</f>
        <v>0</v>
      </c>
    </row>
    <row r="138" spans="1:26" ht="57" x14ac:dyDescent="0.2">
      <c r="A138" s="45" t="str">
        <f>Source!E59</f>
        <v>11,2</v>
      </c>
      <c r="B138" s="46" t="str">
        <f>Source!F59</f>
        <v>09.2.03.02-0001</v>
      </c>
      <c r="C138" s="46" t="str">
        <f>Source!G59</f>
        <v>Профили стыкоперекрывающие из алюминиевых сплавов (порожки) с покрытием и антискользящей вставкой, шириной 39 мм, длиной 0,9 м</v>
      </c>
      <c r="D138" s="29" t="str">
        <f>Source!H59</f>
        <v>шт.</v>
      </c>
      <c r="E138" s="11">
        <f>Source!I59</f>
        <v>6</v>
      </c>
      <c r="F138" s="30">
        <f>Source!AL59+Source!AM59+Source!AO59</f>
        <v>15.07</v>
      </c>
      <c r="G138" s="44" t="s">
        <v>3</v>
      </c>
      <c r="H138" s="30">
        <f>ROUND(Source!AC59*Source!I59, 2)+ROUND(Source!AD59*Source!I59, 2)+ROUND(Source!AF59*Source!I59, 2)</f>
        <v>90.42</v>
      </c>
      <c r="I138" s="31"/>
      <c r="J138" s="31">
        <f>IF(Source!BC59&lt;&gt; 0, Source!BC59, 1)</f>
        <v>6.53</v>
      </c>
      <c r="K138" s="30">
        <f>Source!O59</f>
        <v>590.44000000000005</v>
      </c>
      <c r="L138" s="32"/>
      <c r="S138">
        <f>ROUND((Source!FX59/100)*((ROUND(Source!AF59*Source!I59, 2)+ROUND(Source!AE59*Source!I59, 2))), 2)</f>
        <v>0</v>
      </c>
      <c r="T138">
        <f>Source!X59</f>
        <v>0</v>
      </c>
      <c r="U138">
        <f>ROUND((Source!FY59/100)*((ROUND(Source!AF59*Source!I59, 2)+ROUND(Source!AE59*Source!I59, 2))), 2)</f>
        <v>0</v>
      </c>
      <c r="V138">
        <f>Source!Y59</f>
        <v>0</v>
      </c>
      <c r="W138">
        <f>IF(Source!BI59&lt;=1,H138, 0)</f>
        <v>90.42</v>
      </c>
      <c r="X138">
        <f>IF(Source!BI59=2,H138, 0)</f>
        <v>0</v>
      </c>
      <c r="Y138">
        <f>IF(Source!BI59=3,H138, 0)</f>
        <v>0</v>
      </c>
      <c r="Z138">
        <f>IF(Source!BI59=4,H138, 0)</f>
        <v>0</v>
      </c>
    </row>
    <row r="139" spans="1:26" ht="42.75" x14ac:dyDescent="0.2">
      <c r="A139" s="47" t="str">
        <f>Source!E60</f>
        <v>11,3</v>
      </c>
      <c r="B139" s="48" t="str">
        <f>Source!F60</f>
        <v>09.2.03.02</v>
      </c>
      <c r="C139" s="48" t="str">
        <f>Source!G60</f>
        <v>Профили стыкоперекрывающие из алюминиевых сплавов (порожки) с покрытием</v>
      </c>
      <c r="D139" s="34" t="str">
        <f>Source!H60</f>
        <v>м</v>
      </c>
      <c r="E139" s="35">
        <f>Source!I60</f>
        <v>7.56</v>
      </c>
      <c r="F139" s="36">
        <f>Source!AL60+Source!AM60+Source!AO60</f>
        <v>0</v>
      </c>
      <c r="G139" s="42" t="s">
        <v>3</v>
      </c>
      <c r="H139" s="36">
        <f>ROUND(Source!AC60*Source!I60, 2)+ROUND(Source!AD60*Source!I60, 2)+ROUND(Source!AF60*Source!I60, 2)</f>
        <v>0</v>
      </c>
      <c r="I139" s="37"/>
      <c r="J139" s="37">
        <f>IF(Source!BC60&lt;&gt; 0, Source!BC60, 1)</f>
        <v>6.53</v>
      </c>
      <c r="K139" s="36">
        <f>Source!O60</f>
        <v>0</v>
      </c>
      <c r="L139" s="43"/>
      <c r="S139">
        <f>ROUND((Source!FX60/100)*((ROUND(Source!AF60*Source!I60, 2)+ROUND(Source!AE60*Source!I60, 2))), 2)</f>
        <v>0</v>
      </c>
      <c r="T139">
        <f>Source!X60</f>
        <v>0</v>
      </c>
      <c r="U139">
        <f>ROUND((Source!FY60/100)*((ROUND(Source!AF60*Source!I60, 2)+ROUND(Source!AE60*Source!I60, 2))), 2)</f>
        <v>0</v>
      </c>
      <c r="V139">
        <f>Source!Y60</f>
        <v>0</v>
      </c>
      <c r="W139">
        <f>IF(Source!BI60&lt;=1,H139, 0)</f>
        <v>0</v>
      </c>
      <c r="X139">
        <f>IF(Source!BI60=2,H139, 0)</f>
        <v>0</v>
      </c>
      <c r="Y139">
        <f>IF(Source!BI60=3,H139, 0)</f>
        <v>0</v>
      </c>
      <c r="Z139">
        <f>IF(Source!BI60=4,H139, 0)</f>
        <v>0</v>
      </c>
    </row>
    <row r="140" spans="1:26" ht="15" x14ac:dyDescent="0.25">
      <c r="G140" s="65">
        <f>H132+H133+H134+H135+SUM(H137:H139)</f>
        <v>156.22</v>
      </c>
      <c r="H140" s="65"/>
      <c r="J140" s="65">
        <f>K132+K133+K134+K135+SUM(K137:K139)</f>
        <v>1020.54</v>
      </c>
      <c r="K140" s="65"/>
      <c r="L140" s="39">
        <f>Source!U57</f>
        <v>1.19808</v>
      </c>
      <c r="O140" s="24">
        <f>G140</f>
        <v>156.22</v>
      </c>
      <c r="P140" s="24">
        <f>J140</f>
        <v>1020.54</v>
      </c>
      <c r="Q140" s="24">
        <f>L140</f>
        <v>1.19808</v>
      </c>
      <c r="W140">
        <f>IF(Source!BI57&lt;=1,H132+H133+H134+H135, 0)</f>
        <v>34.520000000000003</v>
      </c>
      <c r="X140">
        <f>IF(Source!BI57=2,H132+H133+H134+H135, 0)</f>
        <v>0</v>
      </c>
      <c r="Y140">
        <f>IF(Source!BI57=3,H132+H133+H134+H135, 0)</f>
        <v>0</v>
      </c>
      <c r="Z140">
        <f>IF(Source!BI57=4,H132+H133+H134+H135, 0)</f>
        <v>0</v>
      </c>
    </row>
    <row r="141" spans="1:26" ht="57" x14ac:dyDescent="0.2">
      <c r="A141" s="45" t="str">
        <f>Source!E61</f>
        <v>12</v>
      </c>
      <c r="B141" s="46" t="str">
        <f>Source!F61</f>
        <v>15-02-016-03</v>
      </c>
      <c r="C141" s="46" t="str">
        <f>Source!G61</f>
        <v>Штукатурка поверхностей внутри здания цементно-известковым или цементным раствором по камню и бетону улучшенная стен</v>
      </c>
      <c r="D141" s="29" t="str">
        <f>Source!H61</f>
        <v>100 м2</v>
      </c>
      <c r="E141" s="11">
        <f>Source!I61</f>
        <v>1.5465</v>
      </c>
      <c r="F141" s="30">
        <f>Source!AL61+Source!AM61+Source!AO61</f>
        <v>2040.6800000000003</v>
      </c>
      <c r="G141" s="31"/>
      <c r="H141" s="30"/>
      <c r="I141" s="31" t="str">
        <f>Source!BO61</f>
        <v/>
      </c>
      <c r="J141" s="31"/>
      <c r="K141" s="30"/>
      <c r="L141" s="32"/>
      <c r="S141">
        <f>ROUND((Source!FX61/100)*((ROUND(Source!AF61*Source!I61, 2)+ROUND(Source!AE61*Source!I61, 2))), 2)</f>
        <v>1465.56</v>
      </c>
      <c r="T141">
        <f>Source!X61</f>
        <v>9620.77</v>
      </c>
      <c r="U141">
        <f>ROUND((Source!FY61/100)*((ROUND(Source!AF61*Source!I61, 2)+ROUND(Source!AE61*Source!I61, 2))), 2)</f>
        <v>725.03</v>
      </c>
      <c r="V141">
        <f>Source!Y61</f>
        <v>4759.75</v>
      </c>
    </row>
    <row r="142" spans="1:26" ht="14.25" x14ac:dyDescent="0.2">
      <c r="A142" s="45"/>
      <c r="B142" s="46"/>
      <c r="C142" s="46" t="s">
        <v>965</v>
      </c>
      <c r="D142" s="29"/>
      <c r="E142" s="11"/>
      <c r="F142" s="30">
        <f>Source!AO61</f>
        <v>806.9</v>
      </c>
      <c r="G142" s="31" t="str">
        <f>Source!DG61</f>
        <v>)*1,15</v>
      </c>
      <c r="H142" s="30">
        <f>ROUND(Source!AF61*Source!I61, 2)</f>
        <v>1435.06</v>
      </c>
      <c r="I142" s="31"/>
      <c r="J142" s="31">
        <f>IF(Source!BA61&lt;&gt; 0, Source!BA61, 1)</f>
        <v>6.53</v>
      </c>
      <c r="K142" s="30">
        <f>Source!S61</f>
        <v>9370.94</v>
      </c>
      <c r="L142" s="32"/>
      <c r="R142">
        <f>H142</f>
        <v>1435.06</v>
      </c>
    </row>
    <row r="143" spans="1:26" ht="14.25" x14ac:dyDescent="0.2">
      <c r="A143" s="45"/>
      <c r="B143" s="46"/>
      <c r="C143" s="46" t="s">
        <v>284</v>
      </c>
      <c r="D143" s="29"/>
      <c r="E143" s="11"/>
      <c r="F143" s="30">
        <f>Source!AM61</f>
        <v>103.38</v>
      </c>
      <c r="G143" s="31" t="str">
        <f>Source!DE61</f>
        <v>)*1,25</v>
      </c>
      <c r="H143" s="30">
        <f>ROUND(Source!AD61*Source!I61, 2)</f>
        <v>199.85</v>
      </c>
      <c r="I143" s="31"/>
      <c r="J143" s="31">
        <f>IF(Source!BB61&lt;&gt; 0, Source!BB61, 1)</f>
        <v>6.53</v>
      </c>
      <c r="K143" s="30">
        <f>Source!Q61</f>
        <v>1305.05</v>
      </c>
      <c r="L143" s="32"/>
    </row>
    <row r="144" spans="1:26" ht="14.25" x14ac:dyDescent="0.2">
      <c r="A144" s="45"/>
      <c r="B144" s="46"/>
      <c r="C144" s="46" t="s">
        <v>971</v>
      </c>
      <c r="D144" s="29"/>
      <c r="E144" s="11"/>
      <c r="F144" s="30">
        <f>Source!AN61</f>
        <v>59.9</v>
      </c>
      <c r="G144" s="31" t="str">
        <f>Source!DF61</f>
        <v>)*1,25</v>
      </c>
      <c r="H144" s="40">
        <f>ROUND(Source!AE61*Source!I61, 2)</f>
        <v>115.8</v>
      </c>
      <c r="I144" s="31"/>
      <c r="J144" s="31">
        <f>IF(Source!BS61&lt;&gt; 0, Source!BS61, 1)</f>
        <v>6.53</v>
      </c>
      <c r="K144" s="40">
        <f>Source!R61</f>
        <v>756.19</v>
      </c>
      <c r="L144" s="32"/>
      <c r="R144">
        <f>H144</f>
        <v>115.8</v>
      </c>
    </row>
    <row r="145" spans="1:26" ht="14.25" x14ac:dyDescent="0.2">
      <c r="A145" s="45"/>
      <c r="B145" s="46"/>
      <c r="C145" s="46" t="s">
        <v>972</v>
      </c>
      <c r="D145" s="29"/>
      <c r="E145" s="11"/>
      <c r="F145" s="30">
        <f>Source!AL61</f>
        <v>1130.4000000000001</v>
      </c>
      <c r="G145" s="31" t="str">
        <f>Source!DD61</f>
        <v/>
      </c>
      <c r="H145" s="30">
        <f>ROUND(Source!AC61*Source!I61, 2)</f>
        <v>1748.16</v>
      </c>
      <c r="I145" s="31"/>
      <c r="J145" s="31">
        <f>IF(Source!BC61&lt;&gt; 0, Source!BC61, 1)</f>
        <v>6.53</v>
      </c>
      <c r="K145" s="30">
        <f>Source!P61</f>
        <v>11415.51</v>
      </c>
      <c r="L145" s="32"/>
    </row>
    <row r="146" spans="1:26" ht="14.25" x14ac:dyDescent="0.2">
      <c r="A146" s="45"/>
      <c r="B146" s="46"/>
      <c r="C146" s="46" t="s">
        <v>966</v>
      </c>
      <c r="D146" s="29" t="s">
        <v>967</v>
      </c>
      <c r="E146" s="11">
        <f>Source!BZ61</f>
        <v>105</v>
      </c>
      <c r="F146" s="67" t="str">
        <f>CONCATENATE(" )", Source!DL61, Source!FT61, "=", Source!FX61)</f>
        <v xml:space="preserve"> )*0,9=94,5</v>
      </c>
      <c r="G146" s="68"/>
      <c r="H146" s="30">
        <f>SUM(S141:S148)</f>
        <v>1465.56</v>
      </c>
      <c r="I146" s="33"/>
      <c r="J146" s="27">
        <f>Source!AT61</f>
        <v>95</v>
      </c>
      <c r="K146" s="30">
        <f>SUM(T141:T148)</f>
        <v>9620.77</v>
      </c>
      <c r="L146" s="32"/>
    </row>
    <row r="147" spans="1:26" ht="14.25" x14ac:dyDescent="0.2">
      <c r="A147" s="45"/>
      <c r="B147" s="46"/>
      <c r="C147" s="46" t="s">
        <v>968</v>
      </c>
      <c r="D147" s="29" t="s">
        <v>967</v>
      </c>
      <c r="E147" s="11">
        <f>Source!CA61</f>
        <v>55</v>
      </c>
      <c r="F147" s="67" t="str">
        <f>CONCATENATE(" )", Source!DM61, Source!FU61, "=", Source!FY61)</f>
        <v xml:space="preserve"> )*0,85=46,75</v>
      </c>
      <c r="G147" s="68"/>
      <c r="H147" s="30">
        <f>SUM(U141:U148)</f>
        <v>725.03</v>
      </c>
      <c r="I147" s="33"/>
      <c r="J147" s="27">
        <f>Source!AU61</f>
        <v>47</v>
      </c>
      <c r="K147" s="30">
        <f>SUM(V141:V148)</f>
        <v>4759.75</v>
      </c>
      <c r="L147" s="32"/>
    </row>
    <row r="148" spans="1:26" ht="14.25" x14ac:dyDescent="0.2">
      <c r="A148" s="47"/>
      <c r="B148" s="48"/>
      <c r="C148" s="48" t="s">
        <v>969</v>
      </c>
      <c r="D148" s="34" t="s">
        <v>970</v>
      </c>
      <c r="E148" s="35">
        <f>Source!AQ61</f>
        <v>85.84</v>
      </c>
      <c r="F148" s="36"/>
      <c r="G148" s="37" t="str">
        <f>Source!DI61</f>
        <v>)*1,15</v>
      </c>
      <c r="H148" s="36"/>
      <c r="I148" s="37"/>
      <c r="J148" s="37"/>
      <c r="K148" s="36"/>
      <c r="L148" s="38">
        <f>Source!U61</f>
        <v>152.66429399999998</v>
      </c>
    </row>
    <row r="149" spans="1:26" ht="15" x14ac:dyDescent="0.25">
      <c r="G149" s="65">
        <f>H142+H143+H145+H146+H147</f>
        <v>5573.6599999999989</v>
      </c>
      <c r="H149" s="65"/>
      <c r="J149" s="65">
        <f>K142+K143+K145+K146+K147</f>
        <v>36472.020000000004</v>
      </c>
      <c r="K149" s="65"/>
      <c r="L149" s="39">
        <f>Source!U61</f>
        <v>152.66429399999998</v>
      </c>
      <c r="O149" s="24">
        <f>G149</f>
        <v>5573.6599999999989</v>
      </c>
      <c r="P149" s="24">
        <f>J149</f>
        <v>36472.020000000004</v>
      </c>
      <c r="Q149" s="24">
        <f>L149</f>
        <v>152.66429399999998</v>
      </c>
      <c r="W149">
        <f>IF(Source!BI61&lt;=1,H142+H143+H145+H146+H147, 0)</f>
        <v>5573.6599999999989</v>
      </c>
      <c r="X149">
        <f>IF(Source!BI61=2,H142+H143+H145+H146+H147, 0)</f>
        <v>0</v>
      </c>
      <c r="Y149">
        <f>IF(Source!BI61=3,H142+H143+H145+H146+H147, 0)</f>
        <v>0</v>
      </c>
      <c r="Z149">
        <f>IF(Source!BI61=4,H142+H143+H145+H146+H147, 0)</f>
        <v>0</v>
      </c>
    </row>
    <row r="150" spans="1:26" ht="42.75" x14ac:dyDescent="0.2">
      <c r="A150" s="45" t="str">
        <f>Source!E62</f>
        <v>13</v>
      </c>
      <c r="B150" s="46" t="str">
        <f>Source!F62</f>
        <v>15-01-047-15</v>
      </c>
      <c r="C150" s="46" t="str">
        <f>Source!G62</f>
        <v>Устройство подвесных потолков типа &lt;Армстронг&gt; по каркасу из оцинкованного профиля</v>
      </c>
      <c r="D150" s="29" t="str">
        <f>Source!H62</f>
        <v>100 м2</v>
      </c>
      <c r="E150" s="11">
        <f>Source!I62</f>
        <v>2.7930000000000001</v>
      </c>
      <c r="F150" s="30">
        <f>Source!AL62+Source!AM62+Source!AO62</f>
        <v>6623.23</v>
      </c>
      <c r="G150" s="31"/>
      <c r="H150" s="30"/>
      <c r="I150" s="31" t="str">
        <f>Source!BO62</f>
        <v/>
      </c>
      <c r="J150" s="31"/>
      <c r="K150" s="30"/>
      <c r="L150" s="32"/>
      <c r="S150">
        <f>ROUND((Source!FX62/100)*((ROUND(Source!AF62*Source!I62, 2)+ROUND(Source!AE62*Source!I62, 2))), 2)</f>
        <v>2709.35</v>
      </c>
      <c r="T150">
        <f>Source!X62</f>
        <v>17785.7</v>
      </c>
      <c r="U150">
        <f>ROUND((Source!FY62/100)*((ROUND(Source!AF62*Source!I62, 2)+ROUND(Source!AE62*Source!I62, 2))), 2)</f>
        <v>1340.34</v>
      </c>
      <c r="V150">
        <f>Source!Y62</f>
        <v>8799.24</v>
      </c>
    </row>
    <row r="151" spans="1:26" ht="14.25" x14ac:dyDescent="0.2">
      <c r="A151" s="45"/>
      <c r="B151" s="46"/>
      <c r="C151" s="46" t="s">
        <v>965</v>
      </c>
      <c r="D151" s="29"/>
      <c r="E151" s="11"/>
      <c r="F151" s="30">
        <f>Source!AO62</f>
        <v>963.12</v>
      </c>
      <c r="G151" s="31" t="str">
        <f>Source!DG62</f>
        <v/>
      </c>
      <c r="H151" s="30">
        <f>ROUND(Source!AF62*Source!I62, 2)</f>
        <v>2689.99</v>
      </c>
      <c r="I151" s="31"/>
      <c r="J151" s="31">
        <f>IF(Source!BA62&lt;&gt; 0, Source!BA62, 1)</f>
        <v>6.53</v>
      </c>
      <c r="K151" s="30">
        <f>Source!S62</f>
        <v>17565.66</v>
      </c>
      <c r="L151" s="32"/>
      <c r="R151">
        <f>H151</f>
        <v>2689.99</v>
      </c>
    </row>
    <row r="152" spans="1:26" ht="14.25" x14ac:dyDescent="0.2">
      <c r="A152" s="45"/>
      <c r="B152" s="46"/>
      <c r="C152" s="46" t="s">
        <v>284</v>
      </c>
      <c r="D152" s="29"/>
      <c r="E152" s="11"/>
      <c r="F152" s="30">
        <f>Source!AM62</f>
        <v>324.70999999999998</v>
      </c>
      <c r="G152" s="31" t="str">
        <f>Source!DE62</f>
        <v/>
      </c>
      <c r="H152" s="30">
        <f>ROUND(Source!AD62*Source!I62, 2)</f>
        <v>906.92</v>
      </c>
      <c r="I152" s="31"/>
      <c r="J152" s="31">
        <f>IF(Source!BB62&lt;&gt; 0, Source!BB62, 1)</f>
        <v>6.53</v>
      </c>
      <c r="K152" s="30">
        <f>Source!Q62</f>
        <v>5922.16</v>
      </c>
      <c r="L152" s="32"/>
    </row>
    <row r="153" spans="1:26" ht="14.25" x14ac:dyDescent="0.2">
      <c r="A153" s="45"/>
      <c r="B153" s="46"/>
      <c r="C153" s="46" t="s">
        <v>971</v>
      </c>
      <c r="D153" s="29"/>
      <c r="E153" s="11"/>
      <c r="F153" s="30">
        <f>Source!AN62</f>
        <v>63.39</v>
      </c>
      <c r="G153" s="31" t="str">
        <f>Source!DF62</f>
        <v/>
      </c>
      <c r="H153" s="40">
        <f>ROUND(Source!AE62*Source!I62, 2)</f>
        <v>177.05</v>
      </c>
      <c r="I153" s="31"/>
      <c r="J153" s="31">
        <f>IF(Source!BS62&lt;&gt; 0, Source!BS62, 1)</f>
        <v>6.53</v>
      </c>
      <c r="K153" s="40">
        <f>Source!R62</f>
        <v>1156.1300000000001</v>
      </c>
      <c r="L153" s="32"/>
      <c r="R153">
        <f>H153</f>
        <v>177.05</v>
      </c>
    </row>
    <row r="154" spans="1:26" ht="14.25" x14ac:dyDescent="0.2">
      <c r="A154" s="45"/>
      <c r="B154" s="46"/>
      <c r="C154" s="46" t="s">
        <v>972</v>
      </c>
      <c r="D154" s="29"/>
      <c r="E154" s="11"/>
      <c r="F154" s="30">
        <f>Source!AL62</f>
        <v>5335.4</v>
      </c>
      <c r="G154" s="31" t="str">
        <f>Source!DD62</f>
        <v/>
      </c>
      <c r="H154" s="30">
        <f>ROUND(Source!AC62*Source!I62, 2)</f>
        <v>14901.77</v>
      </c>
      <c r="I154" s="31"/>
      <c r="J154" s="31">
        <f>IF(Source!BC62&lt;&gt; 0, Source!BC62, 1)</f>
        <v>6.53</v>
      </c>
      <c r="K154" s="30">
        <f>Source!P62</f>
        <v>97308.57</v>
      </c>
      <c r="L154" s="32"/>
    </row>
    <row r="155" spans="1:26" ht="14.25" x14ac:dyDescent="0.2">
      <c r="A155" s="45"/>
      <c r="B155" s="46"/>
      <c r="C155" s="46" t="s">
        <v>966</v>
      </c>
      <c r="D155" s="29" t="s">
        <v>967</v>
      </c>
      <c r="E155" s="11">
        <f>Source!BZ62</f>
        <v>105</v>
      </c>
      <c r="F155" s="67" t="str">
        <f>CONCATENATE(" )", Source!DL62, Source!FT62, "=", Source!FX62)</f>
        <v xml:space="preserve"> )*0,9=94,5</v>
      </c>
      <c r="G155" s="68"/>
      <c r="H155" s="30">
        <f>SUM(S150:S157)</f>
        <v>2709.35</v>
      </c>
      <c r="I155" s="33"/>
      <c r="J155" s="27">
        <f>Source!AT62</f>
        <v>95</v>
      </c>
      <c r="K155" s="30">
        <f>SUM(T150:T157)</f>
        <v>17785.7</v>
      </c>
      <c r="L155" s="32"/>
    </row>
    <row r="156" spans="1:26" ht="14.25" x14ac:dyDescent="0.2">
      <c r="A156" s="45"/>
      <c r="B156" s="46"/>
      <c r="C156" s="46" t="s">
        <v>968</v>
      </c>
      <c r="D156" s="29" t="s">
        <v>967</v>
      </c>
      <c r="E156" s="11">
        <f>Source!CA62</f>
        <v>55</v>
      </c>
      <c r="F156" s="67" t="str">
        <f>CONCATENATE(" )", Source!DM62, Source!FU62, "=", Source!FY62)</f>
        <v xml:space="preserve"> )*0,85=46,75</v>
      </c>
      <c r="G156" s="68"/>
      <c r="H156" s="30">
        <f>SUM(U150:U157)</f>
        <v>1340.34</v>
      </c>
      <c r="I156" s="33"/>
      <c r="J156" s="27">
        <f>Source!AU62</f>
        <v>47</v>
      </c>
      <c r="K156" s="30">
        <f>SUM(V150:V157)</f>
        <v>8799.24</v>
      </c>
      <c r="L156" s="32"/>
    </row>
    <row r="157" spans="1:26" ht="14.25" x14ac:dyDescent="0.2">
      <c r="A157" s="47"/>
      <c r="B157" s="48"/>
      <c r="C157" s="48" t="s">
        <v>969</v>
      </c>
      <c r="D157" s="34" t="s">
        <v>970</v>
      </c>
      <c r="E157" s="35">
        <f>Source!AQ62</f>
        <v>102.46</v>
      </c>
      <c r="F157" s="36"/>
      <c r="G157" s="37" t="str">
        <f>Source!DI62</f>
        <v/>
      </c>
      <c r="H157" s="36"/>
      <c r="I157" s="37"/>
      <c r="J157" s="37"/>
      <c r="K157" s="36"/>
      <c r="L157" s="38">
        <f>Source!U62</f>
        <v>286.17077999999998</v>
      </c>
    </row>
    <row r="158" spans="1:26" ht="15" x14ac:dyDescent="0.25">
      <c r="G158" s="65">
        <f>H151+H152+H154+H155+H156</f>
        <v>22548.37</v>
      </c>
      <c r="H158" s="65"/>
      <c r="J158" s="65">
        <f>K151+K152+K154+K155+K156</f>
        <v>147381.33000000002</v>
      </c>
      <c r="K158" s="65"/>
      <c r="L158" s="39">
        <f>Source!U62</f>
        <v>286.17077999999998</v>
      </c>
      <c r="O158" s="24">
        <f>G158</f>
        <v>22548.37</v>
      </c>
      <c r="P158" s="24">
        <f>J158</f>
        <v>147381.33000000002</v>
      </c>
      <c r="Q158" s="24">
        <f>L158</f>
        <v>286.17077999999998</v>
      </c>
      <c r="W158">
        <f>IF(Source!BI62&lt;=1,H151+H152+H154+H155+H156, 0)</f>
        <v>22548.37</v>
      </c>
      <c r="X158">
        <f>IF(Source!BI62=2,H151+H152+H154+H155+H156, 0)</f>
        <v>0</v>
      </c>
      <c r="Y158">
        <f>IF(Source!BI62=3,H151+H152+H154+H155+H156, 0)</f>
        <v>0</v>
      </c>
      <c r="Z158">
        <f>IF(Source!BI62=4,H151+H152+H154+H155+H156, 0)</f>
        <v>0</v>
      </c>
    </row>
    <row r="159" spans="1:26" ht="57" x14ac:dyDescent="0.2">
      <c r="A159" s="45" t="str">
        <f>Source!E63</f>
        <v>14</v>
      </c>
      <c r="B159" s="46" t="str">
        <f>Source!F63</f>
        <v>61-1-2</v>
      </c>
      <c r="C159" s="46" t="str">
        <f>Source!G63</f>
        <v>Сплошное выравнивание штукатурки стен цементно-известковым раствором при толщине намета до 10 мм</v>
      </c>
      <c r="D159" s="29" t="str">
        <f>Source!H63</f>
        <v>100 м2</v>
      </c>
      <c r="E159" s="11">
        <f>Source!I63</f>
        <v>4.6379999999999999</v>
      </c>
      <c r="F159" s="30">
        <f>Source!AL63+Source!AM63+Source!AO63</f>
        <v>921.93000000000006</v>
      </c>
      <c r="G159" s="31"/>
      <c r="H159" s="30"/>
      <c r="I159" s="31" t="str">
        <f>Source!BO63</f>
        <v/>
      </c>
      <c r="J159" s="31"/>
      <c r="K159" s="30"/>
      <c r="L159" s="32"/>
      <c r="S159">
        <f>ROUND((Source!FX63/100)*((ROUND(Source!AF63*Source!I63, 2)+ROUND(Source!AE63*Source!I63, 2))), 2)</f>
        <v>1321.72</v>
      </c>
      <c r="T159">
        <f>Source!X63</f>
        <v>8630.84</v>
      </c>
      <c r="U159">
        <f>ROUND((Source!FY63/100)*((ROUND(Source!AF63*Source!I63, 2)+ROUND(Source!AE63*Source!I63, 2))), 2)</f>
        <v>836.53</v>
      </c>
      <c r="V159">
        <f>Source!Y63</f>
        <v>5462.56</v>
      </c>
    </row>
    <row r="160" spans="1:26" ht="14.25" x14ac:dyDescent="0.2">
      <c r="A160" s="45"/>
      <c r="B160" s="46"/>
      <c r="C160" s="46" t="s">
        <v>965</v>
      </c>
      <c r="D160" s="29"/>
      <c r="E160" s="11"/>
      <c r="F160" s="30">
        <f>Source!AO63</f>
        <v>352.09</v>
      </c>
      <c r="G160" s="31" t="str">
        <f>Source!DG63</f>
        <v/>
      </c>
      <c r="H160" s="30">
        <f>ROUND(Source!AF63*Source!I63, 2)</f>
        <v>1632.99</v>
      </c>
      <c r="I160" s="31"/>
      <c r="J160" s="31">
        <f>IF(Source!BA63&lt;&gt; 0, Source!BA63, 1)</f>
        <v>6.53</v>
      </c>
      <c r="K160" s="30">
        <f>Source!S63</f>
        <v>10663.45</v>
      </c>
      <c r="L160" s="32"/>
      <c r="R160">
        <f>H160</f>
        <v>1632.99</v>
      </c>
    </row>
    <row r="161" spans="1:26" ht="14.25" x14ac:dyDescent="0.2">
      <c r="A161" s="45"/>
      <c r="B161" s="46"/>
      <c r="C161" s="46" t="s">
        <v>284</v>
      </c>
      <c r="D161" s="29"/>
      <c r="E161" s="11"/>
      <c r="F161" s="30">
        <f>Source!AM63</f>
        <v>20.010000000000002</v>
      </c>
      <c r="G161" s="31" t="str">
        <f>Source!DE63</f>
        <v/>
      </c>
      <c r="H161" s="30">
        <f>ROUND(Source!AD63*Source!I63, 2)</f>
        <v>92.81</v>
      </c>
      <c r="I161" s="31"/>
      <c r="J161" s="31">
        <f>IF(Source!BB63&lt;&gt; 0, Source!BB63, 1)</f>
        <v>6.53</v>
      </c>
      <c r="K161" s="30">
        <f>Source!Q63</f>
        <v>606.03</v>
      </c>
      <c r="L161" s="32"/>
    </row>
    <row r="162" spans="1:26" ht="14.25" x14ac:dyDescent="0.2">
      <c r="A162" s="45"/>
      <c r="B162" s="46"/>
      <c r="C162" s="46" t="s">
        <v>971</v>
      </c>
      <c r="D162" s="29"/>
      <c r="E162" s="11"/>
      <c r="F162" s="30">
        <f>Source!AN63</f>
        <v>8.64</v>
      </c>
      <c r="G162" s="31" t="str">
        <f>Source!DF63</f>
        <v/>
      </c>
      <c r="H162" s="40">
        <f>ROUND(Source!AE63*Source!I63, 2)</f>
        <v>40.07</v>
      </c>
      <c r="I162" s="31"/>
      <c r="J162" s="31">
        <f>IF(Source!BS63&lt;&gt; 0, Source!BS63, 1)</f>
        <v>6.53</v>
      </c>
      <c r="K162" s="40">
        <f>Source!R63</f>
        <v>261.67</v>
      </c>
      <c r="L162" s="32"/>
      <c r="R162">
        <f>H162</f>
        <v>40.07</v>
      </c>
    </row>
    <row r="163" spans="1:26" ht="14.25" x14ac:dyDescent="0.2">
      <c r="A163" s="45"/>
      <c r="B163" s="46"/>
      <c r="C163" s="46" t="s">
        <v>972</v>
      </c>
      <c r="D163" s="29"/>
      <c r="E163" s="11"/>
      <c r="F163" s="30">
        <f>Source!AL63</f>
        <v>549.83000000000004</v>
      </c>
      <c r="G163" s="31" t="str">
        <f>Source!DD63</f>
        <v/>
      </c>
      <c r="H163" s="30">
        <f>ROUND(Source!AC63*Source!I63, 2)</f>
        <v>2550.11</v>
      </c>
      <c r="I163" s="31"/>
      <c r="J163" s="31">
        <f>IF(Source!BC63&lt;&gt; 0, Source!BC63, 1)</f>
        <v>6.53</v>
      </c>
      <c r="K163" s="30">
        <f>Source!P63</f>
        <v>16652.23</v>
      </c>
      <c r="L163" s="32"/>
    </row>
    <row r="164" spans="1:26" ht="14.25" x14ac:dyDescent="0.2">
      <c r="A164" s="45"/>
      <c r="B164" s="46"/>
      <c r="C164" s="46" t="s">
        <v>966</v>
      </c>
      <c r="D164" s="29" t="s">
        <v>967</v>
      </c>
      <c r="E164" s="11">
        <f>Source!BZ63</f>
        <v>79</v>
      </c>
      <c r="F164" s="49"/>
      <c r="G164" s="31"/>
      <c r="H164" s="30">
        <f>SUM(S159:S168)</f>
        <v>1321.72</v>
      </c>
      <c r="I164" s="33"/>
      <c r="J164" s="27">
        <f>Source!AT63</f>
        <v>79</v>
      </c>
      <c r="K164" s="30">
        <f>SUM(T159:T168)</f>
        <v>8630.84</v>
      </c>
      <c r="L164" s="32"/>
    </row>
    <row r="165" spans="1:26" ht="14.25" x14ac:dyDescent="0.2">
      <c r="A165" s="45"/>
      <c r="B165" s="46"/>
      <c r="C165" s="46" t="s">
        <v>968</v>
      </c>
      <c r="D165" s="29" t="s">
        <v>967</v>
      </c>
      <c r="E165" s="11">
        <f>Source!CA63</f>
        <v>50</v>
      </c>
      <c r="F165" s="49"/>
      <c r="G165" s="31"/>
      <c r="H165" s="30">
        <f>SUM(U159:U168)</f>
        <v>836.53</v>
      </c>
      <c r="I165" s="33"/>
      <c r="J165" s="27">
        <f>Source!AU63</f>
        <v>50</v>
      </c>
      <c r="K165" s="30">
        <f>SUM(V159:V168)</f>
        <v>5462.56</v>
      </c>
      <c r="L165" s="32"/>
    </row>
    <row r="166" spans="1:26" ht="14.25" x14ac:dyDescent="0.2">
      <c r="A166" s="45"/>
      <c r="B166" s="46"/>
      <c r="C166" s="46" t="s">
        <v>969</v>
      </c>
      <c r="D166" s="29" t="s">
        <v>970</v>
      </c>
      <c r="E166" s="11">
        <f>Source!AQ63</f>
        <v>42.37</v>
      </c>
      <c r="F166" s="30"/>
      <c r="G166" s="31" t="str">
        <f>Source!DI63</f>
        <v/>
      </c>
      <c r="H166" s="30"/>
      <c r="I166" s="31"/>
      <c r="J166" s="31"/>
      <c r="K166" s="30"/>
      <c r="L166" s="41">
        <f>Source!U63</f>
        <v>196.51205999999999</v>
      </c>
    </row>
    <row r="167" spans="1:26" ht="28.5" x14ac:dyDescent="0.2">
      <c r="A167" s="45" t="str">
        <f>Source!E64</f>
        <v>14,1</v>
      </c>
      <c r="B167" s="46" t="str">
        <f>Source!F64</f>
        <v>04.3.01.12-0111</v>
      </c>
      <c r="C167" s="46" t="str">
        <f>Source!G64</f>
        <v>Раствор готовый отделочный тяжелый, цементно-известковый 1:1:6</v>
      </c>
      <c r="D167" s="29" t="str">
        <f>Source!H64</f>
        <v>м3</v>
      </c>
      <c r="E167" s="11">
        <f>Source!I64</f>
        <v>-4.9162800000000004</v>
      </c>
      <c r="F167" s="30">
        <f>Source!AL64+Source!AM64+Source!AO64</f>
        <v>517.91</v>
      </c>
      <c r="G167" s="44" t="s">
        <v>3</v>
      </c>
      <c r="H167" s="30">
        <f>ROUND(Source!AC64*Source!I64, 2)+ROUND(Source!AD64*Source!I64, 2)+ROUND(Source!AF64*Source!I64, 2)</f>
        <v>-2546.19</v>
      </c>
      <c r="I167" s="31"/>
      <c r="J167" s="31">
        <f>IF(Source!BC64&lt;&gt; 0, Source!BC64, 1)</f>
        <v>6.53</v>
      </c>
      <c r="K167" s="30">
        <f>Source!O64</f>
        <v>-16626.62</v>
      </c>
      <c r="L167" s="32"/>
      <c r="S167">
        <f>ROUND((Source!FX64/100)*((ROUND(Source!AF64*Source!I64, 2)+ROUND(Source!AE64*Source!I64, 2))), 2)</f>
        <v>0</v>
      </c>
      <c r="T167">
        <f>Source!X64</f>
        <v>0</v>
      </c>
      <c r="U167">
        <f>ROUND((Source!FY64/100)*((ROUND(Source!AF64*Source!I64, 2)+ROUND(Source!AE64*Source!I64, 2))), 2)</f>
        <v>0</v>
      </c>
      <c r="V167">
        <f>Source!Y64</f>
        <v>0</v>
      </c>
      <c r="W167">
        <f>IF(Source!BI64&lt;=1,H167, 0)</f>
        <v>-2546.19</v>
      </c>
      <c r="X167">
        <f>IF(Source!BI64=2,H167, 0)</f>
        <v>0</v>
      </c>
      <c r="Y167">
        <f>IF(Source!BI64=3,H167, 0)</f>
        <v>0</v>
      </c>
      <c r="Z167">
        <f>IF(Source!BI64=4,H167, 0)</f>
        <v>0</v>
      </c>
    </row>
    <row r="168" spans="1:26" ht="28.5" x14ac:dyDescent="0.2">
      <c r="A168" s="47" t="str">
        <f>Source!E65</f>
        <v>14,2</v>
      </c>
      <c r="B168" s="48" t="str">
        <f>Source!F65</f>
        <v>04.3.02.05-0002</v>
      </c>
      <c r="C168" s="48" t="str">
        <f>Source!G65</f>
        <v>Смесь штукатурная «Ротбанд», КНАУФ</v>
      </c>
      <c r="D168" s="34" t="str">
        <f>Source!H65</f>
        <v>кг</v>
      </c>
      <c r="E168" s="35">
        <f>Source!I65</f>
        <v>7373.9902990000001</v>
      </c>
      <c r="F168" s="36">
        <f>Source!AL65+Source!AM65+Source!AO65</f>
        <v>2.0699999999999998</v>
      </c>
      <c r="G168" s="42" t="s">
        <v>3</v>
      </c>
      <c r="H168" s="36">
        <f>ROUND(Source!AC65*Source!I65, 2)+ROUND(Source!AD65*Source!I65, 2)+ROUND(Source!AF65*Source!I65, 2)</f>
        <v>15264.16</v>
      </c>
      <c r="I168" s="37"/>
      <c r="J168" s="37">
        <f>IF(Source!BC65&lt;&gt; 0, Source!BC65, 1)</f>
        <v>6.53</v>
      </c>
      <c r="K168" s="36">
        <f>Source!O65</f>
        <v>99674.96</v>
      </c>
      <c r="L168" s="43"/>
      <c r="S168">
        <f>ROUND((Source!FX65/100)*((ROUND(Source!AF65*Source!I65, 2)+ROUND(Source!AE65*Source!I65, 2))), 2)</f>
        <v>0</v>
      </c>
      <c r="T168">
        <f>Source!X65</f>
        <v>0</v>
      </c>
      <c r="U168">
        <f>ROUND((Source!FY65/100)*((ROUND(Source!AF65*Source!I65, 2)+ROUND(Source!AE65*Source!I65, 2))), 2)</f>
        <v>0</v>
      </c>
      <c r="V168">
        <f>Source!Y65</f>
        <v>0</v>
      </c>
      <c r="W168">
        <f>IF(Source!BI65&lt;=1,H168, 0)</f>
        <v>15264.16</v>
      </c>
      <c r="X168">
        <f>IF(Source!BI65=2,H168, 0)</f>
        <v>0</v>
      </c>
      <c r="Y168">
        <f>IF(Source!BI65=3,H168, 0)</f>
        <v>0</v>
      </c>
      <c r="Z168">
        <f>IF(Source!BI65=4,H168, 0)</f>
        <v>0</v>
      </c>
    </row>
    <row r="169" spans="1:26" ht="15" x14ac:dyDescent="0.25">
      <c r="G169" s="65">
        <f>H160+H161+H163+H164+H165+SUM(H167:H168)</f>
        <v>19152.129999999997</v>
      </c>
      <c r="H169" s="65"/>
      <c r="J169" s="65">
        <f>K160+K161+K163+K164+K165+SUM(K167:K168)</f>
        <v>125063.45000000001</v>
      </c>
      <c r="K169" s="65"/>
      <c r="L169" s="39">
        <f>Source!U63</f>
        <v>196.51205999999999</v>
      </c>
      <c r="O169" s="24">
        <f>G169</f>
        <v>19152.129999999997</v>
      </c>
      <c r="P169" s="24">
        <f>J169</f>
        <v>125063.45000000001</v>
      </c>
      <c r="Q169" s="24">
        <f>L169</f>
        <v>196.51205999999999</v>
      </c>
      <c r="W169">
        <f>IF(Source!BI63&lt;=1,H160+H161+H163+H164+H165, 0)</f>
        <v>6434.16</v>
      </c>
      <c r="X169">
        <f>IF(Source!BI63=2,H160+H161+H163+H164+H165, 0)</f>
        <v>0</v>
      </c>
      <c r="Y169">
        <f>IF(Source!BI63=3,H160+H161+H163+H164+H165, 0)</f>
        <v>0</v>
      </c>
      <c r="Z169">
        <f>IF(Source!BI63=4,H160+H161+H163+H164+H165, 0)</f>
        <v>0</v>
      </c>
    </row>
    <row r="170" spans="1:26" ht="42.75" x14ac:dyDescent="0.2">
      <c r="A170" s="45" t="str">
        <f>Source!E66</f>
        <v>15</v>
      </c>
      <c r="B170" s="46" t="str">
        <f>Source!F66</f>
        <v>15-04-006-04</v>
      </c>
      <c r="C170" s="46" t="str">
        <f>Source!G66</f>
        <v>Покрытие поверхностей грунтовкой глубокого проникновения за 2 раза стен</v>
      </c>
      <c r="D170" s="29" t="str">
        <f>Source!H66</f>
        <v>100 м2</v>
      </c>
      <c r="E170" s="11">
        <f>Source!I66</f>
        <v>4.6379999999999999</v>
      </c>
      <c r="F170" s="30">
        <f>Source!AL66+Source!AM66+Source!AO66</f>
        <v>158.97999999999999</v>
      </c>
      <c r="G170" s="31"/>
      <c r="H170" s="30"/>
      <c r="I170" s="31" t="str">
        <f>Source!BO66</f>
        <v/>
      </c>
      <c r="J170" s="31"/>
      <c r="K170" s="30"/>
      <c r="L170" s="32"/>
      <c r="S170">
        <f>ROUND((Source!FX66/100)*((ROUND(Source!AF66*Source!I66, 2)+ROUND(Source!AE66*Source!I66, 2))), 2)</f>
        <v>689.75</v>
      </c>
      <c r="T170">
        <f>Source!X66</f>
        <v>4527.82</v>
      </c>
      <c r="U170">
        <f>ROUND((Source!FY66/100)*((ROUND(Source!AF66*Source!I66, 2)+ROUND(Source!AE66*Source!I66, 2))), 2)</f>
        <v>341.22</v>
      </c>
      <c r="V170">
        <f>Source!Y66</f>
        <v>2240.08</v>
      </c>
    </row>
    <row r="171" spans="1:26" ht="14.25" x14ac:dyDescent="0.2">
      <c r="A171" s="45"/>
      <c r="B171" s="46"/>
      <c r="C171" s="46" t="s">
        <v>965</v>
      </c>
      <c r="D171" s="29"/>
      <c r="E171" s="11"/>
      <c r="F171" s="30">
        <f>Source!AO66</f>
        <v>157</v>
      </c>
      <c r="G171" s="31" t="str">
        <f>Source!DG66</f>
        <v/>
      </c>
      <c r="H171" s="30">
        <f>ROUND(Source!AF66*Source!I66, 2)</f>
        <v>728.17</v>
      </c>
      <c r="I171" s="31"/>
      <c r="J171" s="31">
        <f>IF(Source!BA66&lt;&gt; 0, Source!BA66, 1)</f>
        <v>6.53</v>
      </c>
      <c r="K171" s="30">
        <f>Source!S66</f>
        <v>4754.92</v>
      </c>
      <c r="L171" s="32"/>
      <c r="R171">
        <f>H171</f>
        <v>728.17</v>
      </c>
    </row>
    <row r="172" spans="1:26" ht="14.25" x14ac:dyDescent="0.2">
      <c r="A172" s="45"/>
      <c r="B172" s="46"/>
      <c r="C172" s="46" t="s">
        <v>284</v>
      </c>
      <c r="D172" s="29"/>
      <c r="E172" s="11"/>
      <c r="F172" s="30">
        <f>Source!AM66</f>
        <v>1.62</v>
      </c>
      <c r="G172" s="31" t="str">
        <f>Source!DE66</f>
        <v/>
      </c>
      <c r="H172" s="30">
        <f>ROUND(Source!AD66*Source!I66, 2)</f>
        <v>7.51</v>
      </c>
      <c r="I172" s="31"/>
      <c r="J172" s="31">
        <f>IF(Source!BB66&lt;&gt; 0, Source!BB66, 1)</f>
        <v>6.53</v>
      </c>
      <c r="K172" s="30">
        <f>Source!Q66</f>
        <v>49.06</v>
      </c>
      <c r="L172" s="32"/>
    </row>
    <row r="173" spans="1:26" ht="14.25" x14ac:dyDescent="0.2">
      <c r="A173" s="45"/>
      <c r="B173" s="46"/>
      <c r="C173" s="46" t="s">
        <v>971</v>
      </c>
      <c r="D173" s="29"/>
      <c r="E173" s="11"/>
      <c r="F173" s="30">
        <f>Source!AN66</f>
        <v>0.37</v>
      </c>
      <c r="G173" s="31" t="str">
        <f>Source!DF66</f>
        <v/>
      </c>
      <c r="H173" s="40">
        <f>ROUND(Source!AE66*Source!I66, 2)</f>
        <v>1.72</v>
      </c>
      <c r="I173" s="31"/>
      <c r="J173" s="31">
        <f>IF(Source!BS66&lt;&gt; 0, Source!BS66, 1)</f>
        <v>6.53</v>
      </c>
      <c r="K173" s="40">
        <f>Source!R66</f>
        <v>11.21</v>
      </c>
      <c r="L173" s="32"/>
      <c r="R173">
        <f>H173</f>
        <v>1.72</v>
      </c>
    </row>
    <row r="174" spans="1:26" ht="14.25" x14ac:dyDescent="0.2">
      <c r="A174" s="45"/>
      <c r="B174" s="46"/>
      <c r="C174" s="46" t="s">
        <v>972</v>
      </c>
      <c r="D174" s="29"/>
      <c r="E174" s="11"/>
      <c r="F174" s="30">
        <f>Source!AL66</f>
        <v>0.36</v>
      </c>
      <c r="G174" s="31" t="str">
        <f>Source!DD66</f>
        <v/>
      </c>
      <c r="H174" s="30">
        <f>ROUND(Source!AC66*Source!I66, 2)</f>
        <v>1.67</v>
      </c>
      <c r="I174" s="31"/>
      <c r="J174" s="31">
        <f>IF(Source!BC66&lt;&gt; 0, Source!BC66, 1)</f>
        <v>6.53</v>
      </c>
      <c r="K174" s="30">
        <f>Source!P66</f>
        <v>10.9</v>
      </c>
      <c r="L174" s="32"/>
    </row>
    <row r="175" spans="1:26" ht="14.25" x14ac:dyDescent="0.2">
      <c r="A175" s="45"/>
      <c r="B175" s="46"/>
      <c r="C175" s="46" t="s">
        <v>966</v>
      </c>
      <c r="D175" s="29" t="s">
        <v>967</v>
      </c>
      <c r="E175" s="11">
        <f>Source!BZ66</f>
        <v>105</v>
      </c>
      <c r="F175" s="67" t="str">
        <f>CONCATENATE(" )", Source!DL66, Source!FT66, "=", Source!FX66)</f>
        <v xml:space="preserve"> )*0,9=94,5</v>
      </c>
      <c r="G175" s="68"/>
      <c r="H175" s="30">
        <f>SUM(S170:S179)</f>
        <v>689.75</v>
      </c>
      <c r="I175" s="33"/>
      <c r="J175" s="27">
        <f>Source!AT66</f>
        <v>95</v>
      </c>
      <c r="K175" s="30">
        <f>SUM(T170:T179)</f>
        <v>4527.82</v>
      </c>
      <c r="L175" s="32"/>
    </row>
    <row r="176" spans="1:26" ht="14.25" x14ac:dyDescent="0.2">
      <c r="A176" s="45"/>
      <c r="B176" s="46"/>
      <c r="C176" s="46" t="s">
        <v>968</v>
      </c>
      <c r="D176" s="29" t="s">
        <v>967</v>
      </c>
      <c r="E176" s="11">
        <f>Source!CA66</f>
        <v>55</v>
      </c>
      <c r="F176" s="67" t="str">
        <f>CONCATENATE(" )", Source!DM66, Source!FU66, "=", Source!FY66)</f>
        <v xml:space="preserve"> )*0,85=46,75</v>
      </c>
      <c r="G176" s="68"/>
      <c r="H176" s="30">
        <f>SUM(U170:U179)</f>
        <v>341.22</v>
      </c>
      <c r="I176" s="33"/>
      <c r="J176" s="27">
        <f>Source!AU66</f>
        <v>47</v>
      </c>
      <c r="K176" s="30">
        <f>SUM(V170:V179)</f>
        <v>2240.08</v>
      </c>
      <c r="L176" s="32"/>
    </row>
    <row r="177" spans="1:26" ht="14.25" x14ac:dyDescent="0.2">
      <c r="A177" s="45"/>
      <c r="B177" s="46"/>
      <c r="C177" s="46" t="s">
        <v>969</v>
      </c>
      <c r="D177" s="29" t="s">
        <v>970</v>
      </c>
      <c r="E177" s="11">
        <f>Source!AQ66</f>
        <v>16.32</v>
      </c>
      <c r="F177" s="30"/>
      <c r="G177" s="31" t="str">
        <f>Source!DI66</f>
        <v/>
      </c>
      <c r="H177" s="30"/>
      <c r="I177" s="31"/>
      <c r="J177" s="31"/>
      <c r="K177" s="30"/>
      <c r="L177" s="41">
        <f>Source!U66</f>
        <v>75.692160000000001</v>
      </c>
    </row>
    <row r="178" spans="1:26" ht="14.25" x14ac:dyDescent="0.2">
      <c r="A178" s="45" t="str">
        <f>Source!E67</f>
        <v>15,1</v>
      </c>
      <c r="B178" s="46" t="str">
        <f>Source!F67</f>
        <v>14.4.01.21</v>
      </c>
      <c r="C178" s="46" t="str">
        <f>Source!G67</f>
        <v>Грунтовка</v>
      </c>
      <c r="D178" s="29" t="str">
        <f>Source!H67</f>
        <v>т</v>
      </c>
      <c r="E178" s="11">
        <f>Source!I67</f>
        <v>9.2759999999999995E-2</v>
      </c>
      <c r="F178" s="30">
        <f>Source!AL67+Source!AM67+Source!AO67</f>
        <v>0</v>
      </c>
      <c r="G178" s="44" t="s">
        <v>3</v>
      </c>
      <c r="H178" s="30">
        <f>ROUND(Source!AC67*Source!I67, 2)+ROUND(Source!AD67*Source!I67, 2)+ROUND(Source!AF67*Source!I67, 2)</f>
        <v>0</v>
      </c>
      <c r="I178" s="31"/>
      <c r="J178" s="31">
        <f>IF(Source!BC67&lt;&gt; 0, Source!BC67, 1)</f>
        <v>6.53</v>
      </c>
      <c r="K178" s="30">
        <f>Source!O67</f>
        <v>0</v>
      </c>
      <c r="L178" s="32"/>
      <c r="S178">
        <f>ROUND((Source!FX67/100)*((ROUND(Source!AF67*Source!I67, 2)+ROUND(Source!AE67*Source!I67, 2))), 2)</f>
        <v>0</v>
      </c>
      <c r="T178">
        <f>Source!X67</f>
        <v>0</v>
      </c>
      <c r="U178">
        <f>ROUND((Source!FY67/100)*((ROUND(Source!AF67*Source!I67, 2)+ROUND(Source!AE67*Source!I67, 2))), 2)</f>
        <v>0</v>
      </c>
      <c r="V178">
        <f>Source!Y67</f>
        <v>0</v>
      </c>
      <c r="W178">
        <f>IF(Source!BI67&lt;=1,H178, 0)</f>
        <v>0</v>
      </c>
      <c r="X178">
        <f>IF(Source!BI67=2,H178, 0)</f>
        <v>0</v>
      </c>
      <c r="Y178">
        <f>IF(Source!BI67=3,H178, 0)</f>
        <v>0</v>
      </c>
      <c r="Z178">
        <f>IF(Source!BI67=4,H178, 0)</f>
        <v>0</v>
      </c>
    </row>
    <row r="179" spans="1:26" ht="28.5" x14ac:dyDescent="0.2">
      <c r="A179" s="47" t="str">
        <f>Source!E68</f>
        <v>15,2</v>
      </c>
      <c r="B179" s="48" t="str">
        <f>Source!F68</f>
        <v>14.3.01.01-0001</v>
      </c>
      <c r="C179" s="48" t="str">
        <f>Source!G68</f>
        <v>Грунтовка: «Бетоконтакт», КНАУФ</v>
      </c>
      <c r="D179" s="34" t="str">
        <f>Source!H68</f>
        <v>кг</v>
      </c>
      <c r="E179" s="35">
        <f>Source!I68</f>
        <v>92.759999999999991</v>
      </c>
      <c r="F179" s="36">
        <f>Source!AL68+Source!AM68+Source!AO68</f>
        <v>15.09</v>
      </c>
      <c r="G179" s="42" t="s">
        <v>3</v>
      </c>
      <c r="H179" s="36">
        <f>ROUND(Source!AC68*Source!I68, 2)+ROUND(Source!AD68*Source!I68, 2)+ROUND(Source!AF68*Source!I68, 2)</f>
        <v>1399.75</v>
      </c>
      <c r="I179" s="37"/>
      <c r="J179" s="37">
        <f>IF(Source!BC68&lt;&gt; 0, Source!BC68, 1)</f>
        <v>6.53</v>
      </c>
      <c r="K179" s="36">
        <f>Source!O68</f>
        <v>9140.36</v>
      </c>
      <c r="L179" s="43"/>
      <c r="S179">
        <f>ROUND((Source!FX68/100)*((ROUND(Source!AF68*Source!I68, 2)+ROUND(Source!AE68*Source!I68, 2))), 2)</f>
        <v>0</v>
      </c>
      <c r="T179">
        <f>Source!X68</f>
        <v>0</v>
      </c>
      <c r="U179">
        <f>ROUND((Source!FY68/100)*((ROUND(Source!AF68*Source!I68, 2)+ROUND(Source!AE68*Source!I68, 2))), 2)</f>
        <v>0</v>
      </c>
      <c r="V179">
        <f>Source!Y68</f>
        <v>0</v>
      </c>
      <c r="W179">
        <f>IF(Source!BI68&lt;=1,H179, 0)</f>
        <v>1399.75</v>
      </c>
      <c r="X179">
        <f>IF(Source!BI68=2,H179, 0)</f>
        <v>0</v>
      </c>
      <c r="Y179">
        <f>IF(Source!BI68=3,H179, 0)</f>
        <v>0</v>
      </c>
      <c r="Z179">
        <f>IF(Source!BI68=4,H179, 0)</f>
        <v>0</v>
      </c>
    </row>
    <row r="180" spans="1:26" ht="15" x14ac:dyDescent="0.25">
      <c r="G180" s="65">
        <f>H171+H172+H174+H175+H176+SUM(H178:H179)</f>
        <v>3168.0699999999997</v>
      </c>
      <c r="H180" s="65"/>
      <c r="J180" s="65">
        <f>K171+K172+K174+K175+K176+SUM(K178:K179)</f>
        <v>20723.14</v>
      </c>
      <c r="K180" s="65"/>
      <c r="L180" s="39">
        <f>Source!U66</f>
        <v>75.692160000000001</v>
      </c>
      <c r="O180" s="24">
        <f>G180</f>
        <v>3168.0699999999997</v>
      </c>
      <c r="P180" s="24">
        <f>J180</f>
        <v>20723.14</v>
      </c>
      <c r="Q180" s="24">
        <f>L180</f>
        <v>75.692160000000001</v>
      </c>
      <c r="W180">
        <f>IF(Source!BI66&lt;=1,H171+H172+H174+H175+H176, 0)</f>
        <v>1768.32</v>
      </c>
      <c r="X180">
        <f>IF(Source!BI66=2,H171+H172+H174+H175+H176, 0)</f>
        <v>0</v>
      </c>
      <c r="Y180">
        <f>IF(Source!BI66=3,H171+H172+H174+H175+H176, 0)</f>
        <v>0</v>
      </c>
      <c r="Z180">
        <f>IF(Source!BI66=4,H171+H172+H174+H175+H176, 0)</f>
        <v>0</v>
      </c>
    </row>
    <row r="181" spans="1:26" ht="42.75" x14ac:dyDescent="0.2">
      <c r="A181" s="45" t="str">
        <f>Source!E69</f>
        <v>16</v>
      </c>
      <c r="B181" s="46" t="str">
        <f>Source!F69</f>
        <v>15-04-005-03</v>
      </c>
      <c r="C181" s="46" t="str">
        <f>Source!G69</f>
        <v>Окраска поливинилацетатными водоэмульсионными составами улучшенная по штукатурке стен</v>
      </c>
      <c r="D181" s="29" t="str">
        <f>Source!H69</f>
        <v>100 м2</v>
      </c>
      <c r="E181" s="11">
        <f>Source!I69</f>
        <v>4.6379999999999999</v>
      </c>
      <c r="F181" s="30">
        <f>Source!AL69+Source!AM69+Source!AO69</f>
        <v>675.6</v>
      </c>
      <c r="G181" s="31"/>
      <c r="H181" s="30"/>
      <c r="I181" s="31" t="str">
        <f>Source!BO69</f>
        <v/>
      </c>
      <c r="J181" s="31"/>
      <c r="K181" s="30"/>
      <c r="L181" s="32"/>
      <c r="S181">
        <f>ROUND((Source!FX69/100)*((ROUND(Source!AF69*Source!I69, 2)+ROUND(Source!AE69*Source!I69, 2))), 2)</f>
        <v>1695.4</v>
      </c>
      <c r="T181">
        <f>Source!X69</f>
        <v>11129.53</v>
      </c>
      <c r="U181">
        <f>ROUND((Source!FY69/100)*((ROUND(Source!AF69*Source!I69, 2)+ROUND(Source!AE69*Source!I69, 2))), 2)</f>
        <v>838.73</v>
      </c>
      <c r="V181">
        <f>Source!Y69</f>
        <v>5506.19</v>
      </c>
    </row>
    <row r="182" spans="1:26" ht="14.25" x14ac:dyDescent="0.2">
      <c r="A182" s="45"/>
      <c r="B182" s="46"/>
      <c r="C182" s="46" t="s">
        <v>965</v>
      </c>
      <c r="D182" s="29"/>
      <c r="E182" s="11"/>
      <c r="F182" s="30">
        <f>Source!AO69</f>
        <v>384.81</v>
      </c>
      <c r="G182" s="31" t="str">
        <f>Source!DG69</f>
        <v/>
      </c>
      <c r="H182" s="30">
        <f>ROUND(Source!AF69*Source!I69, 2)</f>
        <v>1784.75</v>
      </c>
      <c r="I182" s="31"/>
      <c r="J182" s="31">
        <f>IF(Source!BA69&lt;&gt; 0, Source!BA69, 1)</f>
        <v>6.53</v>
      </c>
      <c r="K182" s="30">
        <f>Source!S69</f>
        <v>11654.41</v>
      </c>
      <c r="L182" s="32"/>
      <c r="R182">
        <f>H182</f>
        <v>1784.75</v>
      </c>
    </row>
    <row r="183" spans="1:26" ht="14.25" x14ac:dyDescent="0.2">
      <c r="A183" s="45"/>
      <c r="B183" s="46"/>
      <c r="C183" s="46" t="s">
        <v>284</v>
      </c>
      <c r="D183" s="29"/>
      <c r="E183" s="11"/>
      <c r="F183" s="30">
        <f>Source!AM69</f>
        <v>10.49</v>
      </c>
      <c r="G183" s="31" t="str">
        <f>Source!DE69</f>
        <v/>
      </c>
      <c r="H183" s="30">
        <f>ROUND(Source!AD69*Source!I69, 2)</f>
        <v>48.65</v>
      </c>
      <c r="I183" s="31"/>
      <c r="J183" s="31">
        <f>IF(Source!BB69&lt;&gt; 0, Source!BB69, 1)</f>
        <v>6.53</v>
      </c>
      <c r="K183" s="30">
        <f>Source!Q69</f>
        <v>317.7</v>
      </c>
      <c r="L183" s="32"/>
    </row>
    <row r="184" spans="1:26" ht="14.25" x14ac:dyDescent="0.2">
      <c r="A184" s="45"/>
      <c r="B184" s="46"/>
      <c r="C184" s="46" t="s">
        <v>971</v>
      </c>
      <c r="D184" s="29"/>
      <c r="E184" s="11"/>
      <c r="F184" s="30">
        <f>Source!AN69</f>
        <v>2.0099999999999998</v>
      </c>
      <c r="G184" s="31" t="str">
        <f>Source!DF69</f>
        <v/>
      </c>
      <c r="H184" s="40">
        <f>ROUND(Source!AE69*Source!I69, 2)</f>
        <v>9.32</v>
      </c>
      <c r="I184" s="31"/>
      <c r="J184" s="31">
        <f>IF(Source!BS69&lt;&gt; 0, Source!BS69, 1)</f>
        <v>6.53</v>
      </c>
      <c r="K184" s="40">
        <f>Source!R69</f>
        <v>60.88</v>
      </c>
      <c r="L184" s="32"/>
      <c r="R184">
        <f>H184</f>
        <v>9.32</v>
      </c>
    </row>
    <row r="185" spans="1:26" ht="14.25" x14ac:dyDescent="0.2">
      <c r="A185" s="45"/>
      <c r="B185" s="46"/>
      <c r="C185" s="46" t="s">
        <v>972</v>
      </c>
      <c r="D185" s="29"/>
      <c r="E185" s="11"/>
      <c r="F185" s="30">
        <f>Source!AL69</f>
        <v>280.3</v>
      </c>
      <c r="G185" s="31" t="str">
        <f>Source!DD69</f>
        <v/>
      </c>
      <c r="H185" s="30">
        <f>ROUND(Source!AC69*Source!I69, 2)</f>
        <v>1300.03</v>
      </c>
      <c r="I185" s="31"/>
      <c r="J185" s="31">
        <f>IF(Source!BC69&lt;&gt; 0, Source!BC69, 1)</f>
        <v>6.53</v>
      </c>
      <c r="K185" s="30">
        <f>Source!P69</f>
        <v>8489.2099999999991</v>
      </c>
      <c r="L185" s="32"/>
    </row>
    <row r="186" spans="1:26" ht="14.25" x14ac:dyDescent="0.2">
      <c r="A186" s="45"/>
      <c r="B186" s="46"/>
      <c r="C186" s="46" t="s">
        <v>966</v>
      </c>
      <c r="D186" s="29" t="s">
        <v>967</v>
      </c>
      <c r="E186" s="11">
        <f>Source!BZ69</f>
        <v>105</v>
      </c>
      <c r="F186" s="67" t="str">
        <f>CONCATENATE(" )", Source!DL69, Source!FT69, "=", Source!FX69)</f>
        <v xml:space="preserve"> )*0,9=94,5</v>
      </c>
      <c r="G186" s="68"/>
      <c r="H186" s="30">
        <f>SUM(S181:S190)</f>
        <v>1695.4</v>
      </c>
      <c r="I186" s="33"/>
      <c r="J186" s="27">
        <f>Source!AT69</f>
        <v>95</v>
      </c>
      <c r="K186" s="30">
        <f>SUM(T181:T190)</f>
        <v>11129.53</v>
      </c>
      <c r="L186" s="32"/>
    </row>
    <row r="187" spans="1:26" ht="14.25" x14ac:dyDescent="0.2">
      <c r="A187" s="45"/>
      <c r="B187" s="46"/>
      <c r="C187" s="46" t="s">
        <v>968</v>
      </c>
      <c r="D187" s="29" t="s">
        <v>967</v>
      </c>
      <c r="E187" s="11">
        <f>Source!CA69</f>
        <v>55</v>
      </c>
      <c r="F187" s="67" t="str">
        <f>CONCATENATE(" )", Source!DM69, Source!FU69, "=", Source!FY69)</f>
        <v xml:space="preserve"> )*0,85=46,75</v>
      </c>
      <c r="G187" s="68"/>
      <c r="H187" s="30">
        <f>SUM(U181:U190)</f>
        <v>838.73</v>
      </c>
      <c r="I187" s="33"/>
      <c r="J187" s="27">
        <f>Source!AU69</f>
        <v>47</v>
      </c>
      <c r="K187" s="30">
        <f>SUM(V181:V190)</f>
        <v>5506.19</v>
      </c>
      <c r="L187" s="32"/>
    </row>
    <row r="188" spans="1:26" ht="14.25" x14ac:dyDescent="0.2">
      <c r="A188" s="45"/>
      <c r="B188" s="46"/>
      <c r="C188" s="46" t="s">
        <v>969</v>
      </c>
      <c r="D188" s="29" t="s">
        <v>970</v>
      </c>
      <c r="E188" s="11">
        <f>Source!AQ69</f>
        <v>42.9</v>
      </c>
      <c r="F188" s="30"/>
      <c r="G188" s="31" t="str">
        <f>Source!DI69</f>
        <v/>
      </c>
      <c r="H188" s="30"/>
      <c r="I188" s="31"/>
      <c r="J188" s="31"/>
      <c r="K188" s="30"/>
      <c r="L188" s="41">
        <f>Source!U69</f>
        <v>198.97019999999998</v>
      </c>
    </row>
    <row r="189" spans="1:26" ht="14.25" x14ac:dyDescent="0.2">
      <c r="A189" s="45" t="str">
        <f>Source!E70</f>
        <v>16,1</v>
      </c>
      <c r="B189" s="46" t="str">
        <f>Source!F70</f>
        <v>14.3.02.01</v>
      </c>
      <c r="C189" s="46" t="str">
        <f>Source!G70</f>
        <v>Краска водоэмульсионная</v>
      </c>
      <c r="D189" s="29" t="str">
        <f>Source!H70</f>
        <v>т</v>
      </c>
      <c r="E189" s="11">
        <f>Source!I70</f>
        <v>0.29219400000000001</v>
      </c>
      <c r="F189" s="30">
        <f>Source!AL70+Source!AM70+Source!AO70</f>
        <v>0</v>
      </c>
      <c r="G189" s="44" t="s">
        <v>3</v>
      </c>
      <c r="H189" s="30">
        <f>ROUND(Source!AC70*Source!I70, 2)+ROUND(Source!AD70*Source!I70, 2)+ROUND(Source!AF70*Source!I70, 2)</f>
        <v>0</v>
      </c>
      <c r="I189" s="31"/>
      <c r="J189" s="31">
        <f>IF(Source!BC70&lt;&gt; 0, Source!BC70, 1)</f>
        <v>6.53</v>
      </c>
      <c r="K189" s="30">
        <f>Source!O70</f>
        <v>0</v>
      </c>
      <c r="L189" s="32"/>
      <c r="S189">
        <f>ROUND((Source!FX70/100)*((ROUND(Source!AF70*Source!I70, 2)+ROUND(Source!AE70*Source!I70, 2))), 2)</f>
        <v>0</v>
      </c>
      <c r="T189">
        <f>Source!X70</f>
        <v>0</v>
      </c>
      <c r="U189">
        <f>ROUND((Source!FY70/100)*((ROUND(Source!AF70*Source!I70, 2)+ROUND(Source!AE70*Source!I70, 2))), 2)</f>
        <v>0</v>
      </c>
      <c r="V189">
        <f>Source!Y70</f>
        <v>0</v>
      </c>
      <c r="W189">
        <f>IF(Source!BI70&lt;=1,H189, 0)</f>
        <v>0</v>
      </c>
      <c r="X189">
        <f>IF(Source!BI70=2,H189, 0)</f>
        <v>0</v>
      </c>
      <c r="Y189">
        <f>IF(Source!BI70=3,H189, 0)</f>
        <v>0</v>
      </c>
      <c r="Z189">
        <f>IF(Source!BI70=4,H189, 0)</f>
        <v>0</v>
      </c>
    </row>
    <row r="190" spans="1:26" ht="28.5" x14ac:dyDescent="0.2">
      <c r="A190" s="47" t="str">
        <f>Source!E71</f>
        <v>16,2</v>
      </c>
      <c r="B190" s="48" t="str">
        <f>Source!F71</f>
        <v>14.3.02.01-0223</v>
      </c>
      <c r="C190" s="48" t="str">
        <f>Source!G71</f>
        <v>Краска водоэмульсионная для внутренних работ ВАК-15</v>
      </c>
      <c r="D190" s="34" t="str">
        <f>Source!H71</f>
        <v>т</v>
      </c>
      <c r="E190" s="35">
        <f>Source!I71</f>
        <v>0.29219400000000001</v>
      </c>
      <c r="F190" s="36">
        <f>Source!AL71+Source!AM71+Source!AO71</f>
        <v>19973.669999999998</v>
      </c>
      <c r="G190" s="42" t="s">
        <v>3</v>
      </c>
      <c r="H190" s="36">
        <f>ROUND(Source!AC71*Source!I71, 2)+ROUND(Source!AD71*Source!I71, 2)+ROUND(Source!AF71*Source!I71, 2)</f>
        <v>5836.19</v>
      </c>
      <c r="I190" s="37"/>
      <c r="J190" s="37">
        <f>IF(Source!BC71&lt;&gt; 0, Source!BC71, 1)</f>
        <v>6.53</v>
      </c>
      <c r="K190" s="36">
        <f>Source!O71</f>
        <v>38110.300000000003</v>
      </c>
      <c r="L190" s="43"/>
      <c r="S190">
        <f>ROUND((Source!FX71/100)*((ROUND(Source!AF71*Source!I71, 2)+ROUND(Source!AE71*Source!I71, 2))), 2)</f>
        <v>0</v>
      </c>
      <c r="T190">
        <f>Source!X71</f>
        <v>0</v>
      </c>
      <c r="U190">
        <f>ROUND((Source!FY71/100)*((ROUND(Source!AF71*Source!I71, 2)+ROUND(Source!AE71*Source!I71, 2))), 2)</f>
        <v>0</v>
      </c>
      <c r="V190">
        <f>Source!Y71</f>
        <v>0</v>
      </c>
      <c r="W190">
        <f>IF(Source!BI71&lt;=1,H190, 0)</f>
        <v>5836.19</v>
      </c>
      <c r="X190">
        <f>IF(Source!BI71=2,H190, 0)</f>
        <v>0</v>
      </c>
      <c r="Y190">
        <f>IF(Source!BI71=3,H190, 0)</f>
        <v>0</v>
      </c>
      <c r="Z190">
        <f>IF(Source!BI71=4,H190, 0)</f>
        <v>0</v>
      </c>
    </row>
    <row r="191" spans="1:26" ht="15" x14ac:dyDescent="0.25">
      <c r="G191" s="65">
        <f>H182+H183+H185+H186+H187+SUM(H189:H190)</f>
        <v>11503.75</v>
      </c>
      <c r="H191" s="65"/>
      <c r="J191" s="65">
        <f>K182+K183+K185+K186+K187+SUM(K189:K190)</f>
        <v>75207.34</v>
      </c>
      <c r="K191" s="65"/>
      <c r="L191" s="39">
        <f>Source!U69</f>
        <v>198.97019999999998</v>
      </c>
      <c r="O191" s="24">
        <f>G191</f>
        <v>11503.75</v>
      </c>
      <c r="P191" s="24">
        <f>J191</f>
        <v>75207.34</v>
      </c>
      <c r="Q191" s="24">
        <f>L191</f>
        <v>198.97019999999998</v>
      </c>
      <c r="W191">
        <f>IF(Source!BI69&lt;=1,H182+H183+H185+H186+H187, 0)</f>
        <v>5667.5599999999995</v>
      </c>
      <c r="X191">
        <f>IF(Source!BI69=2,H182+H183+H185+H186+H187, 0)</f>
        <v>0</v>
      </c>
      <c r="Y191">
        <f>IF(Source!BI69=3,H182+H183+H185+H186+H187, 0)</f>
        <v>0</v>
      </c>
      <c r="Z191">
        <f>IF(Source!BI69=4,H182+H183+H185+H186+H187, 0)</f>
        <v>0</v>
      </c>
    </row>
    <row r="192" spans="1:26" ht="57" x14ac:dyDescent="0.2">
      <c r="A192" s="45" t="str">
        <f>Source!E72</f>
        <v>17</v>
      </c>
      <c r="B192" s="46" t="str">
        <f>Source!F72</f>
        <v>15-01-049-04 прим</v>
      </c>
      <c r="C192" s="46" t="str">
        <f>Source!G72</f>
        <v>Демонтаж школьной доски: Облицовка стен по готовому каркасу щитами-картинами из древесностружечных плит фанерованных шпоном</v>
      </c>
      <c r="D192" s="29" t="str">
        <f>Source!H72</f>
        <v>100 м2</v>
      </c>
      <c r="E192" s="11">
        <f>Source!I72</f>
        <v>0.315</v>
      </c>
      <c r="F192" s="30">
        <f>Source!AL72+Source!AM72+Source!AO72</f>
        <v>686.77</v>
      </c>
      <c r="G192" s="31"/>
      <c r="H192" s="30"/>
      <c r="I192" s="31" t="str">
        <f>Source!BO72</f>
        <v/>
      </c>
      <c r="J192" s="31"/>
      <c r="K192" s="30"/>
      <c r="L192" s="32"/>
      <c r="S192">
        <f>ROUND((Source!FX72/100)*((ROUND(Source!AF72*Source!I72, 2)+ROUND(Source!AE72*Source!I72, 2))), 2)</f>
        <v>118.63</v>
      </c>
      <c r="T192">
        <f>Source!X72</f>
        <v>778.67</v>
      </c>
      <c r="U192">
        <f>ROUND((Source!FY72/100)*((ROUND(Source!AF72*Source!I72, 2)+ROUND(Source!AE72*Source!I72, 2))), 2)</f>
        <v>58.69</v>
      </c>
      <c r="V192">
        <f>Source!Y72</f>
        <v>385.24</v>
      </c>
    </row>
    <row r="193" spans="1:26" x14ac:dyDescent="0.2">
      <c r="C193" s="25" t="str">
        <f>"Объем: "&amp;Source!I72&amp;"=31,5/"&amp;"100"</f>
        <v>Объем: 0,315=31,5/100</v>
      </c>
    </row>
    <row r="194" spans="1:26" ht="14.25" x14ac:dyDescent="0.2">
      <c r="A194" s="45"/>
      <c r="B194" s="46"/>
      <c r="C194" s="46" t="s">
        <v>965</v>
      </c>
      <c r="D194" s="29"/>
      <c r="E194" s="11"/>
      <c r="F194" s="30">
        <f>Source!AO72</f>
        <v>481.21</v>
      </c>
      <c r="G194" s="31" t="str">
        <f>Source!DG72</f>
        <v>)*0,8</v>
      </c>
      <c r="H194" s="30">
        <f>ROUND(Source!AF72*Source!I72, 2)</f>
        <v>121.27</v>
      </c>
      <c r="I194" s="31"/>
      <c r="J194" s="31">
        <f>IF(Source!BA72&lt;&gt; 0, Source!BA72, 1)</f>
        <v>6.53</v>
      </c>
      <c r="K194" s="30">
        <f>Source!S72</f>
        <v>791.86</v>
      </c>
      <c r="L194" s="32"/>
      <c r="R194">
        <f>H194</f>
        <v>121.27</v>
      </c>
    </row>
    <row r="195" spans="1:26" ht="14.25" x14ac:dyDescent="0.2">
      <c r="A195" s="45"/>
      <c r="B195" s="46"/>
      <c r="C195" s="46" t="s">
        <v>284</v>
      </c>
      <c r="D195" s="29"/>
      <c r="E195" s="11"/>
      <c r="F195" s="30">
        <f>Source!AM72</f>
        <v>85.73</v>
      </c>
      <c r="G195" s="31" t="str">
        <f>Source!DE72</f>
        <v>)*0,8</v>
      </c>
      <c r="H195" s="30">
        <f>ROUND(Source!AD72*Source!I72, 2)</f>
        <v>21.6</v>
      </c>
      <c r="I195" s="31"/>
      <c r="J195" s="31">
        <f>IF(Source!BB72&lt;&gt; 0, Source!BB72, 1)</f>
        <v>6.53</v>
      </c>
      <c r="K195" s="30">
        <f>Source!Q72</f>
        <v>141.07</v>
      </c>
      <c r="L195" s="32"/>
    </row>
    <row r="196" spans="1:26" ht="14.25" x14ac:dyDescent="0.2">
      <c r="A196" s="45"/>
      <c r="B196" s="46"/>
      <c r="C196" s="46" t="s">
        <v>971</v>
      </c>
      <c r="D196" s="29"/>
      <c r="E196" s="11"/>
      <c r="F196" s="30">
        <f>Source!AN72</f>
        <v>16.89</v>
      </c>
      <c r="G196" s="31" t="str">
        <f>Source!DF72</f>
        <v>)*0,8</v>
      </c>
      <c r="H196" s="40">
        <f>ROUND(Source!AE72*Source!I72, 2)</f>
        <v>4.26</v>
      </c>
      <c r="I196" s="31"/>
      <c r="J196" s="31">
        <f>IF(Source!BS72&lt;&gt; 0, Source!BS72, 1)</f>
        <v>6.53</v>
      </c>
      <c r="K196" s="40">
        <f>Source!R72</f>
        <v>27.79</v>
      </c>
      <c r="L196" s="32"/>
      <c r="R196">
        <f>H196</f>
        <v>4.26</v>
      </c>
    </row>
    <row r="197" spans="1:26" ht="14.25" x14ac:dyDescent="0.2">
      <c r="A197" s="45"/>
      <c r="B197" s="46"/>
      <c r="C197" s="46" t="s">
        <v>966</v>
      </c>
      <c r="D197" s="29" t="s">
        <v>967</v>
      </c>
      <c r="E197" s="11">
        <f>Source!BZ72</f>
        <v>105</v>
      </c>
      <c r="F197" s="67" t="str">
        <f>CONCATENATE(" )", Source!DL72, Source!FT72, "=", Source!FX72)</f>
        <v xml:space="preserve"> )*0,9=94,5</v>
      </c>
      <c r="G197" s="68"/>
      <c r="H197" s="30">
        <f>SUM(S192:S199)</f>
        <v>118.63</v>
      </c>
      <c r="I197" s="33"/>
      <c r="J197" s="27">
        <f>Source!AT72</f>
        <v>95</v>
      </c>
      <c r="K197" s="30">
        <f>SUM(T192:T199)</f>
        <v>778.67</v>
      </c>
      <c r="L197" s="32"/>
    </row>
    <row r="198" spans="1:26" ht="14.25" x14ac:dyDescent="0.2">
      <c r="A198" s="45"/>
      <c r="B198" s="46"/>
      <c r="C198" s="46" t="s">
        <v>968</v>
      </c>
      <c r="D198" s="29" t="s">
        <v>967</v>
      </c>
      <c r="E198" s="11">
        <f>Source!CA72</f>
        <v>55</v>
      </c>
      <c r="F198" s="67" t="str">
        <f>CONCATENATE(" )", Source!DM72, Source!FU72, "=", Source!FY72)</f>
        <v xml:space="preserve"> )*0,85=46,75</v>
      </c>
      <c r="G198" s="68"/>
      <c r="H198" s="30">
        <f>SUM(U192:U199)</f>
        <v>58.69</v>
      </c>
      <c r="I198" s="33"/>
      <c r="J198" s="27">
        <f>Source!AU72</f>
        <v>47</v>
      </c>
      <c r="K198" s="30">
        <f>SUM(V192:V199)</f>
        <v>385.24</v>
      </c>
      <c r="L198" s="32"/>
    </row>
    <row r="199" spans="1:26" ht="14.25" x14ac:dyDescent="0.2">
      <c r="A199" s="47"/>
      <c r="B199" s="48"/>
      <c r="C199" s="48" t="s">
        <v>969</v>
      </c>
      <c r="D199" s="34" t="s">
        <v>970</v>
      </c>
      <c r="E199" s="35">
        <f>Source!AQ72</f>
        <v>50.6</v>
      </c>
      <c r="F199" s="36"/>
      <c r="G199" s="37" t="str">
        <f>Source!DI72</f>
        <v>)*0,8</v>
      </c>
      <c r="H199" s="36"/>
      <c r="I199" s="37"/>
      <c r="J199" s="37"/>
      <c r="K199" s="36"/>
      <c r="L199" s="38">
        <f>Source!U72</f>
        <v>12.751200000000001</v>
      </c>
    </row>
    <row r="200" spans="1:26" ht="15" x14ac:dyDescent="0.25">
      <c r="G200" s="65">
        <f>H194+H195+H197+H198</f>
        <v>320.19</v>
      </c>
      <c r="H200" s="65"/>
      <c r="J200" s="65">
        <f>K194+K195+K197+K198</f>
        <v>2096.84</v>
      </c>
      <c r="K200" s="65"/>
      <c r="L200" s="39">
        <f>Source!U72</f>
        <v>12.751200000000001</v>
      </c>
      <c r="O200" s="24">
        <f>G200</f>
        <v>320.19</v>
      </c>
      <c r="P200" s="24">
        <f>J200</f>
        <v>2096.84</v>
      </c>
      <c r="Q200" s="24">
        <f>L200</f>
        <v>12.751200000000001</v>
      </c>
      <c r="W200">
        <f>IF(Source!BI72&lt;=1,H194+H195+H197+H198, 0)</f>
        <v>320.19</v>
      </c>
      <c r="X200">
        <f>IF(Source!BI72=2,H194+H195+H197+H198, 0)</f>
        <v>0</v>
      </c>
      <c r="Y200">
        <f>IF(Source!BI72=3,H194+H195+H197+H198, 0)</f>
        <v>0</v>
      </c>
      <c r="Z200">
        <f>IF(Source!BI72=4,H194+H195+H197+H198, 0)</f>
        <v>0</v>
      </c>
    </row>
    <row r="201" spans="1:26" ht="85.5" x14ac:dyDescent="0.2">
      <c r="A201" s="45" t="str">
        <f>Source!E73</f>
        <v>18</v>
      </c>
      <c r="B201" s="46" t="str">
        <f>Source!F73</f>
        <v>15-01-049-04 прим</v>
      </c>
      <c r="C201" s="46" t="str">
        <f>Source!G73</f>
        <v>Установка  школьной доски: Облицовка стен по готовому каркасу щитами-картинами из древесностружечных плит фанерованных шпоном (без стоимости материала)</v>
      </c>
      <c r="D201" s="29" t="str">
        <f>Source!H73</f>
        <v>100 м2</v>
      </c>
      <c r="E201" s="11">
        <f>Source!I73</f>
        <v>0.315</v>
      </c>
      <c r="F201" s="30">
        <f>Source!AL73+Source!AM73+Source!AO73</f>
        <v>686.77</v>
      </c>
      <c r="G201" s="31"/>
      <c r="H201" s="30"/>
      <c r="I201" s="31" t="str">
        <f>Source!BO73</f>
        <v/>
      </c>
      <c r="J201" s="31"/>
      <c r="K201" s="30"/>
      <c r="L201" s="32"/>
      <c r="S201">
        <f>ROUND((Source!FX73/100)*((ROUND(Source!AF73*Source!I73, 2)+ROUND(Source!AE73*Source!I73, 2))), 2)</f>
        <v>118.63</v>
      </c>
      <c r="T201">
        <f>Source!X73</f>
        <v>778.67</v>
      </c>
      <c r="U201">
        <f>ROUND((Source!FY73/100)*((ROUND(Source!AF73*Source!I73, 2)+ROUND(Source!AE73*Source!I73, 2))), 2)</f>
        <v>58.69</v>
      </c>
      <c r="V201">
        <f>Source!Y73</f>
        <v>385.24</v>
      </c>
    </row>
    <row r="202" spans="1:26" x14ac:dyDescent="0.2">
      <c r="C202" s="25" t="str">
        <f>"Объем: "&amp;Source!I73&amp;"=31,5/"&amp;"100"</f>
        <v>Объем: 0,315=31,5/100</v>
      </c>
    </row>
    <row r="203" spans="1:26" ht="14.25" x14ac:dyDescent="0.2">
      <c r="A203" s="45"/>
      <c r="B203" s="46"/>
      <c r="C203" s="46" t="s">
        <v>965</v>
      </c>
      <c r="D203" s="29"/>
      <c r="E203" s="11"/>
      <c r="F203" s="30">
        <f>Source!AO73</f>
        <v>481.21</v>
      </c>
      <c r="G203" s="31" t="str">
        <f>Source!DG73</f>
        <v>)*0,8</v>
      </c>
      <c r="H203" s="30">
        <f>ROUND(Source!AF73*Source!I73, 2)</f>
        <v>121.27</v>
      </c>
      <c r="I203" s="31"/>
      <c r="J203" s="31">
        <f>IF(Source!BA73&lt;&gt; 0, Source!BA73, 1)</f>
        <v>6.53</v>
      </c>
      <c r="K203" s="30">
        <f>Source!S73</f>
        <v>791.86</v>
      </c>
      <c r="L203" s="32"/>
      <c r="R203">
        <f>H203</f>
        <v>121.27</v>
      </c>
    </row>
    <row r="204" spans="1:26" ht="14.25" x14ac:dyDescent="0.2">
      <c r="A204" s="45"/>
      <c r="B204" s="46"/>
      <c r="C204" s="46" t="s">
        <v>284</v>
      </c>
      <c r="D204" s="29"/>
      <c r="E204" s="11"/>
      <c r="F204" s="30">
        <f>Source!AM73</f>
        <v>85.73</v>
      </c>
      <c r="G204" s="31" t="str">
        <f>Source!DE73</f>
        <v>)*0,8</v>
      </c>
      <c r="H204" s="30">
        <f>ROUND(Source!AD73*Source!I73, 2)</f>
        <v>21.6</v>
      </c>
      <c r="I204" s="31"/>
      <c r="J204" s="31">
        <f>IF(Source!BB73&lt;&gt; 0, Source!BB73, 1)</f>
        <v>6.53</v>
      </c>
      <c r="K204" s="30">
        <f>Source!Q73</f>
        <v>141.07</v>
      </c>
      <c r="L204" s="32"/>
    </row>
    <row r="205" spans="1:26" ht="14.25" x14ac:dyDescent="0.2">
      <c r="A205" s="45"/>
      <c r="B205" s="46"/>
      <c r="C205" s="46" t="s">
        <v>971</v>
      </c>
      <c r="D205" s="29"/>
      <c r="E205" s="11"/>
      <c r="F205" s="30">
        <f>Source!AN73</f>
        <v>16.89</v>
      </c>
      <c r="G205" s="31" t="str">
        <f>Source!DF73</f>
        <v>)*0,8</v>
      </c>
      <c r="H205" s="40">
        <f>ROUND(Source!AE73*Source!I73, 2)</f>
        <v>4.26</v>
      </c>
      <c r="I205" s="31"/>
      <c r="J205" s="31">
        <f>IF(Source!BS73&lt;&gt; 0, Source!BS73, 1)</f>
        <v>6.53</v>
      </c>
      <c r="K205" s="40">
        <f>Source!R73</f>
        <v>27.79</v>
      </c>
      <c r="L205" s="32"/>
      <c r="R205">
        <f>H205</f>
        <v>4.26</v>
      </c>
    </row>
    <row r="206" spans="1:26" ht="14.25" x14ac:dyDescent="0.2">
      <c r="A206" s="45"/>
      <c r="B206" s="46"/>
      <c r="C206" s="46" t="s">
        <v>966</v>
      </c>
      <c r="D206" s="29" t="s">
        <v>967</v>
      </c>
      <c r="E206" s="11">
        <f>Source!BZ73</f>
        <v>105</v>
      </c>
      <c r="F206" s="67" t="str">
        <f>CONCATENATE(" )", Source!DL73, Source!FT73, "=", Source!FX73)</f>
        <v xml:space="preserve"> )*0,9=94,5</v>
      </c>
      <c r="G206" s="68"/>
      <c r="H206" s="30">
        <f>SUM(S201:S208)</f>
        <v>118.63</v>
      </c>
      <c r="I206" s="33"/>
      <c r="J206" s="27">
        <f>Source!AT73</f>
        <v>95</v>
      </c>
      <c r="K206" s="30">
        <f>SUM(T201:T208)</f>
        <v>778.67</v>
      </c>
      <c r="L206" s="32"/>
    </row>
    <row r="207" spans="1:26" ht="14.25" x14ac:dyDescent="0.2">
      <c r="A207" s="45"/>
      <c r="B207" s="46"/>
      <c r="C207" s="46" t="s">
        <v>968</v>
      </c>
      <c r="D207" s="29" t="s">
        <v>967</v>
      </c>
      <c r="E207" s="11">
        <f>Source!CA73</f>
        <v>55</v>
      </c>
      <c r="F207" s="67" t="str">
        <f>CONCATENATE(" )", Source!DM73, Source!FU73, "=", Source!FY73)</f>
        <v xml:space="preserve"> )*0,85=46,75</v>
      </c>
      <c r="G207" s="68"/>
      <c r="H207" s="30">
        <f>SUM(U201:U208)</f>
        <v>58.69</v>
      </c>
      <c r="I207" s="33"/>
      <c r="J207" s="27">
        <f>Source!AU73</f>
        <v>47</v>
      </c>
      <c r="K207" s="30">
        <f>SUM(V201:V208)</f>
        <v>385.24</v>
      </c>
      <c r="L207" s="32"/>
    </row>
    <row r="208" spans="1:26" ht="14.25" x14ac:dyDescent="0.2">
      <c r="A208" s="47"/>
      <c r="B208" s="48"/>
      <c r="C208" s="48" t="s">
        <v>969</v>
      </c>
      <c r="D208" s="34" t="s">
        <v>970</v>
      </c>
      <c r="E208" s="35">
        <f>Source!AQ73</f>
        <v>50.6</v>
      </c>
      <c r="F208" s="36"/>
      <c r="G208" s="37" t="str">
        <f>Source!DI73</f>
        <v>)*0,8</v>
      </c>
      <c r="H208" s="36"/>
      <c r="I208" s="37"/>
      <c r="J208" s="37"/>
      <c r="K208" s="36"/>
      <c r="L208" s="38">
        <f>Source!U73</f>
        <v>12.751200000000001</v>
      </c>
    </row>
    <row r="209" spans="1:26" ht="15" x14ac:dyDescent="0.25">
      <c r="G209" s="65">
        <f>H203+H204+H206+H207</f>
        <v>320.19</v>
      </c>
      <c r="H209" s="65"/>
      <c r="J209" s="65">
        <f>K203+K204+K206+K207</f>
        <v>2096.84</v>
      </c>
      <c r="K209" s="65"/>
      <c r="L209" s="39">
        <f>Source!U73</f>
        <v>12.751200000000001</v>
      </c>
      <c r="O209" s="24">
        <f>G209</f>
        <v>320.19</v>
      </c>
      <c r="P209" s="24">
        <f>J209</f>
        <v>2096.84</v>
      </c>
      <c r="Q209" s="24">
        <f>L209</f>
        <v>12.751200000000001</v>
      </c>
      <c r="W209">
        <f>IF(Source!BI73&lt;=1,H203+H204+H206+H207, 0)</f>
        <v>320.19</v>
      </c>
      <c r="X209">
        <f>IF(Source!BI73=2,H203+H204+H206+H207, 0)</f>
        <v>0</v>
      </c>
      <c r="Y209">
        <f>IF(Source!BI73=3,H203+H204+H206+H207, 0)</f>
        <v>0</v>
      </c>
      <c r="Z209">
        <f>IF(Source!BI73=4,H203+H204+H206+H207, 0)</f>
        <v>0</v>
      </c>
    </row>
    <row r="210" spans="1:26" ht="42.75" x14ac:dyDescent="0.2">
      <c r="A210" s="45" t="str">
        <f>Source!E74</f>
        <v>19</v>
      </c>
      <c r="B210" s="46" t="str">
        <f>Source!F74</f>
        <v>17-01-002-04</v>
      </c>
      <c r="C210" s="46" t="str">
        <f>Source!G74</f>
        <v>Демонтаж :Установка гарнитуры туалетной: вешалок, подстаканников, поручней для ванн и т.д.</v>
      </c>
      <c r="D210" s="29" t="str">
        <f>Source!H74</f>
        <v>10 ШТ</v>
      </c>
      <c r="E210" s="11">
        <f>Source!I74</f>
        <v>0.7</v>
      </c>
      <c r="F210" s="30">
        <f>Source!AL74+Source!AM74+Source!AO74</f>
        <v>27.540000000000003</v>
      </c>
      <c r="G210" s="31"/>
      <c r="H210" s="30"/>
      <c r="I210" s="31" t="str">
        <f>Source!BO74</f>
        <v/>
      </c>
      <c r="J210" s="31"/>
      <c r="K210" s="30"/>
      <c r="L210" s="32"/>
      <c r="S210">
        <f>ROUND((Source!FX74/100)*((ROUND(Source!AF74*Source!I74, 2)+ROUND(Source!AE74*Source!I74, 2))), 2)</f>
        <v>8.6999999999999993</v>
      </c>
      <c r="T210">
        <f>Source!X74</f>
        <v>56.67</v>
      </c>
      <c r="U210">
        <f>ROUND((Source!FY74/100)*((ROUND(Source!AF74*Source!I74, 2)+ROUND(Source!AE74*Source!I74, 2))), 2)</f>
        <v>5.33</v>
      </c>
      <c r="V210">
        <f>Source!Y74</f>
        <v>34.99</v>
      </c>
    </row>
    <row r="211" spans="1:26" x14ac:dyDescent="0.2">
      <c r="C211" s="25" t="str">
        <f>"Объем: "&amp;Source!I74&amp;"=7/"&amp;"10"</f>
        <v>Объем: 0,7=7/10</v>
      </c>
    </row>
    <row r="212" spans="1:26" ht="14.25" x14ac:dyDescent="0.2">
      <c r="A212" s="45"/>
      <c r="B212" s="46"/>
      <c r="C212" s="46" t="s">
        <v>965</v>
      </c>
      <c r="D212" s="29"/>
      <c r="E212" s="11"/>
      <c r="F212" s="30">
        <f>Source!AO74</f>
        <v>26.94</v>
      </c>
      <c r="G212" s="31" t="str">
        <f>Source!DG74</f>
        <v>)*0,4</v>
      </c>
      <c r="H212" s="30">
        <f>ROUND(Source!AF74*Source!I74, 2)</f>
        <v>7.55</v>
      </c>
      <c r="I212" s="31"/>
      <c r="J212" s="31">
        <f>IF(Source!BA74&lt;&gt; 0, Source!BA74, 1)</f>
        <v>6.53</v>
      </c>
      <c r="K212" s="30">
        <f>Source!S74</f>
        <v>49.28</v>
      </c>
      <c r="L212" s="32"/>
      <c r="R212">
        <f>H212</f>
        <v>7.55</v>
      </c>
    </row>
    <row r="213" spans="1:26" ht="14.25" x14ac:dyDescent="0.2">
      <c r="A213" s="45"/>
      <c r="B213" s="46"/>
      <c r="C213" s="46" t="s">
        <v>966</v>
      </c>
      <c r="D213" s="29" t="s">
        <v>967</v>
      </c>
      <c r="E213" s="11">
        <f>Source!BZ74</f>
        <v>128</v>
      </c>
      <c r="F213" s="67" t="str">
        <f>CONCATENATE(" )", Source!DL74, Source!FT74, "=", Source!FX74)</f>
        <v xml:space="preserve"> )*0,9=115,2</v>
      </c>
      <c r="G213" s="68"/>
      <c r="H213" s="30">
        <f>SUM(S210:S215)</f>
        <v>8.6999999999999993</v>
      </c>
      <c r="I213" s="33"/>
      <c r="J213" s="27">
        <f>Source!AT74</f>
        <v>115</v>
      </c>
      <c r="K213" s="30">
        <f>SUM(T210:T215)</f>
        <v>56.67</v>
      </c>
      <c r="L213" s="32"/>
    </row>
    <row r="214" spans="1:26" ht="14.25" x14ac:dyDescent="0.2">
      <c r="A214" s="45"/>
      <c r="B214" s="46"/>
      <c r="C214" s="46" t="s">
        <v>968</v>
      </c>
      <c r="D214" s="29" t="s">
        <v>967</v>
      </c>
      <c r="E214" s="11">
        <f>Source!CA74</f>
        <v>83</v>
      </c>
      <c r="F214" s="67" t="str">
        <f>CONCATENATE(" )", Source!DM74, Source!FU74, "=", Source!FY74)</f>
        <v xml:space="preserve"> )*0,85=70,55</v>
      </c>
      <c r="G214" s="68"/>
      <c r="H214" s="30">
        <f>SUM(U210:U215)</f>
        <v>5.33</v>
      </c>
      <c r="I214" s="33"/>
      <c r="J214" s="27">
        <f>Source!AU74</f>
        <v>71</v>
      </c>
      <c r="K214" s="30">
        <f>SUM(V210:V215)</f>
        <v>34.99</v>
      </c>
      <c r="L214" s="32"/>
    </row>
    <row r="215" spans="1:26" ht="14.25" x14ac:dyDescent="0.2">
      <c r="A215" s="47"/>
      <c r="B215" s="48"/>
      <c r="C215" s="48" t="s">
        <v>969</v>
      </c>
      <c r="D215" s="34" t="s">
        <v>970</v>
      </c>
      <c r="E215" s="35">
        <f>Source!AQ74</f>
        <v>2.8</v>
      </c>
      <c r="F215" s="36"/>
      <c r="G215" s="37" t="str">
        <f>Source!DI74</f>
        <v>)*0,4</v>
      </c>
      <c r="H215" s="36"/>
      <c r="I215" s="37"/>
      <c r="J215" s="37"/>
      <c r="K215" s="36"/>
      <c r="L215" s="38">
        <f>Source!U74</f>
        <v>0.78399999999999992</v>
      </c>
    </row>
    <row r="216" spans="1:26" ht="15" x14ac:dyDescent="0.25">
      <c r="G216" s="65">
        <f>H212+H213+H214</f>
        <v>21.58</v>
      </c>
      <c r="H216" s="65"/>
      <c r="J216" s="65">
        <f>K212+K213+K214</f>
        <v>140.94</v>
      </c>
      <c r="K216" s="65"/>
      <c r="L216" s="39">
        <f>Source!U74</f>
        <v>0.78399999999999992</v>
      </c>
      <c r="O216" s="24">
        <f>G216</f>
        <v>21.58</v>
      </c>
      <c r="P216" s="24">
        <f>J216</f>
        <v>140.94</v>
      </c>
      <c r="Q216" s="24">
        <f>L216</f>
        <v>0.78399999999999992</v>
      </c>
      <c r="W216">
        <f>IF(Source!BI74&lt;=1,H212+H213+H214, 0)</f>
        <v>21.58</v>
      </c>
      <c r="X216">
        <f>IF(Source!BI74=2,H212+H213+H214, 0)</f>
        <v>0</v>
      </c>
      <c r="Y216">
        <f>IF(Source!BI74=3,H212+H213+H214, 0)</f>
        <v>0</v>
      </c>
      <c r="Z216">
        <f>IF(Source!BI74=4,H212+H213+H214, 0)</f>
        <v>0</v>
      </c>
    </row>
    <row r="217" spans="1:26" ht="42.75" x14ac:dyDescent="0.2">
      <c r="A217" s="45" t="str">
        <f>Source!E75</f>
        <v>20</v>
      </c>
      <c r="B217" s="46" t="str">
        <f>Source!F75</f>
        <v>17-01-002-04 прим.</v>
      </c>
      <c r="C217" s="46" t="str">
        <f>Source!G75</f>
        <v>Установка гарнитуры туалетной: вешалок, подстаканников, поручней для ванн и т.д.</v>
      </c>
      <c r="D217" s="29" t="str">
        <f>Source!H75</f>
        <v>10 ШТ</v>
      </c>
      <c r="E217" s="11">
        <f>Source!I75</f>
        <v>0.7</v>
      </c>
      <c r="F217" s="30">
        <f>Source!AL75+Source!AM75+Source!AO75</f>
        <v>27.540000000000003</v>
      </c>
      <c r="G217" s="31"/>
      <c r="H217" s="30"/>
      <c r="I217" s="31" t="str">
        <f>Source!BO75</f>
        <v/>
      </c>
      <c r="J217" s="31"/>
      <c r="K217" s="30"/>
      <c r="L217" s="32"/>
      <c r="S217">
        <f>ROUND((Source!FX75/100)*((ROUND(Source!AF75*Source!I75, 2)+ROUND(Source!AE75*Source!I75, 2))), 2)</f>
        <v>21.73</v>
      </c>
      <c r="T217">
        <f>Source!X75</f>
        <v>141.61000000000001</v>
      </c>
      <c r="U217">
        <f>ROUND((Source!FY75/100)*((ROUND(Source!AF75*Source!I75, 2)+ROUND(Source!AE75*Source!I75, 2))), 2)</f>
        <v>13.31</v>
      </c>
      <c r="V217">
        <f>Source!Y75</f>
        <v>87.43</v>
      </c>
    </row>
    <row r="218" spans="1:26" x14ac:dyDescent="0.2">
      <c r="C218" s="25" t="str">
        <f>"Объем: "&amp;Source!I75&amp;"=7/"&amp;"10"</f>
        <v>Объем: 0,7=7/10</v>
      </c>
    </row>
    <row r="219" spans="1:26" ht="14.25" x14ac:dyDescent="0.2">
      <c r="A219" s="45"/>
      <c r="B219" s="46"/>
      <c r="C219" s="46" t="s">
        <v>965</v>
      </c>
      <c r="D219" s="29"/>
      <c r="E219" s="11"/>
      <c r="F219" s="30">
        <f>Source!AO75</f>
        <v>26.94</v>
      </c>
      <c r="G219" s="31" t="str">
        <f>Source!DG75</f>
        <v/>
      </c>
      <c r="H219" s="30">
        <f>ROUND(Source!AF75*Source!I75, 2)</f>
        <v>18.86</v>
      </c>
      <c r="I219" s="31"/>
      <c r="J219" s="31">
        <f>IF(Source!BA75&lt;&gt; 0, Source!BA75, 1)</f>
        <v>6.53</v>
      </c>
      <c r="K219" s="30">
        <f>Source!S75</f>
        <v>123.14</v>
      </c>
      <c r="L219" s="32"/>
      <c r="R219">
        <f>H219</f>
        <v>18.86</v>
      </c>
    </row>
    <row r="220" spans="1:26" ht="14.25" x14ac:dyDescent="0.2">
      <c r="A220" s="45"/>
      <c r="B220" s="46"/>
      <c r="C220" s="46" t="s">
        <v>972</v>
      </c>
      <c r="D220" s="29"/>
      <c r="E220" s="11"/>
      <c r="F220" s="30">
        <f>Source!AL75</f>
        <v>0.6</v>
      </c>
      <c r="G220" s="31" t="str">
        <f>Source!DD75</f>
        <v/>
      </c>
      <c r="H220" s="30">
        <f>ROUND(Source!AC75*Source!I75, 2)</f>
        <v>0.42</v>
      </c>
      <c r="I220" s="31"/>
      <c r="J220" s="31">
        <f>IF(Source!BC75&lt;&gt; 0, Source!BC75, 1)</f>
        <v>6.53</v>
      </c>
      <c r="K220" s="30">
        <f>Source!P75</f>
        <v>2.74</v>
      </c>
      <c r="L220" s="32"/>
    </row>
    <row r="221" spans="1:26" ht="14.25" x14ac:dyDescent="0.2">
      <c r="A221" s="45"/>
      <c r="B221" s="46"/>
      <c r="C221" s="46" t="s">
        <v>966</v>
      </c>
      <c r="D221" s="29" t="s">
        <v>967</v>
      </c>
      <c r="E221" s="11">
        <f>Source!BZ75</f>
        <v>128</v>
      </c>
      <c r="F221" s="67" t="str">
        <f>CONCATENATE(" )", Source!DL75, Source!FT75, "=", Source!FX75)</f>
        <v xml:space="preserve"> )*0,9=115,2</v>
      </c>
      <c r="G221" s="68"/>
      <c r="H221" s="30">
        <f>SUM(S217:S224)</f>
        <v>21.73</v>
      </c>
      <c r="I221" s="33"/>
      <c r="J221" s="27">
        <f>Source!AT75</f>
        <v>115</v>
      </c>
      <c r="K221" s="30">
        <f>SUM(T217:T224)</f>
        <v>141.61000000000001</v>
      </c>
      <c r="L221" s="32"/>
    </row>
    <row r="222" spans="1:26" ht="14.25" x14ac:dyDescent="0.2">
      <c r="A222" s="45"/>
      <c r="B222" s="46"/>
      <c r="C222" s="46" t="s">
        <v>968</v>
      </c>
      <c r="D222" s="29" t="s">
        <v>967</v>
      </c>
      <c r="E222" s="11">
        <f>Source!CA75</f>
        <v>83</v>
      </c>
      <c r="F222" s="67" t="str">
        <f>CONCATENATE(" )", Source!DM75, Source!FU75, "=", Source!FY75)</f>
        <v xml:space="preserve"> )*0,85=70,55</v>
      </c>
      <c r="G222" s="68"/>
      <c r="H222" s="30">
        <f>SUM(U217:U224)</f>
        <v>13.31</v>
      </c>
      <c r="I222" s="33"/>
      <c r="J222" s="27">
        <f>Source!AU75</f>
        <v>71</v>
      </c>
      <c r="K222" s="30">
        <f>SUM(V217:V224)</f>
        <v>87.43</v>
      </c>
      <c r="L222" s="32"/>
    </row>
    <row r="223" spans="1:26" ht="14.25" x14ac:dyDescent="0.2">
      <c r="A223" s="45"/>
      <c r="B223" s="46"/>
      <c r="C223" s="46" t="s">
        <v>969</v>
      </c>
      <c r="D223" s="29" t="s">
        <v>970</v>
      </c>
      <c r="E223" s="11">
        <f>Source!AQ75</f>
        <v>2.8</v>
      </c>
      <c r="F223" s="30"/>
      <c r="G223" s="31" t="str">
        <f>Source!DI75</f>
        <v/>
      </c>
      <c r="H223" s="30"/>
      <c r="I223" s="31"/>
      <c r="J223" s="31"/>
      <c r="K223" s="30"/>
      <c r="L223" s="41">
        <f>Source!U75</f>
        <v>1.9599999999999997</v>
      </c>
    </row>
    <row r="224" spans="1:26" ht="42.75" x14ac:dyDescent="0.2">
      <c r="A224" s="47" t="str">
        <f>Source!E76</f>
        <v>20,1</v>
      </c>
      <c r="B224" s="48" t="str">
        <f>Source!F76</f>
        <v>18.2.06.03-0001</v>
      </c>
      <c r="C224" s="48" t="str">
        <f>Source!G76</f>
        <v>Вешалки-крючки однорожковые В-К стальные с гальванопокрытием 20 крючков прим.</v>
      </c>
      <c r="D224" s="34" t="str">
        <f>Source!H76</f>
        <v>шт.</v>
      </c>
      <c r="E224" s="35">
        <f>Source!I76</f>
        <v>1.75</v>
      </c>
      <c r="F224" s="36">
        <f>Source!AL76+Source!AM76+Source!AO76</f>
        <v>3.74</v>
      </c>
      <c r="G224" s="42" t="s">
        <v>3</v>
      </c>
      <c r="H224" s="36">
        <f>ROUND(Source!AC76*Source!I76, 2)+ROUND(Source!AD76*Source!I76, 2)+ROUND(Source!AF76*Source!I76, 2)</f>
        <v>6.55</v>
      </c>
      <c r="I224" s="37"/>
      <c r="J224" s="37">
        <f>IF(Source!BC76&lt;&gt; 0, Source!BC76, 1)</f>
        <v>6.53</v>
      </c>
      <c r="K224" s="36">
        <f>Source!O76</f>
        <v>42.74</v>
      </c>
      <c r="L224" s="43"/>
      <c r="S224">
        <f>ROUND((Source!FX76/100)*((ROUND(Source!AF76*Source!I76, 2)+ROUND(Source!AE76*Source!I76, 2))), 2)</f>
        <v>0</v>
      </c>
      <c r="T224">
        <f>Source!X76</f>
        <v>0</v>
      </c>
      <c r="U224">
        <f>ROUND((Source!FY76/100)*((ROUND(Source!AF76*Source!I76, 2)+ROUND(Source!AE76*Source!I76, 2))), 2)</f>
        <v>0</v>
      </c>
      <c r="V224">
        <f>Source!Y76</f>
        <v>0</v>
      </c>
      <c r="W224">
        <f>IF(Source!BI76&lt;=1,H224, 0)</f>
        <v>6.55</v>
      </c>
      <c r="X224">
        <f>IF(Source!BI76=2,H224, 0)</f>
        <v>0</v>
      </c>
      <c r="Y224">
        <f>IF(Source!BI76=3,H224, 0)</f>
        <v>0</v>
      </c>
      <c r="Z224">
        <f>IF(Source!BI76=4,H224, 0)</f>
        <v>0</v>
      </c>
    </row>
    <row r="225" spans="1:26" ht="15" x14ac:dyDescent="0.25">
      <c r="G225" s="65">
        <f>H219+H220+H221+H222+SUM(H224:H224)</f>
        <v>60.870000000000005</v>
      </c>
      <c r="H225" s="65"/>
      <c r="J225" s="65">
        <f>K219+K220+K221+K222+SUM(K224:K224)</f>
        <v>397.66</v>
      </c>
      <c r="K225" s="65"/>
      <c r="L225" s="39">
        <f>Source!U75</f>
        <v>1.9599999999999997</v>
      </c>
      <c r="O225" s="24">
        <f>G225</f>
        <v>60.870000000000005</v>
      </c>
      <c r="P225" s="24">
        <f>J225</f>
        <v>397.66</v>
      </c>
      <c r="Q225" s="24">
        <f>L225</f>
        <v>1.9599999999999997</v>
      </c>
      <c r="W225">
        <f>IF(Source!BI75&lt;=1,H219+H220+H221+H222, 0)</f>
        <v>54.320000000000007</v>
      </c>
      <c r="X225">
        <f>IF(Source!BI75=2,H219+H220+H221+H222, 0)</f>
        <v>0</v>
      </c>
      <c r="Y225">
        <f>IF(Source!BI75=3,H219+H220+H221+H222, 0)</f>
        <v>0</v>
      </c>
      <c r="Z225">
        <f>IF(Source!BI75=4,H219+H220+H221+H222, 0)</f>
        <v>0</v>
      </c>
    </row>
    <row r="226" spans="1:26" ht="14.25" x14ac:dyDescent="0.2">
      <c r="A226" s="45" t="str">
        <f>Source!E77</f>
        <v>21</v>
      </c>
      <c r="B226" s="46" t="str">
        <f>Source!F77</f>
        <v>56-4-1</v>
      </c>
      <c r="C226" s="46" t="str">
        <f>Source!G77</f>
        <v>Ремонт оконных блоков</v>
      </c>
      <c r="D226" s="29" t="str">
        <f>Source!H77</f>
        <v>100 ШТ</v>
      </c>
      <c r="E226" s="11">
        <f>Source!I77</f>
        <v>0.1</v>
      </c>
      <c r="F226" s="30">
        <f>Source!AL77+Source!AM77+Source!AO77</f>
        <v>6411.01</v>
      </c>
      <c r="G226" s="31"/>
      <c r="H226" s="30"/>
      <c r="I226" s="31" t="str">
        <f>Source!BO77</f>
        <v/>
      </c>
      <c r="J226" s="31"/>
      <c r="K226" s="30"/>
      <c r="L226" s="32"/>
      <c r="S226">
        <f>ROUND((Source!FX77/100)*((ROUND(Source!AF77*Source!I77, 2)+ROUND(Source!AE77*Source!I77, 2))), 2)</f>
        <v>375.72</v>
      </c>
      <c r="T226">
        <f>Source!X77</f>
        <v>2453.41</v>
      </c>
      <c r="U226">
        <f>ROUND((Source!FY77/100)*((ROUND(Source!AF77*Source!I77, 2)+ROUND(Source!AE77*Source!I77, 2))), 2)</f>
        <v>284.08</v>
      </c>
      <c r="V226">
        <f>Source!Y77</f>
        <v>1855.02</v>
      </c>
    </row>
    <row r="227" spans="1:26" ht="14.25" x14ac:dyDescent="0.2">
      <c r="A227" s="45"/>
      <c r="B227" s="46"/>
      <c r="C227" s="46" t="s">
        <v>965</v>
      </c>
      <c r="D227" s="29"/>
      <c r="E227" s="11"/>
      <c r="F227" s="30">
        <f>Source!AO77</f>
        <v>4580.3500000000004</v>
      </c>
      <c r="G227" s="31" t="str">
        <f>Source!DG77</f>
        <v/>
      </c>
      <c r="H227" s="30">
        <f>ROUND(Source!AF77*Source!I77, 2)</f>
        <v>458.04</v>
      </c>
      <c r="I227" s="31"/>
      <c r="J227" s="31">
        <f>IF(Source!BA77&lt;&gt; 0, Source!BA77, 1)</f>
        <v>6.53</v>
      </c>
      <c r="K227" s="30">
        <f>Source!S77</f>
        <v>2990.97</v>
      </c>
      <c r="L227" s="32"/>
      <c r="R227">
        <f>H227</f>
        <v>458.04</v>
      </c>
    </row>
    <row r="228" spans="1:26" ht="14.25" x14ac:dyDescent="0.2">
      <c r="A228" s="45"/>
      <c r="B228" s="46"/>
      <c r="C228" s="46" t="s">
        <v>284</v>
      </c>
      <c r="D228" s="29"/>
      <c r="E228" s="11"/>
      <c r="F228" s="30">
        <f>Source!AM77</f>
        <v>8.5399999999999991</v>
      </c>
      <c r="G228" s="31" t="str">
        <f>Source!DE77</f>
        <v/>
      </c>
      <c r="H228" s="30">
        <f>ROUND(Source!AD77*Source!I77, 2)</f>
        <v>0.85</v>
      </c>
      <c r="I228" s="31"/>
      <c r="J228" s="31">
        <f>IF(Source!BB77&lt;&gt; 0, Source!BB77, 1)</f>
        <v>6.53</v>
      </c>
      <c r="K228" s="30">
        <f>Source!Q77</f>
        <v>5.58</v>
      </c>
      <c r="L228" s="32"/>
    </row>
    <row r="229" spans="1:26" ht="14.25" x14ac:dyDescent="0.2">
      <c r="A229" s="45"/>
      <c r="B229" s="46"/>
      <c r="C229" s="46" t="s">
        <v>971</v>
      </c>
      <c r="D229" s="29"/>
      <c r="E229" s="11"/>
      <c r="F229" s="30">
        <f>Source!AN77</f>
        <v>1.51</v>
      </c>
      <c r="G229" s="31" t="str">
        <f>Source!DF77</f>
        <v/>
      </c>
      <c r="H229" s="40">
        <f>ROUND(Source!AE77*Source!I77, 2)</f>
        <v>0.15</v>
      </c>
      <c r="I229" s="31"/>
      <c r="J229" s="31">
        <f>IF(Source!BS77&lt;&gt; 0, Source!BS77, 1)</f>
        <v>6.53</v>
      </c>
      <c r="K229" s="40">
        <f>Source!R77</f>
        <v>0.99</v>
      </c>
      <c r="L229" s="32"/>
      <c r="R229">
        <f>H229</f>
        <v>0.15</v>
      </c>
    </row>
    <row r="230" spans="1:26" ht="14.25" x14ac:dyDescent="0.2">
      <c r="A230" s="45"/>
      <c r="B230" s="46"/>
      <c r="C230" s="46" t="s">
        <v>972</v>
      </c>
      <c r="D230" s="29"/>
      <c r="E230" s="11"/>
      <c r="F230" s="30">
        <f>Source!AL77</f>
        <v>1822.12</v>
      </c>
      <c r="G230" s="31" t="str">
        <f>Source!DD77</f>
        <v/>
      </c>
      <c r="H230" s="30">
        <f>ROUND(Source!AC77*Source!I77, 2)</f>
        <v>182.21</v>
      </c>
      <c r="I230" s="31"/>
      <c r="J230" s="31">
        <f>IF(Source!BC77&lt;&gt; 0, Source!BC77, 1)</f>
        <v>6.53</v>
      </c>
      <c r="K230" s="30">
        <f>Source!P77</f>
        <v>1189.8399999999999</v>
      </c>
      <c r="L230" s="32"/>
    </row>
    <row r="231" spans="1:26" ht="14.25" x14ac:dyDescent="0.2">
      <c r="A231" s="45"/>
      <c r="B231" s="46"/>
      <c r="C231" s="46" t="s">
        <v>966</v>
      </c>
      <c r="D231" s="29" t="s">
        <v>967</v>
      </c>
      <c r="E231" s="11">
        <f>Source!BZ77</f>
        <v>82</v>
      </c>
      <c r="F231" s="49"/>
      <c r="G231" s="31"/>
      <c r="H231" s="30">
        <f>SUM(S226:S234)</f>
        <v>375.72</v>
      </c>
      <c r="I231" s="33"/>
      <c r="J231" s="27">
        <f>Source!AT77</f>
        <v>82</v>
      </c>
      <c r="K231" s="30">
        <f>SUM(T226:T234)</f>
        <v>2453.41</v>
      </c>
      <c r="L231" s="32"/>
    </row>
    <row r="232" spans="1:26" ht="14.25" x14ac:dyDescent="0.2">
      <c r="A232" s="45"/>
      <c r="B232" s="46"/>
      <c r="C232" s="46" t="s">
        <v>968</v>
      </c>
      <c r="D232" s="29" t="s">
        <v>967</v>
      </c>
      <c r="E232" s="11">
        <f>Source!CA77</f>
        <v>62</v>
      </c>
      <c r="F232" s="49"/>
      <c r="G232" s="31"/>
      <c r="H232" s="30">
        <f>SUM(U226:U234)</f>
        <v>284.08</v>
      </c>
      <c r="I232" s="33"/>
      <c r="J232" s="27">
        <f>Source!AU77</f>
        <v>62</v>
      </c>
      <c r="K232" s="30">
        <f>SUM(V226:V234)</f>
        <v>1855.02</v>
      </c>
      <c r="L232" s="32"/>
    </row>
    <row r="233" spans="1:26" ht="14.25" x14ac:dyDescent="0.2">
      <c r="A233" s="45"/>
      <c r="B233" s="46"/>
      <c r="C233" s="46" t="s">
        <v>969</v>
      </c>
      <c r="D233" s="29" t="s">
        <v>970</v>
      </c>
      <c r="E233" s="11">
        <f>Source!AQ77</f>
        <v>505</v>
      </c>
      <c r="F233" s="30"/>
      <c r="G233" s="31" t="str">
        <f>Source!DI77</f>
        <v/>
      </c>
      <c r="H233" s="30"/>
      <c r="I233" s="31"/>
      <c r="J233" s="31"/>
      <c r="K233" s="30"/>
      <c r="L233" s="41">
        <f>Source!U77</f>
        <v>50.5</v>
      </c>
    </row>
    <row r="234" spans="1:26" ht="28.5" x14ac:dyDescent="0.2">
      <c r="A234" s="47" t="str">
        <f>Source!E78</f>
        <v>21,1</v>
      </c>
      <c r="B234" s="48" t="str">
        <f>Source!F78</f>
        <v>01.7.19.06-0005</v>
      </c>
      <c r="C234" s="48" t="str">
        <f>Source!G78</f>
        <v>Прокладки уплотнительные, Д=40 мм</v>
      </c>
      <c r="D234" s="34" t="str">
        <f>Source!H78</f>
        <v>м</v>
      </c>
      <c r="E234" s="35">
        <f>Source!I78</f>
        <v>10</v>
      </c>
      <c r="F234" s="36">
        <f>Source!AL78+Source!AM78+Source!AO78</f>
        <v>15.41</v>
      </c>
      <c r="G234" s="42" t="s">
        <v>3</v>
      </c>
      <c r="H234" s="36">
        <f>ROUND(Source!AC78*Source!I78, 2)+ROUND(Source!AD78*Source!I78, 2)+ROUND(Source!AF78*Source!I78, 2)</f>
        <v>154.1</v>
      </c>
      <c r="I234" s="37"/>
      <c r="J234" s="37">
        <f>IF(Source!BC78&lt;&gt; 0, Source!BC78, 1)</f>
        <v>6.53</v>
      </c>
      <c r="K234" s="36">
        <f>Source!O78</f>
        <v>1006.27</v>
      </c>
      <c r="L234" s="43"/>
      <c r="S234">
        <f>ROUND((Source!FX78/100)*((ROUND(Source!AF78*Source!I78, 2)+ROUND(Source!AE78*Source!I78, 2))), 2)</f>
        <v>0</v>
      </c>
      <c r="T234">
        <f>Source!X78</f>
        <v>0</v>
      </c>
      <c r="U234">
        <f>ROUND((Source!FY78/100)*((ROUND(Source!AF78*Source!I78, 2)+ROUND(Source!AE78*Source!I78, 2))), 2)</f>
        <v>0</v>
      </c>
      <c r="V234">
        <f>Source!Y78</f>
        <v>0</v>
      </c>
      <c r="W234">
        <f>IF(Source!BI78&lt;=1,H234, 0)</f>
        <v>154.1</v>
      </c>
      <c r="X234">
        <f>IF(Source!BI78=2,H234, 0)</f>
        <v>0</v>
      </c>
      <c r="Y234">
        <f>IF(Source!BI78=3,H234, 0)</f>
        <v>0</v>
      </c>
      <c r="Z234">
        <f>IF(Source!BI78=4,H234, 0)</f>
        <v>0</v>
      </c>
    </row>
    <row r="235" spans="1:26" ht="15" x14ac:dyDescent="0.25">
      <c r="G235" s="65">
        <f>H227+H228+H230+H231+H232+SUM(H234:H234)</f>
        <v>1455</v>
      </c>
      <c r="H235" s="65"/>
      <c r="J235" s="65">
        <f>K227+K228+K230+K231+K232+SUM(K234:K234)</f>
        <v>9501.09</v>
      </c>
      <c r="K235" s="65"/>
      <c r="L235" s="39">
        <f>Source!U77</f>
        <v>50.5</v>
      </c>
      <c r="O235" s="24">
        <f>G235</f>
        <v>1455</v>
      </c>
      <c r="P235" s="24">
        <f>J235</f>
        <v>9501.09</v>
      </c>
      <c r="Q235" s="24">
        <f>L235</f>
        <v>50.5</v>
      </c>
      <c r="W235">
        <f>IF(Source!BI77&lt;=1,H227+H228+H230+H231+H232, 0)</f>
        <v>1300.9000000000001</v>
      </c>
      <c r="X235">
        <f>IF(Source!BI77=2,H227+H228+H230+H231+H232, 0)</f>
        <v>0</v>
      </c>
      <c r="Y235">
        <f>IF(Source!BI77=3,H227+H228+H230+H231+H232, 0)</f>
        <v>0</v>
      </c>
      <c r="Z235">
        <f>IF(Source!BI77=4,H227+H228+H230+H231+H232, 0)</f>
        <v>0</v>
      </c>
    </row>
    <row r="236" spans="1:26" ht="28.5" x14ac:dyDescent="0.2">
      <c r="A236" s="45" t="str">
        <f>Source!E79</f>
        <v>22</v>
      </c>
      <c r="B236" s="46" t="str">
        <f>Source!F79</f>
        <v>69-15-1</v>
      </c>
      <c r="C236" s="46" t="str">
        <f>Source!G79</f>
        <v>Затаривание строительного мусора в мешки</v>
      </c>
      <c r="D236" s="29" t="str">
        <f>Source!H79</f>
        <v>т</v>
      </c>
      <c r="E236" s="11">
        <f>Source!I79</f>
        <v>1.5</v>
      </c>
      <c r="F236" s="30">
        <f>Source!AL79+Source!AM79+Source!AO79</f>
        <v>23.81</v>
      </c>
      <c r="G236" s="31"/>
      <c r="H236" s="30"/>
      <c r="I236" s="31" t="str">
        <f>Source!BO79</f>
        <v/>
      </c>
      <c r="J236" s="31"/>
      <c r="K236" s="30"/>
      <c r="L236" s="32"/>
      <c r="S236">
        <f>ROUND((Source!FX79/100)*((ROUND(Source!AF79*Source!I79, 2)+ROUND(Source!AE79*Source!I79, 2))), 2)</f>
        <v>8.67</v>
      </c>
      <c r="T236">
        <f>Source!X79</f>
        <v>56.61</v>
      </c>
      <c r="U236">
        <f>ROUND((Source!FY79/100)*((ROUND(Source!AF79*Source!I79, 2)+ROUND(Source!AE79*Source!I79, 2))), 2)</f>
        <v>5.56</v>
      </c>
      <c r="V236">
        <f>Source!Y79</f>
        <v>36.29</v>
      </c>
    </row>
    <row r="237" spans="1:26" ht="14.25" x14ac:dyDescent="0.2">
      <c r="A237" s="45"/>
      <c r="B237" s="46"/>
      <c r="C237" s="46" t="s">
        <v>965</v>
      </c>
      <c r="D237" s="29"/>
      <c r="E237" s="11"/>
      <c r="F237" s="30">
        <f>Source!AO79</f>
        <v>7.41</v>
      </c>
      <c r="G237" s="31" t="str">
        <f>Source!DG79</f>
        <v/>
      </c>
      <c r="H237" s="30">
        <f>ROUND(Source!AF79*Source!I79, 2)</f>
        <v>11.12</v>
      </c>
      <c r="I237" s="31"/>
      <c r="J237" s="31">
        <f>IF(Source!BA79&lt;&gt; 0, Source!BA79, 1)</f>
        <v>6.53</v>
      </c>
      <c r="K237" s="30">
        <f>Source!S79</f>
        <v>72.58</v>
      </c>
      <c r="L237" s="32"/>
      <c r="R237">
        <f>H237</f>
        <v>11.12</v>
      </c>
    </row>
    <row r="238" spans="1:26" ht="14.25" x14ac:dyDescent="0.2">
      <c r="A238" s="45"/>
      <c r="B238" s="46"/>
      <c r="C238" s="46" t="s">
        <v>972</v>
      </c>
      <c r="D238" s="29"/>
      <c r="E238" s="11"/>
      <c r="F238" s="30">
        <f>Source!AL79</f>
        <v>16.399999999999999</v>
      </c>
      <c r="G238" s="31" t="str">
        <f>Source!DD79</f>
        <v/>
      </c>
      <c r="H238" s="30">
        <f>ROUND(Source!AC79*Source!I79, 2)</f>
        <v>24.6</v>
      </c>
      <c r="I238" s="31"/>
      <c r="J238" s="31">
        <f>IF(Source!BC79&lt;&gt; 0, Source!BC79, 1)</f>
        <v>6.53</v>
      </c>
      <c r="K238" s="30">
        <f>Source!P79</f>
        <v>160.63999999999999</v>
      </c>
      <c r="L238" s="32"/>
    </row>
    <row r="239" spans="1:26" ht="14.25" x14ac:dyDescent="0.2">
      <c r="A239" s="45"/>
      <c r="B239" s="46"/>
      <c r="C239" s="46" t="s">
        <v>966</v>
      </c>
      <c r="D239" s="29" t="s">
        <v>967</v>
      </c>
      <c r="E239" s="11">
        <f>Source!BZ79</f>
        <v>78</v>
      </c>
      <c r="F239" s="49"/>
      <c r="G239" s="31"/>
      <c r="H239" s="30">
        <f>SUM(S236:S241)</f>
        <v>8.67</v>
      </c>
      <c r="I239" s="33"/>
      <c r="J239" s="27">
        <f>Source!AT79</f>
        <v>78</v>
      </c>
      <c r="K239" s="30">
        <f>SUM(T236:T241)</f>
        <v>56.61</v>
      </c>
      <c r="L239" s="32"/>
    </row>
    <row r="240" spans="1:26" ht="14.25" x14ac:dyDescent="0.2">
      <c r="A240" s="45"/>
      <c r="B240" s="46"/>
      <c r="C240" s="46" t="s">
        <v>968</v>
      </c>
      <c r="D240" s="29" t="s">
        <v>967</v>
      </c>
      <c r="E240" s="11">
        <f>Source!CA79</f>
        <v>50</v>
      </c>
      <c r="F240" s="49"/>
      <c r="G240" s="31"/>
      <c r="H240" s="30">
        <f>SUM(U236:U241)</f>
        <v>5.56</v>
      </c>
      <c r="I240" s="33"/>
      <c r="J240" s="27">
        <f>Source!AU79</f>
        <v>50</v>
      </c>
      <c r="K240" s="30">
        <f>SUM(V236:V241)</f>
        <v>36.29</v>
      </c>
      <c r="L240" s="32"/>
    </row>
    <row r="241" spans="1:26" ht="14.25" x14ac:dyDescent="0.2">
      <c r="A241" s="47"/>
      <c r="B241" s="48"/>
      <c r="C241" s="48" t="s">
        <v>969</v>
      </c>
      <c r="D241" s="34" t="s">
        <v>970</v>
      </c>
      <c r="E241" s="35">
        <f>Source!AQ79</f>
        <v>1.03</v>
      </c>
      <c r="F241" s="36"/>
      <c r="G241" s="37" t="str">
        <f>Source!DI79</f>
        <v/>
      </c>
      <c r="H241" s="36"/>
      <c r="I241" s="37"/>
      <c r="J241" s="37"/>
      <c r="K241" s="36"/>
      <c r="L241" s="38">
        <f>Source!U79</f>
        <v>1.5449999999999999</v>
      </c>
    </row>
    <row r="242" spans="1:26" ht="15" x14ac:dyDescent="0.25">
      <c r="G242" s="65">
        <f>H237+H238+H239+H240</f>
        <v>49.95</v>
      </c>
      <c r="H242" s="65"/>
      <c r="J242" s="65">
        <f>K237+K238+K239+K240</f>
        <v>326.12</v>
      </c>
      <c r="K242" s="65"/>
      <c r="L242" s="39">
        <f>Source!U79</f>
        <v>1.5449999999999999</v>
      </c>
      <c r="O242" s="24">
        <f>G242</f>
        <v>49.95</v>
      </c>
      <c r="P242" s="24">
        <f>J242</f>
        <v>326.12</v>
      </c>
      <c r="Q242" s="24">
        <f>L242</f>
        <v>1.5449999999999999</v>
      </c>
      <c r="W242">
        <f>IF(Source!BI79&lt;=1,H237+H238+H239+H240, 0)</f>
        <v>49.95</v>
      </c>
      <c r="X242">
        <f>IF(Source!BI79=2,H237+H238+H239+H240, 0)</f>
        <v>0</v>
      </c>
      <c r="Y242">
        <f>IF(Source!BI79=3,H237+H238+H239+H240, 0)</f>
        <v>0</v>
      </c>
      <c r="Z242">
        <f>IF(Source!BI79=4,H237+H238+H239+H240, 0)</f>
        <v>0</v>
      </c>
    </row>
    <row r="243" spans="1:26" ht="42.75" x14ac:dyDescent="0.2">
      <c r="A243" s="47" t="str">
        <f>Source!E80</f>
        <v>23</v>
      </c>
      <c r="B243" s="48" t="str">
        <f>Source!F80</f>
        <v>т01-01-01-041</v>
      </c>
      <c r="C243" s="48" t="str">
        <f>Source!G80</f>
        <v>Погрузочные работы при автомобильных перевозках мусора строительного с погрузкой вручную</v>
      </c>
      <c r="D243" s="34" t="str">
        <f>Source!H80</f>
        <v>1 Т ГРУЗА</v>
      </c>
      <c r="E243" s="35">
        <f>Source!I80</f>
        <v>1.5</v>
      </c>
      <c r="F243" s="36">
        <f>Source!AK80</f>
        <v>42.98</v>
      </c>
      <c r="G243" s="37" t="str">
        <f>Source!DC80</f>
        <v/>
      </c>
      <c r="H243" s="36">
        <f>ROUND(Source!AB80*Source!I80, 2)</f>
        <v>64.47</v>
      </c>
      <c r="I243" s="37" t="str">
        <f>Source!BO80</f>
        <v/>
      </c>
      <c r="J243" s="37">
        <f>Source!AZ80</f>
        <v>6.53</v>
      </c>
      <c r="K243" s="36">
        <f>Source!GM80</f>
        <v>420.99</v>
      </c>
      <c r="L243" s="43"/>
      <c r="S243">
        <f>ROUND((Source!FX80/100)*((ROUND(0*Source!I80, 2)+ROUND(0*Source!I80, 2))), 2)</f>
        <v>0</v>
      </c>
      <c r="T243">
        <f>Source!X80</f>
        <v>0</v>
      </c>
      <c r="U243">
        <f>ROUND((Source!FY80/100)*((ROUND(0*Source!I80, 2)+ROUND(0*Source!I80, 2))), 2)</f>
        <v>0</v>
      </c>
      <c r="V243">
        <f>Source!Y80</f>
        <v>0</v>
      </c>
    </row>
    <row r="244" spans="1:26" ht="15" x14ac:dyDescent="0.25">
      <c r="G244" s="65">
        <f>H243</f>
        <v>64.47</v>
      </c>
      <c r="H244" s="65"/>
      <c r="J244" s="65">
        <f>K243</f>
        <v>420.99</v>
      </c>
      <c r="K244" s="65"/>
      <c r="L244" s="39">
        <f>Source!U80</f>
        <v>0</v>
      </c>
      <c r="O244" s="24">
        <f>G244</f>
        <v>64.47</v>
      </c>
      <c r="P244" s="24">
        <f>J244</f>
        <v>420.99</v>
      </c>
      <c r="Q244" s="24">
        <f>L244</f>
        <v>0</v>
      </c>
      <c r="W244">
        <f>IF(Source!BI80&lt;=1,H243, 0)</f>
        <v>64.47</v>
      </c>
      <c r="X244">
        <f>IF(Source!BI80=2,H243, 0)</f>
        <v>0</v>
      </c>
      <c r="Y244">
        <f>IF(Source!BI80=3,H243, 0)</f>
        <v>0</v>
      </c>
      <c r="Z244">
        <f>IF(Source!BI80=4,H243, 0)</f>
        <v>0</v>
      </c>
    </row>
    <row r="245" spans="1:26" ht="57" x14ac:dyDescent="0.2">
      <c r="A245" s="47" t="str">
        <f>Source!E81</f>
        <v>24</v>
      </c>
      <c r="B245" s="48" t="str">
        <f>Source!F81</f>
        <v>т03-01-01-035</v>
      </c>
      <c r="C245" s="48" t="str">
        <f>Source!G81</f>
        <v>Перевозка грузов I класса автомобилями бортовыми грузоподъемностью до 15 т на расстояние до 35 км</v>
      </c>
      <c r="D245" s="34" t="str">
        <f>Source!H81</f>
        <v>1 Т ГРУЗА</v>
      </c>
      <c r="E245" s="35">
        <f>Source!I81</f>
        <v>1.5</v>
      </c>
      <c r="F245" s="36">
        <f>Source!AK81</f>
        <v>19.54</v>
      </c>
      <c r="G245" s="37" t="str">
        <f>Source!DC81</f>
        <v/>
      </c>
      <c r="H245" s="36">
        <f>ROUND(Source!AB81*Source!I81, 2)</f>
        <v>29.31</v>
      </c>
      <c r="I245" s="37" t="str">
        <f>Source!BO81</f>
        <v/>
      </c>
      <c r="J245" s="37">
        <f>Source!AZ81</f>
        <v>6.53</v>
      </c>
      <c r="K245" s="36">
        <f>Source!GM81</f>
        <v>191.39</v>
      </c>
      <c r="L245" s="43"/>
      <c r="S245">
        <f>ROUND((Source!FX81/100)*((ROUND(0*Source!I81, 2)+ROUND(0*Source!I81, 2))), 2)</f>
        <v>0</v>
      </c>
      <c r="T245">
        <f>Source!X81</f>
        <v>0</v>
      </c>
      <c r="U245">
        <f>ROUND((Source!FY81/100)*((ROUND(0*Source!I81, 2)+ROUND(0*Source!I81, 2))), 2)</f>
        <v>0</v>
      </c>
      <c r="V245">
        <f>Source!Y81</f>
        <v>0</v>
      </c>
    </row>
    <row r="246" spans="1:26" ht="15" x14ac:dyDescent="0.25">
      <c r="G246" s="65">
        <f>H245</f>
        <v>29.31</v>
      </c>
      <c r="H246" s="65"/>
      <c r="J246" s="65">
        <f>K245</f>
        <v>191.39</v>
      </c>
      <c r="K246" s="65"/>
      <c r="L246" s="39">
        <f>Source!U81</f>
        <v>0</v>
      </c>
      <c r="O246" s="24">
        <f>G246</f>
        <v>29.31</v>
      </c>
      <c r="P246" s="24">
        <f>J246</f>
        <v>191.39</v>
      </c>
      <c r="Q246" s="24">
        <f>L246</f>
        <v>0</v>
      </c>
      <c r="W246">
        <f>IF(Source!BI81&lt;=1,H245, 0)</f>
        <v>29.31</v>
      </c>
      <c r="X246">
        <f>IF(Source!BI81=2,H245, 0)</f>
        <v>0</v>
      </c>
      <c r="Y246">
        <f>IF(Source!BI81=3,H245, 0)</f>
        <v>0</v>
      </c>
      <c r="Z246">
        <f>IF(Source!BI81=4,H245, 0)</f>
        <v>0</v>
      </c>
    </row>
    <row r="248" spans="1:26" ht="15" x14ac:dyDescent="0.25">
      <c r="A248" s="64" t="str">
        <f>CONCATENATE("Итого по разделу: ",IF(Source!G83&lt;&gt;"Новый раздел", Source!G83, ""))</f>
        <v>Итого по разделу: 1 Общестроительные работы</v>
      </c>
      <c r="B248" s="64"/>
      <c r="C248" s="64"/>
      <c r="D248" s="64"/>
      <c r="E248" s="64"/>
      <c r="F248" s="64"/>
      <c r="G248" s="63">
        <f>SUM(O28:O247)</f>
        <v>173166.90000000002</v>
      </c>
      <c r="H248" s="63"/>
      <c r="I248" s="26"/>
      <c r="J248" s="63">
        <f>SUM(P28:P247)</f>
        <v>1131235.6000000001</v>
      </c>
      <c r="K248" s="63"/>
      <c r="L248" s="39">
        <f>SUM(Q28:Q247)</f>
        <v>1424.4292555000002</v>
      </c>
    </row>
    <row r="252" spans="1:26" ht="16.5" x14ac:dyDescent="0.25">
      <c r="A252" s="66" t="str">
        <f>CONCATENATE("Раздел: ",IF(Source!G112&lt;&gt;"Новый раздел", Source!G112, ""))</f>
        <v>Раздел: 2 Сантехнические работы</v>
      </c>
      <c r="B252" s="66"/>
      <c r="C252" s="66"/>
      <c r="D252" s="66"/>
      <c r="E252" s="66"/>
      <c r="F252" s="66"/>
      <c r="G252" s="66"/>
      <c r="H252" s="66"/>
      <c r="I252" s="66"/>
      <c r="J252" s="66"/>
      <c r="K252" s="66"/>
      <c r="L252" s="66"/>
    </row>
    <row r="253" spans="1:26" ht="14.25" x14ac:dyDescent="0.2">
      <c r="A253" s="45" t="str">
        <f>Source!E116</f>
        <v>25</v>
      </c>
      <c r="B253" s="46" t="str">
        <f>Source!F116</f>
        <v>65-19-1</v>
      </c>
      <c r="C253" s="46" t="str">
        <f>Source!G116</f>
        <v>Демонтаж радиаторов весом до 80 кг</v>
      </c>
      <c r="D253" s="29" t="str">
        <f>Source!H116</f>
        <v>100 ШТ</v>
      </c>
      <c r="E253" s="11">
        <f>Source!I116</f>
        <v>0.2</v>
      </c>
      <c r="F253" s="30">
        <f>Source!AL116+Source!AM116+Source!AO116</f>
        <v>935.72</v>
      </c>
      <c r="G253" s="31"/>
      <c r="H253" s="30"/>
      <c r="I253" s="31" t="str">
        <f>Source!BO116</f>
        <v/>
      </c>
      <c r="J253" s="31"/>
      <c r="K253" s="30"/>
      <c r="L253" s="32"/>
      <c r="S253">
        <f>ROUND((Source!FX116/100)*((ROUND(Source!AF116*Source!I116, 2)+ROUND(Source!AE116*Source!I116, 2))), 2)</f>
        <v>132.6</v>
      </c>
      <c r="T253">
        <f>Source!X116</f>
        <v>865.87</v>
      </c>
      <c r="U253">
        <f>ROUND((Source!FY116/100)*((ROUND(Source!AF116*Source!I116, 2)+ROUND(Source!AE116*Source!I116, 2))), 2)</f>
        <v>89.6</v>
      </c>
      <c r="V253">
        <f>Source!Y116</f>
        <v>585.04999999999995</v>
      </c>
    </row>
    <row r="254" spans="1:26" ht="14.25" x14ac:dyDescent="0.2">
      <c r="A254" s="45"/>
      <c r="B254" s="46"/>
      <c r="C254" s="46" t="s">
        <v>965</v>
      </c>
      <c r="D254" s="29"/>
      <c r="E254" s="11"/>
      <c r="F254" s="30">
        <f>Source!AO116</f>
        <v>865.7</v>
      </c>
      <c r="G254" s="31" t="str">
        <f>Source!DG116</f>
        <v/>
      </c>
      <c r="H254" s="30">
        <f>ROUND(Source!AF116*Source!I116, 2)</f>
        <v>173.14</v>
      </c>
      <c r="I254" s="31"/>
      <c r="J254" s="31">
        <f>IF(Source!BA116&lt;&gt; 0, Source!BA116, 1)</f>
        <v>6.53</v>
      </c>
      <c r="K254" s="30">
        <f>Source!S116</f>
        <v>1130.5999999999999</v>
      </c>
      <c r="L254" s="32"/>
      <c r="R254">
        <f>H254</f>
        <v>173.14</v>
      </c>
    </row>
    <row r="255" spans="1:26" ht="14.25" x14ac:dyDescent="0.2">
      <c r="A255" s="45"/>
      <c r="B255" s="46"/>
      <c r="C255" s="46" t="s">
        <v>284</v>
      </c>
      <c r="D255" s="29"/>
      <c r="E255" s="11"/>
      <c r="F255" s="30">
        <f>Source!AM116</f>
        <v>70.02</v>
      </c>
      <c r="G255" s="31" t="str">
        <f>Source!DE116</f>
        <v/>
      </c>
      <c r="H255" s="30">
        <f>ROUND(Source!AD116*Source!I116, 2)</f>
        <v>14</v>
      </c>
      <c r="I255" s="31"/>
      <c r="J255" s="31">
        <f>IF(Source!BB116&lt;&gt; 0, Source!BB116, 1)</f>
        <v>6.53</v>
      </c>
      <c r="K255" s="30">
        <f>Source!Q116</f>
        <v>91.45</v>
      </c>
      <c r="L255" s="32"/>
    </row>
    <row r="256" spans="1:26" ht="14.25" x14ac:dyDescent="0.2">
      <c r="A256" s="45"/>
      <c r="B256" s="46"/>
      <c r="C256" s="46" t="s">
        <v>971</v>
      </c>
      <c r="D256" s="29"/>
      <c r="E256" s="11"/>
      <c r="F256" s="30">
        <f>Source!AN116</f>
        <v>30.24</v>
      </c>
      <c r="G256" s="31" t="str">
        <f>Source!DF116</f>
        <v/>
      </c>
      <c r="H256" s="40">
        <f>ROUND(Source!AE116*Source!I116, 2)</f>
        <v>6.05</v>
      </c>
      <c r="I256" s="31"/>
      <c r="J256" s="31">
        <f>IF(Source!BS116&lt;&gt; 0, Source!BS116, 1)</f>
        <v>6.53</v>
      </c>
      <c r="K256" s="40">
        <f>Source!R116</f>
        <v>39.49</v>
      </c>
      <c r="L256" s="32"/>
      <c r="R256">
        <f>H256</f>
        <v>6.05</v>
      </c>
    </row>
    <row r="257" spans="1:26" ht="14.25" x14ac:dyDescent="0.2">
      <c r="A257" s="45"/>
      <c r="B257" s="46"/>
      <c r="C257" s="46" t="s">
        <v>966</v>
      </c>
      <c r="D257" s="29" t="s">
        <v>967</v>
      </c>
      <c r="E257" s="11">
        <f>Source!BZ116</f>
        <v>74</v>
      </c>
      <c r="F257" s="49"/>
      <c r="G257" s="31"/>
      <c r="H257" s="30">
        <f>SUM(S253:S259)</f>
        <v>132.6</v>
      </c>
      <c r="I257" s="33"/>
      <c r="J257" s="27">
        <f>Source!AT116</f>
        <v>74</v>
      </c>
      <c r="K257" s="30">
        <f>SUM(T253:T259)</f>
        <v>865.87</v>
      </c>
      <c r="L257" s="32"/>
    </row>
    <row r="258" spans="1:26" ht="14.25" x14ac:dyDescent="0.2">
      <c r="A258" s="45"/>
      <c r="B258" s="46"/>
      <c r="C258" s="46" t="s">
        <v>968</v>
      </c>
      <c r="D258" s="29" t="s">
        <v>967</v>
      </c>
      <c r="E258" s="11">
        <f>Source!CA116</f>
        <v>50</v>
      </c>
      <c r="F258" s="49"/>
      <c r="G258" s="31"/>
      <c r="H258" s="30">
        <f>SUM(U253:U259)</f>
        <v>89.6</v>
      </c>
      <c r="I258" s="33"/>
      <c r="J258" s="27">
        <f>Source!AU116</f>
        <v>50</v>
      </c>
      <c r="K258" s="30">
        <f>SUM(V253:V259)</f>
        <v>585.04999999999995</v>
      </c>
      <c r="L258" s="32"/>
    </row>
    <row r="259" spans="1:26" ht="14.25" x14ac:dyDescent="0.2">
      <c r="A259" s="47"/>
      <c r="B259" s="48"/>
      <c r="C259" s="48" t="s">
        <v>969</v>
      </c>
      <c r="D259" s="34" t="s">
        <v>970</v>
      </c>
      <c r="E259" s="35">
        <f>Source!AQ116</f>
        <v>110</v>
      </c>
      <c r="F259" s="36"/>
      <c r="G259" s="37" t="str">
        <f>Source!DI116</f>
        <v/>
      </c>
      <c r="H259" s="36"/>
      <c r="I259" s="37"/>
      <c r="J259" s="37"/>
      <c r="K259" s="36"/>
      <c r="L259" s="38">
        <f>Source!U116</f>
        <v>22</v>
      </c>
    </row>
    <row r="260" spans="1:26" ht="15" x14ac:dyDescent="0.25">
      <c r="G260" s="65">
        <f>H254+H255+H257+H258</f>
        <v>409.34000000000003</v>
      </c>
      <c r="H260" s="65"/>
      <c r="J260" s="65">
        <f>K254+K255+K257+K258</f>
        <v>2672.9700000000003</v>
      </c>
      <c r="K260" s="65"/>
      <c r="L260" s="39">
        <f>Source!U116</f>
        <v>22</v>
      </c>
      <c r="O260" s="24">
        <f>G260</f>
        <v>409.34000000000003</v>
      </c>
      <c r="P260" s="24">
        <f>J260</f>
        <v>2672.9700000000003</v>
      </c>
      <c r="Q260" s="24">
        <f>L260</f>
        <v>22</v>
      </c>
      <c r="W260">
        <f>IF(Source!BI116&lt;=1,H254+H255+H257+H258, 0)</f>
        <v>409.34000000000003</v>
      </c>
      <c r="X260">
        <f>IF(Source!BI116=2,H254+H255+H257+H258, 0)</f>
        <v>0</v>
      </c>
      <c r="Y260">
        <f>IF(Source!BI116=3,H254+H255+H257+H258, 0)</f>
        <v>0</v>
      </c>
      <c r="Z260">
        <f>IF(Source!BI116=4,H254+H255+H257+H258, 0)</f>
        <v>0</v>
      </c>
    </row>
    <row r="261" spans="1:26" ht="28.5" x14ac:dyDescent="0.2">
      <c r="A261" s="45" t="str">
        <f>Source!E117</f>
        <v>26</v>
      </c>
      <c r="B261" s="46" t="str">
        <f>Source!F117</f>
        <v>18-03-001-02</v>
      </c>
      <c r="C261" s="46" t="str">
        <f>Source!G117</f>
        <v>Установка радиаторов стальных</v>
      </c>
      <c r="D261" s="29" t="str">
        <f>Source!H117</f>
        <v>100 квт</v>
      </c>
      <c r="E261" s="11">
        <f>Source!I117</f>
        <v>0.46079999999999999</v>
      </c>
      <c r="F261" s="30">
        <f>Source!AL117+Source!AM117+Source!AO117</f>
        <v>1942.27</v>
      </c>
      <c r="G261" s="31"/>
      <c r="H261" s="30"/>
      <c r="I261" s="31" t="str">
        <f>Source!BO117</f>
        <v/>
      </c>
      <c r="J261" s="31"/>
      <c r="K261" s="30"/>
      <c r="L261" s="32"/>
      <c r="S261">
        <f>ROUND((Source!FX117/100)*((ROUND(Source!AF117*Source!I117, 2)+ROUND(Source!AE117*Source!I117, 2))), 2)</f>
        <v>332.94</v>
      </c>
      <c r="T261">
        <f>Source!X117</f>
        <v>2170.2800000000002</v>
      </c>
      <c r="U261">
        <f>ROUND((Source!FY117/100)*((ROUND(Source!AF117*Source!I117, 2)+ROUND(Source!AE117*Source!I117, 2))), 2)</f>
        <v>203.9</v>
      </c>
      <c r="V261">
        <f>Source!Y117</f>
        <v>1339.91</v>
      </c>
    </row>
    <row r="262" spans="1:26" ht="14.25" x14ac:dyDescent="0.2">
      <c r="A262" s="45"/>
      <c r="B262" s="46"/>
      <c r="C262" s="46" t="s">
        <v>965</v>
      </c>
      <c r="D262" s="29"/>
      <c r="E262" s="11"/>
      <c r="F262" s="30">
        <f>Source!AO117</f>
        <v>588.42999999999995</v>
      </c>
      <c r="G262" s="31" t="str">
        <f>Source!DG117</f>
        <v/>
      </c>
      <c r="H262" s="30">
        <f>ROUND(Source!AF117*Source!I117, 2)</f>
        <v>271.14999999999998</v>
      </c>
      <c r="I262" s="31"/>
      <c r="J262" s="31">
        <f>IF(Source!BA117&lt;&gt; 0, Source!BA117, 1)</f>
        <v>6.53</v>
      </c>
      <c r="K262" s="30">
        <f>Source!S117</f>
        <v>1770.6</v>
      </c>
      <c r="L262" s="32"/>
      <c r="R262">
        <f>H262</f>
        <v>271.14999999999998</v>
      </c>
    </row>
    <row r="263" spans="1:26" ht="14.25" x14ac:dyDescent="0.2">
      <c r="A263" s="45"/>
      <c r="B263" s="46"/>
      <c r="C263" s="46" t="s">
        <v>284</v>
      </c>
      <c r="D263" s="29"/>
      <c r="E263" s="11"/>
      <c r="F263" s="30">
        <f>Source!AM117</f>
        <v>192.58</v>
      </c>
      <c r="G263" s="31" t="str">
        <f>Source!DE117</f>
        <v/>
      </c>
      <c r="H263" s="30">
        <f>ROUND(Source!AD117*Source!I117, 2)</f>
        <v>88.74</v>
      </c>
      <c r="I263" s="31"/>
      <c r="J263" s="31">
        <f>IF(Source!BB117&lt;&gt; 0, Source!BB117, 1)</f>
        <v>6.53</v>
      </c>
      <c r="K263" s="30">
        <f>Source!Q117</f>
        <v>579.48</v>
      </c>
      <c r="L263" s="32"/>
    </row>
    <row r="264" spans="1:26" ht="14.25" x14ac:dyDescent="0.2">
      <c r="A264" s="45"/>
      <c r="B264" s="46"/>
      <c r="C264" s="46" t="s">
        <v>971</v>
      </c>
      <c r="D264" s="29"/>
      <c r="E264" s="11"/>
      <c r="F264" s="30">
        <f>Source!AN117</f>
        <v>38.75</v>
      </c>
      <c r="G264" s="31" t="str">
        <f>Source!DF117</f>
        <v/>
      </c>
      <c r="H264" s="40">
        <f>ROUND(Source!AE117*Source!I117, 2)</f>
        <v>17.86</v>
      </c>
      <c r="I264" s="31"/>
      <c r="J264" s="31">
        <f>IF(Source!BS117&lt;&gt; 0, Source!BS117, 1)</f>
        <v>6.53</v>
      </c>
      <c r="K264" s="40">
        <f>Source!R117</f>
        <v>116.6</v>
      </c>
      <c r="L264" s="32"/>
      <c r="R264">
        <f>H264</f>
        <v>17.86</v>
      </c>
    </row>
    <row r="265" spans="1:26" ht="14.25" x14ac:dyDescent="0.2">
      <c r="A265" s="45"/>
      <c r="B265" s="46"/>
      <c r="C265" s="46" t="s">
        <v>972</v>
      </c>
      <c r="D265" s="29"/>
      <c r="E265" s="11"/>
      <c r="F265" s="30">
        <f>Source!AL117</f>
        <v>1161.26</v>
      </c>
      <c r="G265" s="31" t="str">
        <f>Source!DD117</f>
        <v/>
      </c>
      <c r="H265" s="30">
        <f>ROUND(Source!AC117*Source!I117, 2)</f>
        <v>535.11</v>
      </c>
      <c r="I265" s="31"/>
      <c r="J265" s="31">
        <f>IF(Source!BC117&lt;&gt; 0, Source!BC117, 1)</f>
        <v>6.53</v>
      </c>
      <c r="K265" s="30">
        <f>Source!P117</f>
        <v>3494.26</v>
      </c>
      <c r="L265" s="32"/>
    </row>
    <row r="266" spans="1:26" ht="14.25" x14ac:dyDescent="0.2">
      <c r="A266" s="45"/>
      <c r="B266" s="46"/>
      <c r="C266" s="46" t="s">
        <v>966</v>
      </c>
      <c r="D266" s="29" t="s">
        <v>967</v>
      </c>
      <c r="E266" s="11">
        <f>Source!BZ117</f>
        <v>128</v>
      </c>
      <c r="F266" s="67" t="str">
        <f>CONCATENATE(" )", Source!DL117, Source!FT117, "=", Source!FX117)</f>
        <v xml:space="preserve"> )*0,9=115,2</v>
      </c>
      <c r="G266" s="68"/>
      <c r="H266" s="30">
        <f>SUM(S261:S270)</f>
        <v>332.94</v>
      </c>
      <c r="I266" s="33"/>
      <c r="J266" s="27">
        <f>Source!AT117</f>
        <v>115</v>
      </c>
      <c r="K266" s="30">
        <f>SUM(T261:T270)</f>
        <v>2170.2800000000002</v>
      </c>
      <c r="L266" s="32"/>
    </row>
    <row r="267" spans="1:26" ht="14.25" x14ac:dyDescent="0.2">
      <c r="A267" s="45"/>
      <c r="B267" s="46"/>
      <c r="C267" s="46" t="s">
        <v>968</v>
      </c>
      <c r="D267" s="29" t="s">
        <v>967</v>
      </c>
      <c r="E267" s="11">
        <f>Source!CA117</f>
        <v>83</v>
      </c>
      <c r="F267" s="67" t="str">
        <f>CONCATENATE(" )", Source!DM117, Source!FU117, "=", Source!FY117)</f>
        <v xml:space="preserve"> )*0,85=70,55</v>
      </c>
      <c r="G267" s="68"/>
      <c r="H267" s="30">
        <f>SUM(U261:U270)</f>
        <v>203.9</v>
      </c>
      <c r="I267" s="33"/>
      <c r="J267" s="27">
        <f>Source!AU117</f>
        <v>71</v>
      </c>
      <c r="K267" s="30">
        <f>SUM(V261:V270)</f>
        <v>1339.91</v>
      </c>
      <c r="L267" s="32"/>
    </row>
    <row r="268" spans="1:26" ht="14.25" x14ac:dyDescent="0.2">
      <c r="A268" s="45"/>
      <c r="B268" s="46"/>
      <c r="C268" s="46" t="s">
        <v>969</v>
      </c>
      <c r="D268" s="29" t="s">
        <v>970</v>
      </c>
      <c r="E268" s="11">
        <f>Source!AQ117</f>
        <v>65.599999999999994</v>
      </c>
      <c r="F268" s="30"/>
      <c r="G268" s="31" t="str">
        <f>Source!DI117</f>
        <v/>
      </c>
      <c r="H268" s="30"/>
      <c r="I268" s="31"/>
      <c r="J268" s="31"/>
      <c r="K268" s="30"/>
      <c r="L268" s="41">
        <f>Source!U117</f>
        <v>30.228479999999998</v>
      </c>
    </row>
    <row r="269" spans="1:26" ht="42.75" x14ac:dyDescent="0.2">
      <c r="A269" s="45" t="str">
        <f>Source!E118</f>
        <v>26,1</v>
      </c>
      <c r="B269" s="46" t="str">
        <f>Source!F118</f>
        <v>18.5.10.05-0009</v>
      </c>
      <c r="C269" s="46" t="str">
        <f>Source!G118</f>
        <v>Радиаторы биметаллические, марка «Rifar-A 500», количество секций 12, мощность 2304 Вт прим.</v>
      </c>
      <c r="D269" s="29" t="str">
        <f>Source!H118</f>
        <v>шт.</v>
      </c>
      <c r="E269" s="11">
        <f>Source!I118</f>
        <v>20</v>
      </c>
      <c r="F269" s="30">
        <f>Source!AL118+Source!AM118+Source!AO118</f>
        <v>1503.69</v>
      </c>
      <c r="G269" s="44" t="s">
        <v>3</v>
      </c>
      <c r="H269" s="30">
        <f>ROUND(Source!AC118*Source!I118, 2)+ROUND(Source!AD118*Source!I118, 2)+ROUND(Source!AF118*Source!I118, 2)</f>
        <v>30073.8</v>
      </c>
      <c r="I269" s="31"/>
      <c r="J269" s="31">
        <f>IF(Source!BC118&lt;&gt; 0, Source!BC118, 1)</f>
        <v>6.53</v>
      </c>
      <c r="K269" s="30">
        <f>Source!O118</f>
        <v>196381.91</v>
      </c>
      <c r="L269" s="32"/>
      <c r="S269">
        <f>ROUND((Source!FX118/100)*((ROUND(Source!AF118*Source!I118, 2)+ROUND(Source!AE118*Source!I118, 2))), 2)</f>
        <v>0</v>
      </c>
      <c r="T269">
        <f>Source!X118</f>
        <v>0</v>
      </c>
      <c r="U269">
        <f>ROUND((Source!FY118/100)*((ROUND(Source!AF118*Source!I118, 2)+ROUND(Source!AE118*Source!I118, 2))), 2)</f>
        <v>0</v>
      </c>
      <c r="V269">
        <f>Source!Y118</f>
        <v>0</v>
      </c>
      <c r="W269">
        <f>IF(Source!BI118&lt;=1,H269, 0)</f>
        <v>30073.8</v>
      </c>
      <c r="X269">
        <f>IF(Source!BI118=2,H269, 0)</f>
        <v>0</v>
      </c>
      <c r="Y269">
        <f>IF(Source!BI118=3,H269, 0)</f>
        <v>0</v>
      </c>
      <c r="Z269">
        <f>IF(Source!BI118=4,H269, 0)</f>
        <v>0</v>
      </c>
    </row>
    <row r="270" spans="1:26" ht="14.25" x14ac:dyDescent="0.2">
      <c r="A270" s="47" t="str">
        <f>Source!E119</f>
        <v>26,2</v>
      </c>
      <c r="B270" s="48" t="str">
        <f>Source!F119</f>
        <v>18.5.10.06</v>
      </c>
      <c r="C270" s="48" t="str">
        <f>Source!G119</f>
        <v>Радиаторы</v>
      </c>
      <c r="D270" s="34" t="str">
        <f>Source!H119</f>
        <v>квт</v>
      </c>
      <c r="E270" s="35">
        <f>Source!I119</f>
        <v>46.08</v>
      </c>
      <c r="F270" s="36">
        <f>Source!AL119+Source!AM119+Source!AO119</f>
        <v>0</v>
      </c>
      <c r="G270" s="42" t="s">
        <v>3</v>
      </c>
      <c r="H270" s="36">
        <f>ROUND(Source!AC119*Source!I119, 2)+ROUND(Source!AD119*Source!I119, 2)+ROUND(Source!AF119*Source!I119, 2)</f>
        <v>0</v>
      </c>
      <c r="I270" s="37"/>
      <c r="J270" s="37">
        <f>IF(Source!BC119&lt;&gt; 0, Source!BC119, 1)</f>
        <v>6.53</v>
      </c>
      <c r="K270" s="36">
        <f>Source!O119</f>
        <v>0</v>
      </c>
      <c r="L270" s="43"/>
      <c r="S270">
        <f>ROUND((Source!FX119/100)*((ROUND(Source!AF119*Source!I119, 2)+ROUND(Source!AE119*Source!I119, 2))), 2)</f>
        <v>0</v>
      </c>
      <c r="T270">
        <f>Source!X119</f>
        <v>0</v>
      </c>
      <c r="U270">
        <f>ROUND((Source!FY119/100)*((ROUND(Source!AF119*Source!I119, 2)+ROUND(Source!AE119*Source!I119, 2))), 2)</f>
        <v>0</v>
      </c>
      <c r="V270">
        <f>Source!Y119</f>
        <v>0</v>
      </c>
      <c r="W270">
        <f>IF(Source!BI119&lt;=1,H270, 0)</f>
        <v>0</v>
      </c>
      <c r="X270">
        <f>IF(Source!BI119=2,H270, 0)</f>
        <v>0</v>
      </c>
      <c r="Y270">
        <f>IF(Source!BI119=3,H270, 0)</f>
        <v>0</v>
      </c>
      <c r="Z270">
        <f>IF(Source!BI119=4,H270, 0)</f>
        <v>0</v>
      </c>
    </row>
    <row r="271" spans="1:26" ht="15" x14ac:dyDescent="0.25">
      <c r="G271" s="65">
        <f>H262+H263+H265+H266+H267+SUM(H269:H270)</f>
        <v>31505.64</v>
      </c>
      <c r="H271" s="65"/>
      <c r="J271" s="65">
        <f>K262+K263+K265+K266+K267+SUM(K269:K270)</f>
        <v>205736.44</v>
      </c>
      <c r="K271" s="65"/>
      <c r="L271" s="39">
        <f>Source!U117</f>
        <v>30.228479999999998</v>
      </c>
      <c r="O271" s="24">
        <f>G271</f>
        <v>31505.64</v>
      </c>
      <c r="P271" s="24">
        <f>J271</f>
        <v>205736.44</v>
      </c>
      <c r="Q271" s="24">
        <f>L271</f>
        <v>30.228479999999998</v>
      </c>
      <c r="W271">
        <f>IF(Source!BI117&lt;=1,H262+H263+H265+H266+H267, 0)</f>
        <v>1431.8400000000001</v>
      </c>
      <c r="X271">
        <f>IF(Source!BI117=2,H262+H263+H265+H266+H267, 0)</f>
        <v>0</v>
      </c>
      <c r="Y271">
        <f>IF(Source!BI117=3,H262+H263+H265+H266+H267, 0)</f>
        <v>0</v>
      </c>
      <c r="Z271">
        <f>IF(Source!BI117=4,H262+H263+H265+H266+H267, 0)</f>
        <v>0</v>
      </c>
    </row>
    <row r="272" spans="1:26" ht="57" x14ac:dyDescent="0.2">
      <c r="A272" s="45" t="str">
        <f>Source!E120</f>
        <v>27</v>
      </c>
      <c r="B272" s="46" t="str">
        <f>Source!F120</f>
        <v>15-04-030-04</v>
      </c>
      <c r="C272" s="46" t="str">
        <f>Source!G120</f>
        <v>Масляная окраска металлических поверхностей решеток, переплетов, труб диаметром менее 50 мм и т.п., количество окрасок 2</v>
      </c>
      <c r="D272" s="29" t="str">
        <f>Source!H120</f>
        <v>100 м2</v>
      </c>
      <c r="E272" s="11">
        <f>Source!I120</f>
        <v>0.06</v>
      </c>
      <c r="F272" s="30">
        <f>Source!AL120+Source!AM120+Source!AO120</f>
        <v>720.44</v>
      </c>
      <c r="G272" s="31"/>
      <c r="H272" s="30"/>
      <c r="I272" s="31" t="str">
        <f>Source!BO120</f>
        <v/>
      </c>
      <c r="J272" s="31"/>
      <c r="K272" s="30"/>
      <c r="L272" s="32"/>
      <c r="S272">
        <f>ROUND((Source!FX120/100)*((ROUND(Source!AF120*Source!I120, 2)+ROUND(Source!AE120*Source!I120, 2))), 2)</f>
        <v>35.729999999999997</v>
      </c>
      <c r="T272">
        <f>Source!X120</f>
        <v>234.52</v>
      </c>
      <c r="U272">
        <f>ROUND((Source!FY120/100)*((ROUND(Source!AF120*Source!I120, 2)+ROUND(Source!AE120*Source!I120, 2))), 2)</f>
        <v>17.68</v>
      </c>
      <c r="V272">
        <f>Source!Y120</f>
        <v>116.02</v>
      </c>
    </row>
    <row r="273" spans="1:26" ht="14.25" x14ac:dyDescent="0.2">
      <c r="A273" s="45"/>
      <c r="B273" s="46"/>
      <c r="C273" s="46" t="s">
        <v>965</v>
      </c>
      <c r="D273" s="29"/>
      <c r="E273" s="11"/>
      <c r="F273" s="30">
        <f>Source!AO120</f>
        <v>629.59</v>
      </c>
      <c r="G273" s="31" t="str">
        <f>Source!DG120</f>
        <v/>
      </c>
      <c r="H273" s="30">
        <f>ROUND(Source!AF120*Source!I120, 2)</f>
        <v>37.78</v>
      </c>
      <c r="I273" s="31"/>
      <c r="J273" s="31">
        <f>IF(Source!BA120&lt;&gt; 0, Source!BA120, 1)</f>
        <v>6.53</v>
      </c>
      <c r="K273" s="30">
        <f>Source!S120</f>
        <v>246.67</v>
      </c>
      <c r="L273" s="32"/>
      <c r="R273">
        <f>H273</f>
        <v>37.78</v>
      </c>
    </row>
    <row r="274" spans="1:26" ht="14.25" x14ac:dyDescent="0.2">
      <c r="A274" s="45"/>
      <c r="B274" s="46"/>
      <c r="C274" s="46" t="s">
        <v>284</v>
      </c>
      <c r="D274" s="29"/>
      <c r="E274" s="11"/>
      <c r="F274" s="30">
        <f>Source!AM120</f>
        <v>2.2799999999999998</v>
      </c>
      <c r="G274" s="31" t="str">
        <f>Source!DE120</f>
        <v/>
      </c>
      <c r="H274" s="30">
        <f>ROUND(Source!AD120*Source!I120, 2)</f>
        <v>0.14000000000000001</v>
      </c>
      <c r="I274" s="31"/>
      <c r="J274" s="31">
        <f>IF(Source!BB120&lt;&gt; 0, Source!BB120, 1)</f>
        <v>6.53</v>
      </c>
      <c r="K274" s="30">
        <f>Source!Q120</f>
        <v>0.89</v>
      </c>
      <c r="L274" s="32"/>
    </row>
    <row r="275" spans="1:26" ht="14.25" x14ac:dyDescent="0.2">
      <c r="A275" s="45"/>
      <c r="B275" s="46"/>
      <c r="C275" s="46" t="s">
        <v>971</v>
      </c>
      <c r="D275" s="29"/>
      <c r="E275" s="11"/>
      <c r="F275" s="30">
        <f>Source!AN120</f>
        <v>0.49</v>
      </c>
      <c r="G275" s="31" t="str">
        <f>Source!DF120</f>
        <v/>
      </c>
      <c r="H275" s="40">
        <f>ROUND(Source!AE120*Source!I120, 2)</f>
        <v>0.03</v>
      </c>
      <c r="I275" s="31"/>
      <c r="J275" s="31">
        <f>IF(Source!BS120&lt;&gt; 0, Source!BS120, 1)</f>
        <v>6.53</v>
      </c>
      <c r="K275" s="40">
        <f>Source!R120</f>
        <v>0.19</v>
      </c>
      <c r="L275" s="32"/>
      <c r="R275">
        <f>H275</f>
        <v>0.03</v>
      </c>
    </row>
    <row r="276" spans="1:26" ht="14.25" x14ac:dyDescent="0.2">
      <c r="A276" s="45"/>
      <c r="B276" s="46"/>
      <c r="C276" s="46" t="s">
        <v>972</v>
      </c>
      <c r="D276" s="29"/>
      <c r="E276" s="11"/>
      <c r="F276" s="30">
        <f>Source!AL120</f>
        <v>88.57</v>
      </c>
      <c r="G276" s="31" t="str">
        <f>Source!DD120</f>
        <v/>
      </c>
      <c r="H276" s="30">
        <f>ROUND(Source!AC120*Source!I120, 2)</f>
        <v>5.31</v>
      </c>
      <c r="I276" s="31"/>
      <c r="J276" s="31">
        <f>IF(Source!BC120&lt;&gt; 0, Source!BC120, 1)</f>
        <v>6.53</v>
      </c>
      <c r="K276" s="30">
        <f>Source!P120</f>
        <v>34.700000000000003</v>
      </c>
      <c r="L276" s="32"/>
    </row>
    <row r="277" spans="1:26" ht="14.25" x14ac:dyDescent="0.2">
      <c r="A277" s="45"/>
      <c r="B277" s="46"/>
      <c r="C277" s="46" t="s">
        <v>966</v>
      </c>
      <c r="D277" s="29" t="s">
        <v>967</v>
      </c>
      <c r="E277" s="11">
        <f>Source!BZ120</f>
        <v>105</v>
      </c>
      <c r="F277" s="67" t="str">
        <f>CONCATENATE(" )", Source!DL120, Source!FT120, "=", Source!FX120)</f>
        <v xml:space="preserve"> )*0,9=94,5</v>
      </c>
      <c r="G277" s="68"/>
      <c r="H277" s="30">
        <f>SUM(S272:S281)</f>
        <v>35.729999999999997</v>
      </c>
      <c r="I277" s="33"/>
      <c r="J277" s="27">
        <f>Source!AT120</f>
        <v>95</v>
      </c>
      <c r="K277" s="30">
        <f>SUM(T272:T281)</f>
        <v>234.52</v>
      </c>
      <c r="L277" s="32"/>
    </row>
    <row r="278" spans="1:26" ht="14.25" x14ac:dyDescent="0.2">
      <c r="A278" s="45"/>
      <c r="B278" s="46"/>
      <c r="C278" s="46" t="s">
        <v>968</v>
      </c>
      <c r="D278" s="29" t="s">
        <v>967</v>
      </c>
      <c r="E278" s="11">
        <f>Source!CA120</f>
        <v>55</v>
      </c>
      <c r="F278" s="67" t="str">
        <f>CONCATENATE(" )", Source!DM120, Source!FU120, "=", Source!FY120)</f>
        <v xml:space="preserve"> )*0,85=46,75</v>
      </c>
      <c r="G278" s="68"/>
      <c r="H278" s="30">
        <f>SUM(U272:U281)</f>
        <v>17.68</v>
      </c>
      <c r="I278" s="33"/>
      <c r="J278" s="27">
        <f>Source!AU120</f>
        <v>47</v>
      </c>
      <c r="K278" s="30">
        <f>SUM(V272:V281)</f>
        <v>116.02</v>
      </c>
      <c r="L278" s="32"/>
    </row>
    <row r="279" spans="1:26" ht="14.25" x14ac:dyDescent="0.2">
      <c r="A279" s="45"/>
      <c r="B279" s="46"/>
      <c r="C279" s="46" t="s">
        <v>969</v>
      </c>
      <c r="D279" s="29" t="s">
        <v>970</v>
      </c>
      <c r="E279" s="11">
        <f>Source!AQ120</f>
        <v>71.06</v>
      </c>
      <c r="F279" s="30"/>
      <c r="G279" s="31" t="str">
        <f>Source!DI120</f>
        <v/>
      </c>
      <c r="H279" s="30"/>
      <c r="I279" s="31"/>
      <c r="J279" s="31"/>
      <c r="K279" s="30"/>
      <c r="L279" s="41">
        <f>Source!U120</f>
        <v>4.2636000000000003</v>
      </c>
    </row>
    <row r="280" spans="1:26" ht="28.5" x14ac:dyDescent="0.2">
      <c r="A280" s="45" t="str">
        <f>Source!E121</f>
        <v>27,1</v>
      </c>
      <c r="B280" s="46" t="str">
        <f>Source!F121</f>
        <v>14.4.02.04</v>
      </c>
      <c r="C280" s="46" t="str">
        <f>Source!G121</f>
        <v>Краски для внутренних работ масляные готовые к применению</v>
      </c>
      <c r="D280" s="29" t="str">
        <f>Source!H121</f>
        <v>т</v>
      </c>
      <c r="E280" s="11">
        <f>Source!I121</f>
        <v>1.4760000000000001E-3</v>
      </c>
      <c r="F280" s="30">
        <f>Source!AL121+Source!AM121+Source!AO121</f>
        <v>0</v>
      </c>
      <c r="G280" s="44" t="s">
        <v>3</v>
      </c>
      <c r="H280" s="30">
        <f>ROUND(Source!AC121*Source!I121, 2)+ROUND(Source!AD121*Source!I121, 2)+ROUND(Source!AF121*Source!I121, 2)</f>
        <v>0</v>
      </c>
      <c r="I280" s="31"/>
      <c r="J280" s="31">
        <f>IF(Source!BC121&lt;&gt; 0, Source!BC121, 1)</f>
        <v>6.53</v>
      </c>
      <c r="K280" s="30">
        <f>Source!O121</f>
        <v>0</v>
      </c>
      <c r="L280" s="32"/>
      <c r="S280">
        <f>ROUND((Source!FX121/100)*((ROUND(Source!AF121*Source!I121, 2)+ROUND(Source!AE121*Source!I121, 2))), 2)</f>
        <v>0</v>
      </c>
      <c r="T280">
        <f>Source!X121</f>
        <v>0</v>
      </c>
      <c r="U280">
        <f>ROUND((Source!FY121/100)*((ROUND(Source!AF121*Source!I121, 2)+ROUND(Source!AE121*Source!I121, 2))), 2)</f>
        <v>0</v>
      </c>
      <c r="V280">
        <f>Source!Y121</f>
        <v>0</v>
      </c>
      <c r="W280">
        <f>IF(Source!BI121&lt;=1,H280, 0)</f>
        <v>0</v>
      </c>
      <c r="X280">
        <f>IF(Source!BI121=2,H280, 0)</f>
        <v>0</v>
      </c>
      <c r="Y280">
        <f>IF(Source!BI121=3,H280, 0)</f>
        <v>0</v>
      </c>
      <c r="Z280">
        <f>IF(Source!BI121=4,H280, 0)</f>
        <v>0</v>
      </c>
    </row>
    <row r="281" spans="1:26" ht="42.75" x14ac:dyDescent="0.2">
      <c r="A281" s="47" t="str">
        <f>Source!E122</f>
        <v>27,2</v>
      </c>
      <c r="B281" s="48" t="str">
        <f>Source!F122</f>
        <v>14.4.02.04-0101</v>
      </c>
      <c r="C281" s="48" t="str">
        <f>Source!G122</f>
        <v>Краски для внутренних работ масляные готовые к применению МА-15 БИО</v>
      </c>
      <c r="D281" s="34" t="str">
        <f>Source!H122</f>
        <v>т</v>
      </c>
      <c r="E281" s="35">
        <f>Source!I122</f>
        <v>1.4760000000000001E-3</v>
      </c>
      <c r="F281" s="36">
        <f>Source!AL122+Source!AM122+Source!AO122</f>
        <v>42508.19</v>
      </c>
      <c r="G281" s="42" t="s">
        <v>3</v>
      </c>
      <c r="H281" s="36">
        <f>ROUND(Source!AC122*Source!I122, 2)+ROUND(Source!AD122*Source!I122, 2)+ROUND(Source!AF122*Source!I122, 2)</f>
        <v>62.74</v>
      </c>
      <c r="I281" s="37"/>
      <c r="J281" s="37">
        <f>IF(Source!BC122&lt;&gt; 0, Source!BC122, 1)</f>
        <v>6.53</v>
      </c>
      <c r="K281" s="36">
        <f>Source!O122</f>
        <v>409.71</v>
      </c>
      <c r="L281" s="43"/>
      <c r="S281">
        <f>ROUND((Source!FX122/100)*((ROUND(Source!AF122*Source!I122, 2)+ROUND(Source!AE122*Source!I122, 2))), 2)</f>
        <v>0</v>
      </c>
      <c r="T281">
        <f>Source!X122</f>
        <v>0</v>
      </c>
      <c r="U281">
        <f>ROUND((Source!FY122/100)*((ROUND(Source!AF122*Source!I122, 2)+ROUND(Source!AE122*Source!I122, 2))), 2)</f>
        <v>0</v>
      </c>
      <c r="V281">
        <f>Source!Y122</f>
        <v>0</v>
      </c>
      <c r="W281">
        <f>IF(Source!BI122&lt;=1,H281, 0)</f>
        <v>62.74</v>
      </c>
      <c r="X281">
        <f>IF(Source!BI122=2,H281, 0)</f>
        <v>0</v>
      </c>
      <c r="Y281">
        <f>IF(Source!BI122=3,H281, 0)</f>
        <v>0</v>
      </c>
      <c r="Z281">
        <f>IF(Source!BI122=4,H281, 0)</f>
        <v>0</v>
      </c>
    </row>
    <row r="282" spans="1:26" ht="15" x14ac:dyDescent="0.25">
      <c r="G282" s="65">
        <f>H273+H274+H276+H277+H278+SUM(H280:H281)</f>
        <v>159.38000000000002</v>
      </c>
      <c r="H282" s="65"/>
      <c r="J282" s="65">
        <f>K273+K274+K276+K277+K278+SUM(K280:K281)</f>
        <v>1042.51</v>
      </c>
      <c r="K282" s="65"/>
      <c r="L282" s="39">
        <f>Source!U120</f>
        <v>4.2636000000000003</v>
      </c>
      <c r="O282" s="24">
        <f>G282</f>
        <v>159.38000000000002</v>
      </c>
      <c r="P282" s="24">
        <f>J282</f>
        <v>1042.51</v>
      </c>
      <c r="Q282" s="24">
        <f>L282</f>
        <v>4.2636000000000003</v>
      </c>
      <c r="W282">
        <f>IF(Source!BI120&lt;=1,H273+H274+H276+H277+H278, 0)</f>
        <v>96.640000000000015</v>
      </c>
      <c r="X282">
        <f>IF(Source!BI120=2,H273+H274+H276+H277+H278, 0)</f>
        <v>0</v>
      </c>
      <c r="Y282">
        <f>IF(Source!BI120=3,H273+H274+H276+H277+H278, 0)</f>
        <v>0</v>
      </c>
      <c r="Z282">
        <f>IF(Source!BI120=4,H273+H274+H276+H277+H278, 0)</f>
        <v>0</v>
      </c>
    </row>
    <row r="283" spans="1:26" ht="57" x14ac:dyDescent="0.2">
      <c r="A283" s="45" t="str">
        <f>Source!E123</f>
        <v>28</v>
      </c>
      <c r="B283" s="46" t="str">
        <f>Source!F123</f>
        <v>16-05-001-01</v>
      </c>
      <c r="C283" s="46" t="str">
        <f>Source!G123</f>
        <v>Установка вентилей, задвижек, затворов, клапанов обратных, кранов проходных на трубопроводах из стальных труб диаметром до 25 мм</v>
      </c>
      <c r="D283" s="29" t="str">
        <f>Source!H123</f>
        <v>ШТ</v>
      </c>
      <c r="E283" s="11">
        <f>Source!I123</f>
        <v>40</v>
      </c>
      <c r="F283" s="30">
        <f>Source!AL123+Source!AM123+Source!AO123</f>
        <v>42.04</v>
      </c>
      <c r="G283" s="31"/>
      <c r="H283" s="30"/>
      <c r="I283" s="31" t="str">
        <f>Source!BO123</f>
        <v/>
      </c>
      <c r="J283" s="31"/>
      <c r="K283" s="30"/>
      <c r="L283" s="32"/>
      <c r="S283">
        <f>ROUND((Source!FX123/100)*((ROUND(Source!AF123*Source!I123, 2)+ROUND(Source!AE123*Source!I123, 2))), 2)</f>
        <v>619.78</v>
      </c>
      <c r="T283">
        <f>Source!X123</f>
        <v>4040.11</v>
      </c>
      <c r="U283">
        <f>ROUND((Source!FY123/100)*((ROUND(Source!AF123*Source!I123, 2)+ROUND(Source!AE123*Source!I123, 2))), 2)</f>
        <v>379.56</v>
      </c>
      <c r="V283">
        <f>Source!Y123</f>
        <v>2494.33</v>
      </c>
    </row>
    <row r="284" spans="1:26" ht="14.25" x14ac:dyDescent="0.2">
      <c r="A284" s="45"/>
      <c r="B284" s="46"/>
      <c r="C284" s="46" t="s">
        <v>965</v>
      </c>
      <c r="D284" s="29"/>
      <c r="E284" s="11"/>
      <c r="F284" s="30">
        <f>Source!AO123</f>
        <v>13.33</v>
      </c>
      <c r="G284" s="31" t="str">
        <f>Source!DG123</f>
        <v/>
      </c>
      <c r="H284" s="30">
        <f>ROUND(Source!AF123*Source!I123, 2)</f>
        <v>533.20000000000005</v>
      </c>
      <c r="I284" s="31"/>
      <c r="J284" s="31">
        <f>IF(Source!BA123&lt;&gt; 0, Source!BA123, 1)</f>
        <v>6.53</v>
      </c>
      <c r="K284" s="30">
        <f>Source!S123</f>
        <v>3481.8</v>
      </c>
      <c r="L284" s="32"/>
      <c r="R284">
        <f>H284</f>
        <v>533.20000000000005</v>
      </c>
    </row>
    <row r="285" spans="1:26" ht="14.25" x14ac:dyDescent="0.2">
      <c r="A285" s="45"/>
      <c r="B285" s="46"/>
      <c r="C285" s="46" t="s">
        <v>284</v>
      </c>
      <c r="D285" s="29"/>
      <c r="E285" s="11"/>
      <c r="F285" s="30">
        <f>Source!AM123</f>
        <v>3.5</v>
      </c>
      <c r="G285" s="31" t="str">
        <f>Source!DE123</f>
        <v/>
      </c>
      <c r="H285" s="30">
        <f>ROUND(Source!AD123*Source!I123, 2)</f>
        <v>140</v>
      </c>
      <c r="I285" s="31"/>
      <c r="J285" s="31">
        <f>IF(Source!BB123&lt;&gt; 0, Source!BB123, 1)</f>
        <v>6.53</v>
      </c>
      <c r="K285" s="30">
        <f>Source!Q123</f>
        <v>914.2</v>
      </c>
      <c r="L285" s="32"/>
    </row>
    <row r="286" spans="1:26" ht="14.25" x14ac:dyDescent="0.2">
      <c r="A286" s="45"/>
      <c r="B286" s="46"/>
      <c r="C286" s="46" t="s">
        <v>971</v>
      </c>
      <c r="D286" s="29"/>
      <c r="E286" s="11"/>
      <c r="F286" s="30">
        <f>Source!AN123</f>
        <v>0.12</v>
      </c>
      <c r="G286" s="31" t="str">
        <f>Source!DF123</f>
        <v/>
      </c>
      <c r="H286" s="40">
        <f>ROUND(Source!AE123*Source!I123, 2)</f>
        <v>4.8</v>
      </c>
      <c r="I286" s="31"/>
      <c r="J286" s="31">
        <f>IF(Source!BS123&lt;&gt; 0, Source!BS123, 1)</f>
        <v>6.53</v>
      </c>
      <c r="K286" s="40">
        <f>Source!R123</f>
        <v>31.34</v>
      </c>
      <c r="L286" s="32"/>
      <c r="R286">
        <f>H286</f>
        <v>4.8</v>
      </c>
    </row>
    <row r="287" spans="1:26" ht="14.25" x14ac:dyDescent="0.2">
      <c r="A287" s="45"/>
      <c r="B287" s="46"/>
      <c r="C287" s="46" t="s">
        <v>972</v>
      </c>
      <c r="D287" s="29"/>
      <c r="E287" s="11"/>
      <c r="F287" s="30">
        <f>Source!AL123</f>
        <v>25.21</v>
      </c>
      <c r="G287" s="31" t="str">
        <f>Source!DD123</f>
        <v/>
      </c>
      <c r="H287" s="30">
        <f>ROUND(Source!AC123*Source!I123, 2)</f>
        <v>1008.4</v>
      </c>
      <c r="I287" s="31"/>
      <c r="J287" s="31">
        <f>IF(Source!BC123&lt;&gt; 0, Source!BC123, 1)</f>
        <v>6.53</v>
      </c>
      <c r="K287" s="30">
        <f>Source!P123</f>
        <v>6584.85</v>
      </c>
      <c r="L287" s="32"/>
    </row>
    <row r="288" spans="1:26" ht="14.25" x14ac:dyDescent="0.2">
      <c r="A288" s="45"/>
      <c r="B288" s="46"/>
      <c r="C288" s="46" t="s">
        <v>966</v>
      </c>
      <c r="D288" s="29" t="s">
        <v>967</v>
      </c>
      <c r="E288" s="11">
        <f>Source!BZ123</f>
        <v>128</v>
      </c>
      <c r="F288" s="67" t="str">
        <f>CONCATENATE(" )", Source!DL123, Source!FT123, "=", Source!FX123)</f>
        <v xml:space="preserve"> )*0,9=115,2</v>
      </c>
      <c r="G288" s="68"/>
      <c r="H288" s="30">
        <f>SUM(S283:S291)</f>
        <v>619.78</v>
      </c>
      <c r="I288" s="33"/>
      <c r="J288" s="27">
        <f>Source!AT123</f>
        <v>115</v>
      </c>
      <c r="K288" s="30">
        <f>SUM(T283:T291)</f>
        <v>4040.11</v>
      </c>
      <c r="L288" s="32"/>
    </row>
    <row r="289" spans="1:26" ht="14.25" x14ac:dyDescent="0.2">
      <c r="A289" s="45"/>
      <c r="B289" s="46"/>
      <c r="C289" s="46" t="s">
        <v>968</v>
      </c>
      <c r="D289" s="29" t="s">
        <v>967</v>
      </c>
      <c r="E289" s="11">
        <f>Source!CA123</f>
        <v>83</v>
      </c>
      <c r="F289" s="67" t="str">
        <f>CONCATENATE(" )", Source!DM123, Source!FU123, "=", Source!FY123)</f>
        <v xml:space="preserve"> )*0,85=70,55</v>
      </c>
      <c r="G289" s="68"/>
      <c r="H289" s="30">
        <f>SUM(U283:U291)</f>
        <v>379.56</v>
      </c>
      <c r="I289" s="33"/>
      <c r="J289" s="27">
        <f>Source!AU123</f>
        <v>71</v>
      </c>
      <c r="K289" s="30">
        <f>SUM(V283:V291)</f>
        <v>2494.33</v>
      </c>
      <c r="L289" s="32"/>
    </row>
    <row r="290" spans="1:26" ht="14.25" x14ac:dyDescent="0.2">
      <c r="A290" s="45"/>
      <c r="B290" s="46"/>
      <c r="C290" s="46" t="s">
        <v>969</v>
      </c>
      <c r="D290" s="29" t="s">
        <v>970</v>
      </c>
      <c r="E290" s="11">
        <f>Source!AQ123</f>
        <v>1.47</v>
      </c>
      <c r="F290" s="30"/>
      <c r="G290" s="31" t="str">
        <f>Source!DI123</f>
        <v/>
      </c>
      <c r="H290" s="30"/>
      <c r="I290" s="31"/>
      <c r="J290" s="31"/>
      <c r="K290" s="30"/>
      <c r="L290" s="41">
        <f>Source!U123</f>
        <v>58.8</v>
      </c>
    </row>
    <row r="291" spans="1:26" ht="28.5" x14ac:dyDescent="0.2">
      <c r="A291" s="47" t="str">
        <f>Source!E124</f>
        <v>28,1</v>
      </c>
      <c r="B291" s="48" t="str">
        <f>Source!F124</f>
        <v>18.1.09.06-0067</v>
      </c>
      <c r="C291" s="48" t="str">
        <f>Source!G124</f>
        <v>Кран шаровый муфтовый Valtec для воды диаметром 20 мм со сгоном</v>
      </c>
      <c r="D291" s="34" t="str">
        <f>Source!H124</f>
        <v>шт.</v>
      </c>
      <c r="E291" s="35">
        <f>Source!I124</f>
        <v>40</v>
      </c>
      <c r="F291" s="36">
        <f>Source!AL124+Source!AM124+Source!AO124</f>
        <v>54.73</v>
      </c>
      <c r="G291" s="42" t="s">
        <v>3</v>
      </c>
      <c r="H291" s="36">
        <f>ROUND(Source!AC124*Source!I124, 2)+ROUND(Source!AD124*Source!I124, 2)+ROUND(Source!AF124*Source!I124, 2)</f>
        <v>2189.1999999999998</v>
      </c>
      <c r="I291" s="37"/>
      <c r="J291" s="37">
        <f>IF(Source!BC124&lt;&gt; 0, Source!BC124, 1)</f>
        <v>6.53</v>
      </c>
      <c r="K291" s="36">
        <f>Source!O124</f>
        <v>14295.48</v>
      </c>
      <c r="L291" s="43"/>
      <c r="S291">
        <f>ROUND((Source!FX124/100)*((ROUND(Source!AF124*Source!I124, 2)+ROUND(Source!AE124*Source!I124, 2))), 2)</f>
        <v>0</v>
      </c>
      <c r="T291">
        <f>Source!X124</f>
        <v>0</v>
      </c>
      <c r="U291">
        <f>ROUND((Source!FY124/100)*((ROUND(Source!AF124*Source!I124, 2)+ROUND(Source!AE124*Source!I124, 2))), 2)</f>
        <v>0</v>
      </c>
      <c r="V291">
        <f>Source!Y124</f>
        <v>0</v>
      </c>
      <c r="W291">
        <f>IF(Source!BI124&lt;=1,H291, 0)</f>
        <v>2189.1999999999998</v>
      </c>
      <c r="X291">
        <f>IF(Source!BI124=2,H291, 0)</f>
        <v>0</v>
      </c>
      <c r="Y291">
        <f>IF(Source!BI124=3,H291, 0)</f>
        <v>0</v>
      </c>
      <c r="Z291">
        <f>IF(Source!BI124=4,H291, 0)</f>
        <v>0</v>
      </c>
    </row>
    <row r="292" spans="1:26" ht="15" x14ac:dyDescent="0.25">
      <c r="G292" s="65">
        <f>H284+H285+H287+H288+H289+SUM(H291:H291)</f>
        <v>4870.1399999999994</v>
      </c>
      <c r="H292" s="65"/>
      <c r="J292" s="65">
        <f>K284+K285+K287+K288+K289+SUM(K291:K291)</f>
        <v>31810.77</v>
      </c>
      <c r="K292" s="65"/>
      <c r="L292" s="39">
        <f>Source!U123</f>
        <v>58.8</v>
      </c>
      <c r="O292" s="24">
        <f>G292</f>
        <v>4870.1399999999994</v>
      </c>
      <c r="P292" s="24">
        <f>J292</f>
        <v>31810.77</v>
      </c>
      <c r="Q292" s="24">
        <f>L292</f>
        <v>58.8</v>
      </c>
      <c r="W292">
        <f>IF(Source!BI123&lt;=1,H284+H285+H287+H288+H289, 0)</f>
        <v>2680.94</v>
      </c>
      <c r="X292">
        <f>IF(Source!BI123=2,H284+H285+H287+H288+H289, 0)</f>
        <v>0</v>
      </c>
      <c r="Y292">
        <f>IF(Source!BI123=3,H284+H285+H287+H288+H289, 0)</f>
        <v>0</v>
      </c>
      <c r="Z292">
        <f>IF(Source!BI123=4,H284+H285+H287+H288+H289, 0)</f>
        <v>0</v>
      </c>
    </row>
    <row r="293" spans="1:26" ht="28.5" x14ac:dyDescent="0.2">
      <c r="A293" s="45" t="str">
        <f>Source!E125</f>
        <v>29</v>
      </c>
      <c r="B293" s="46" t="str">
        <f>Source!F125</f>
        <v>65-24-1</v>
      </c>
      <c r="C293" s="46" t="str">
        <f>Source!G125</f>
        <v>Проверка на прогрев отопительных приборов с регулировкой</v>
      </c>
      <c r="D293" s="29" t="str">
        <f>Source!H125</f>
        <v>100 ШТ</v>
      </c>
      <c r="E293" s="11">
        <f>Source!I125</f>
        <v>0.2</v>
      </c>
      <c r="F293" s="30">
        <f>Source!AL125+Source!AM125+Source!AO125</f>
        <v>134.18</v>
      </c>
      <c r="G293" s="31"/>
      <c r="H293" s="30"/>
      <c r="I293" s="31" t="str">
        <f>Source!BO125</f>
        <v/>
      </c>
      <c r="J293" s="31"/>
      <c r="K293" s="30"/>
      <c r="L293" s="32"/>
      <c r="S293">
        <f>ROUND((Source!FX125/100)*((ROUND(Source!AF125*Source!I125, 2)+ROUND(Source!AE125*Source!I125, 2))), 2)</f>
        <v>19.86</v>
      </c>
      <c r="T293">
        <f>Source!X125</f>
        <v>129.68</v>
      </c>
      <c r="U293">
        <f>ROUND((Source!FY125/100)*((ROUND(Source!AF125*Source!I125, 2)+ROUND(Source!AE125*Source!I125, 2))), 2)</f>
        <v>13.42</v>
      </c>
      <c r="V293">
        <f>Source!Y125</f>
        <v>87.62</v>
      </c>
    </row>
    <row r="294" spans="1:26" x14ac:dyDescent="0.2">
      <c r="C294" s="25" t="str">
        <f>"Объем: "&amp;Source!I125&amp;"=20/"&amp;"100"</f>
        <v>Объем: 0,2=20/100</v>
      </c>
    </row>
    <row r="295" spans="1:26" ht="14.25" x14ac:dyDescent="0.2">
      <c r="A295" s="45"/>
      <c r="B295" s="46"/>
      <c r="C295" s="46" t="s">
        <v>965</v>
      </c>
      <c r="D295" s="29"/>
      <c r="E295" s="11"/>
      <c r="F295" s="30">
        <f>Source!AO125</f>
        <v>134.18</v>
      </c>
      <c r="G295" s="31" t="str">
        <f>Source!DG125</f>
        <v/>
      </c>
      <c r="H295" s="30">
        <f>ROUND(Source!AF125*Source!I125, 2)</f>
        <v>26.84</v>
      </c>
      <c r="I295" s="31"/>
      <c r="J295" s="31">
        <f>IF(Source!BA125&lt;&gt; 0, Source!BA125, 1)</f>
        <v>6.53</v>
      </c>
      <c r="K295" s="30">
        <f>Source!S125</f>
        <v>175.24</v>
      </c>
      <c r="L295" s="32"/>
      <c r="R295">
        <f>H295</f>
        <v>26.84</v>
      </c>
    </row>
    <row r="296" spans="1:26" ht="14.25" x14ac:dyDescent="0.2">
      <c r="A296" s="45"/>
      <c r="B296" s="46"/>
      <c r="C296" s="46" t="s">
        <v>966</v>
      </c>
      <c r="D296" s="29" t="s">
        <v>967</v>
      </c>
      <c r="E296" s="11">
        <f>Source!BZ125</f>
        <v>74</v>
      </c>
      <c r="F296" s="49"/>
      <c r="G296" s="31"/>
      <c r="H296" s="30">
        <f>SUM(S293:S298)</f>
        <v>19.86</v>
      </c>
      <c r="I296" s="33"/>
      <c r="J296" s="27">
        <f>Source!AT125</f>
        <v>74</v>
      </c>
      <c r="K296" s="30">
        <f>SUM(T293:T298)</f>
        <v>129.68</v>
      </c>
      <c r="L296" s="32"/>
    </row>
    <row r="297" spans="1:26" ht="14.25" x14ac:dyDescent="0.2">
      <c r="A297" s="45"/>
      <c r="B297" s="46"/>
      <c r="C297" s="46" t="s">
        <v>968</v>
      </c>
      <c r="D297" s="29" t="s">
        <v>967</v>
      </c>
      <c r="E297" s="11">
        <f>Source!CA125</f>
        <v>50</v>
      </c>
      <c r="F297" s="49"/>
      <c r="G297" s="31"/>
      <c r="H297" s="30">
        <f>SUM(U293:U298)</f>
        <v>13.42</v>
      </c>
      <c r="I297" s="33"/>
      <c r="J297" s="27">
        <f>Source!AU125</f>
        <v>50</v>
      </c>
      <c r="K297" s="30">
        <f>SUM(V293:V298)</f>
        <v>87.62</v>
      </c>
      <c r="L297" s="32"/>
    </row>
    <row r="298" spans="1:26" ht="14.25" x14ac:dyDescent="0.2">
      <c r="A298" s="47"/>
      <c r="B298" s="48"/>
      <c r="C298" s="48" t="s">
        <v>969</v>
      </c>
      <c r="D298" s="34" t="s">
        <v>970</v>
      </c>
      <c r="E298" s="35">
        <f>Source!AQ125</f>
        <v>15.73</v>
      </c>
      <c r="F298" s="36"/>
      <c r="G298" s="37" t="str">
        <f>Source!DI125</f>
        <v/>
      </c>
      <c r="H298" s="36"/>
      <c r="I298" s="37"/>
      <c r="J298" s="37"/>
      <c r="K298" s="36"/>
      <c r="L298" s="38">
        <f>Source!U125</f>
        <v>3.1460000000000004</v>
      </c>
    </row>
    <row r="299" spans="1:26" ht="15" x14ac:dyDescent="0.25">
      <c r="G299" s="65">
        <f>H295+H296+H297</f>
        <v>60.120000000000005</v>
      </c>
      <c r="H299" s="65"/>
      <c r="J299" s="65">
        <f>K295+K296+K297</f>
        <v>392.54</v>
      </c>
      <c r="K299" s="65"/>
      <c r="L299" s="39">
        <f>Source!U125</f>
        <v>3.1460000000000004</v>
      </c>
      <c r="O299" s="24">
        <f>G299</f>
        <v>60.120000000000005</v>
      </c>
      <c r="P299" s="24">
        <f>J299</f>
        <v>392.54</v>
      </c>
      <c r="Q299" s="24">
        <f>L299</f>
        <v>3.1460000000000004</v>
      </c>
      <c r="W299">
        <f>IF(Source!BI125&lt;=1,H295+H296+H297, 0)</f>
        <v>60.120000000000005</v>
      </c>
      <c r="X299">
        <f>IF(Source!BI125=2,H295+H296+H297, 0)</f>
        <v>0</v>
      </c>
      <c r="Y299">
        <f>IF(Source!BI125=3,H295+H296+H297, 0)</f>
        <v>0</v>
      </c>
      <c r="Z299">
        <f>IF(Source!BI125=4,H295+H296+H297, 0)</f>
        <v>0</v>
      </c>
    </row>
    <row r="301" spans="1:26" ht="15" x14ac:dyDescent="0.25">
      <c r="A301" s="64" t="str">
        <f>CONCATENATE("Итого по разделу: ",IF(Source!G127&lt;&gt;"Новый раздел", Source!G127, ""))</f>
        <v>Итого по разделу: 2 Сантехнические работы</v>
      </c>
      <c r="B301" s="64"/>
      <c r="C301" s="64"/>
      <c r="D301" s="64"/>
      <c r="E301" s="64"/>
      <c r="F301" s="64"/>
      <c r="G301" s="63">
        <f>SUM(O252:O300)</f>
        <v>37004.620000000003</v>
      </c>
      <c r="H301" s="63"/>
      <c r="I301" s="26"/>
      <c r="J301" s="63">
        <f>SUM(P252:P300)</f>
        <v>241655.23</v>
      </c>
      <c r="K301" s="63"/>
      <c r="L301" s="39">
        <f>SUM(Q252:Q300)</f>
        <v>118.43808</v>
      </c>
    </row>
    <row r="305" spans="1:26" ht="16.5" x14ac:dyDescent="0.25">
      <c r="A305" s="66" t="str">
        <f>CONCATENATE("Раздел: ",IF(Source!G156&lt;&gt;"Новый раздел", Source!G156, ""))</f>
        <v>Раздел: 3 Электромонтажные работы</v>
      </c>
      <c r="B305" s="66"/>
      <c r="C305" s="66"/>
      <c r="D305" s="66"/>
      <c r="E305" s="66"/>
      <c r="F305" s="66"/>
      <c r="G305" s="66"/>
      <c r="H305" s="66"/>
      <c r="I305" s="66"/>
      <c r="J305" s="66"/>
      <c r="K305" s="66"/>
      <c r="L305" s="66"/>
    </row>
    <row r="306" spans="1:26" ht="14.25" x14ac:dyDescent="0.2">
      <c r="A306" s="45" t="str">
        <f>Source!E160</f>
        <v>30</v>
      </c>
      <c r="B306" s="46" t="str">
        <f>Source!F160</f>
        <v>67-3-1</v>
      </c>
      <c r="C306" s="46" t="str">
        <f>Source!G160</f>
        <v>Демонтаж кабеля</v>
      </c>
      <c r="D306" s="29" t="str">
        <f>Source!H160</f>
        <v>100 м</v>
      </c>
      <c r="E306" s="11">
        <f>Source!I160</f>
        <v>0.18</v>
      </c>
      <c r="F306" s="30">
        <f>Source!AL160+Source!AM160+Source!AO160</f>
        <v>75.5</v>
      </c>
      <c r="G306" s="31"/>
      <c r="H306" s="30"/>
      <c r="I306" s="31" t="str">
        <f>Source!BO160</f>
        <v/>
      </c>
      <c r="J306" s="31"/>
      <c r="K306" s="30"/>
      <c r="L306" s="32"/>
      <c r="S306">
        <f>ROUND((Source!FX160/100)*((ROUND(Source!AF160*Source!I160, 2)+ROUND(Source!AE160*Source!I160, 2))), 2)</f>
        <v>11.53</v>
      </c>
      <c r="T306">
        <f>Source!X160</f>
        <v>75.260000000000005</v>
      </c>
      <c r="U306">
        <f>ROUND((Source!FY160/100)*((ROUND(Source!AF160*Source!I160, 2)+ROUND(Source!AE160*Source!I160, 2))), 2)</f>
        <v>8.81</v>
      </c>
      <c r="V306">
        <f>Source!Y160</f>
        <v>57.55</v>
      </c>
    </row>
    <row r="307" spans="1:26" ht="14.25" x14ac:dyDescent="0.2">
      <c r="A307" s="45"/>
      <c r="B307" s="46"/>
      <c r="C307" s="46" t="s">
        <v>965</v>
      </c>
      <c r="D307" s="29"/>
      <c r="E307" s="11"/>
      <c r="F307" s="30">
        <f>Source!AO160</f>
        <v>75.19</v>
      </c>
      <c r="G307" s="31" t="str">
        <f>Source!DG160</f>
        <v/>
      </c>
      <c r="H307" s="30">
        <f>ROUND(Source!AF160*Source!I160, 2)</f>
        <v>13.53</v>
      </c>
      <c r="I307" s="31"/>
      <c r="J307" s="31">
        <f>IF(Source!BA160&lt;&gt; 0, Source!BA160, 1)</f>
        <v>6.53</v>
      </c>
      <c r="K307" s="30">
        <f>Source!S160</f>
        <v>88.38</v>
      </c>
      <c r="L307" s="32"/>
      <c r="R307">
        <f>H307</f>
        <v>13.53</v>
      </c>
    </row>
    <row r="308" spans="1:26" ht="14.25" x14ac:dyDescent="0.2">
      <c r="A308" s="45"/>
      <c r="B308" s="46"/>
      <c r="C308" s="46" t="s">
        <v>284</v>
      </c>
      <c r="D308" s="29"/>
      <c r="E308" s="11"/>
      <c r="F308" s="30">
        <f>Source!AM160</f>
        <v>0.31</v>
      </c>
      <c r="G308" s="31" t="str">
        <f>Source!DE160</f>
        <v/>
      </c>
      <c r="H308" s="30">
        <f>ROUND(Source!AD160*Source!I160, 2)</f>
        <v>0.06</v>
      </c>
      <c r="I308" s="31"/>
      <c r="J308" s="31">
        <f>IF(Source!BB160&lt;&gt; 0, Source!BB160, 1)</f>
        <v>6.53</v>
      </c>
      <c r="K308" s="30">
        <f>Source!Q160</f>
        <v>0.36</v>
      </c>
      <c r="L308" s="32"/>
    </row>
    <row r="309" spans="1:26" ht="14.25" x14ac:dyDescent="0.2">
      <c r="A309" s="45"/>
      <c r="B309" s="46"/>
      <c r="C309" s="46" t="s">
        <v>971</v>
      </c>
      <c r="D309" s="29"/>
      <c r="E309" s="11"/>
      <c r="F309" s="30">
        <f>Source!AN160</f>
        <v>0.14000000000000001</v>
      </c>
      <c r="G309" s="31" t="str">
        <f>Source!DF160</f>
        <v/>
      </c>
      <c r="H309" s="40">
        <f>ROUND(Source!AE160*Source!I160, 2)</f>
        <v>0.03</v>
      </c>
      <c r="I309" s="31"/>
      <c r="J309" s="31">
        <f>IF(Source!BS160&lt;&gt; 0, Source!BS160, 1)</f>
        <v>6.53</v>
      </c>
      <c r="K309" s="40">
        <f>Source!R160</f>
        <v>0.16</v>
      </c>
      <c r="L309" s="32"/>
      <c r="R309">
        <f>H309</f>
        <v>0.03</v>
      </c>
    </row>
    <row r="310" spans="1:26" ht="14.25" x14ac:dyDescent="0.2">
      <c r="A310" s="45"/>
      <c r="B310" s="46"/>
      <c r="C310" s="46" t="s">
        <v>966</v>
      </c>
      <c r="D310" s="29" t="s">
        <v>967</v>
      </c>
      <c r="E310" s="11">
        <f>Source!BZ160</f>
        <v>85</v>
      </c>
      <c r="F310" s="49"/>
      <c r="G310" s="31"/>
      <c r="H310" s="30">
        <f>SUM(S306:S312)</f>
        <v>11.53</v>
      </c>
      <c r="I310" s="33"/>
      <c r="J310" s="27">
        <f>Source!AT160</f>
        <v>85</v>
      </c>
      <c r="K310" s="30">
        <f>SUM(T306:T312)</f>
        <v>75.260000000000005</v>
      </c>
      <c r="L310" s="32"/>
    </row>
    <row r="311" spans="1:26" ht="14.25" x14ac:dyDescent="0.2">
      <c r="A311" s="45"/>
      <c r="B311" s="46"/>
      <c r="C311" s="46" t="s">
        <v>968</v>
      </c>
      <c r="D311" s="29" t="s">
        <v>967</v>
      </c>
      <c r="E311" s="11">
        <f>Source!CA160</f>
        <v>65</v>
      </c>
      <c r="F311" s="49"/>
      <c r="G311" s="31"/>
      <c r="H311" s="30">
        <f>SUM(U306:U312)</f>
        <v>8.81</v>
      </c>
      <c r="I311" s="33"/>
      <c r="J311" s="27">
        <f>Source!AU160</f>
        <v>65</v>
      </c>
      <c r="K311" s="30">
        <f>SUM(V306:V312)</f>
        <v>57.55</v>
      </c>
      <c r="L311" s="32"/>
    </row>
    <row r="312" spans="1:26" ht="14.25" x14ac:dyDescent="0.2">
      <c r="A312" s="47"/>
      <c r="B312" s="48"/>
      <c r="C312" s="48" t="s">
        <v>969</v>
      </c>
      <c r="D312" s="34" t="s">
        <v>970</v>
      </c>
      <c r="E312" s="35">
        <f>Source!AQ160</f>
        <v>9.64</v>
      </c>
      <c r="F312" s="36"/>
      <c r="G312" s="37" t="str">
        <f>Source!DI160</f>
        <v/>
      </c>
      <c r="H312" s="36"/>
      <c r="I312" s="37"/>
      <c r="J312" s="37"/>
      <c r="K312" s="36"/>
      <c r="L312" s="38">
        <f>Source!U160</f>
        <v>1.7352000000000001</v>
      </c>
    </row>
    <row r="313" spans="1:26" ht="15" x14ac:dyDescent="0.25">
      <c r="G313" s="65">
        <f>H307+H308+H310+H311</f>
        <v>33.93</v>
      </c>
      <c r="H313" s="65"/>
      <c r="J313" s="65">
        <f>K307+K308+K310+K311</f>
        <v>221.55</v>
      </c>
      <c r="K313" s="65"/>
      <c r="L313" s="39">
        <f>Source!U160</f>
        <v>1.7352000000000001</v>
      </c>
      <c r="O313" s="24">
        <f>G313</f>
        <v>33.93</v>
      </c>
      <c r="P313" s="24">
        <f>J313</f>
        <v>221.55</v>
      </c>
      <c r="Q313" s="24">
        <f>L313</f>
        <v>1.7352000000000001</v>
      </c>
      <c r="W313">
        <f>IF(Source!BI160&lt;=1,H307+H308+H310+H311, 0)</f>
        <v>33.93</v>
      </c>
      <c r="X313">
        <f>IF(Source!BI160=2,H307+H308+H310+H311, 0)</f>
        <v>0</v>
      </c>
      <c r="Y313">
        <f>IF(Source!BI160=3,H307+H308+H310+H311, 0)</f>
        <v>0</v>
      </c>
      <c r="Z313">
        <f>IF(Source!BI160=4,H307+H308+H310+H311, 0)</f>
        <v>0</v>
      </c>
    </row>
    <row r="314" spans="1:26" ht="28.5" x14ac:dyDescent="0.2">
      <c r="A314" s="45" t="str">
        <f>Source!E161</f>
        <v>31</v>
      </c>
      <c r="B314" s="46" t="str">
        <f>Source!F161</f>
        <v>м08-02-390-01</v>
      </c>
      <c r="C314" s="46" t="str">
        <f>Source!G161</f>
        <v>Демонтаж:Короба пластмассовые шириной до 40 мм</v>
      </c>
      <c r="D314" s="29" t="str">
        <f>Source!H161</f>
        <v>100 м</v>
      </c>
      <c r="E314" s="11">
        <f>Source!I161</f>
        <v>0.16</v>
      </c>
      <c r="F314" s="30">
        <f>Source!AL161+Source!AM161+Source!AO161</f>
        <v>206.76</v>
      </c>
      <c r="G314" s="31"/>
      <c r="H314" s="30"/>
      <c r="I314" s="31" t="str">
        <f>Source!BO161</f>
        <v/>
      </c>
      <c r="J314" s="31"/>
      <c r="K314" s="30"/>
      <c r="L314" s="32"/>
      <c r="S314">
        <f>ROUND((Source!FX161/100)*((ROUND(Source!AF161*Source!I161, 2)+ROUND(Source!AE161*Source!I161, 2))), 2)</f>
        <v>7.08</v>
      </c>
      <c r="T314">
        <f>Source!X161</f>
        <v>46.17</v>
      </c>
      <c r="U314">
        <f>ROUND((Source!FY161/100)*((ROUND(Source!AF161*Source!I161, 2)+ROUND(Source!AE161*Source!I161, 2))), 2)</f>
        <v>4.84</v>
      </c>
      <c r="V314">
        <f>Source!Y161</f>
        <v>31.59</v>
      </c>
    </row>
    <row r="315" spans="1:26" x14ac:dyDescent="0.2">
      <c r="C315" s="25" t="str">
        <f>"Объем: "&amp;Source!I161&amp;"=16/"&amp;"100"</f>
        <v>Объем: 0,16=16/100</v>
      </c>
    </row>
    <row r="316" spans="1:26" ht="14.25" x14ac:dyDescent="0.2">
      <c r="A316" s="45"/>
      <c r="B316" s="46"/>
      <c r="C316" s="46" t="s">
        <v>965</v>
      </c>
      <c r="D316" s="29"/>
      <c r="E316" s="11"/>
      <c r="F316" s="30">
        <f>Source!AO161</f>
        <v>154.91999999999999</v>
      </c>
      <c r="G316" s="31" t="str">
        <f>Source!DG161</f>
        <v>)*0,3</v>
      </c>
      <c r="H316" s="30">
        <f>ROUND(Source!AF161*Source!I161, 2)</f>
        <v>7.44</v>
      </c>
      <c r="I316" s="31"/>
      <c r="J316" s="31">
        <f>IF(Source!BA161&lt;&gt; 0, Source!BA161, 1)</f>
        <v>6.53</v>
      </c>
      <c r="K316" s="30">
        <f>Source!S161</f>
        <v>48.56</v>
      </c>
      <c r="L316" s="32"/>
      <c r="R316">
        <f>H316</f>
        <v>7.44</v>
      </c>
    </row>
    <row r="317" spans="1:26" ht="14.25" x14ac:dyDescent="0.2">
      <c r="A317" s="45"/>
      <c r="B317" s="46"/>
      <c r="C317" s="46" t="s">
        <v>284</v>
      </c>
      <c r="D317" s="29"/>
      <c r="E317" s="11"/>
      <c r="F317" s="30">
        <f>Source!AM161</f>
        <v>0.31</v>
      </c>
      <c r="G317" s="31" t="str">
        <f>Source!DE161</f>
        <v>)*0,3</v>
      </c>
      <c r="H317" s="30">
        <f>ROUND(Source!AD161*Source!I161, 2)</f>
        <v>0.01</v>
      </c>
      <c r="I317" s="31"/>
      <c r="J317" s="31">
        <f>IF(Source!BB161&lt;&gt; 0, Source!BB161, 1)</f>
        <v>6.53</v>
      </c>
      <c r="K317" s="30">
        <f>Source!Q161</f>
        <v>0.09</v>
      </c>
      <c r="L317" s="32"/>
    </row>
    <row r="318" spans="1:26" ht="14.25" x14ac:dyDescent="0.2">
      <c r="A318" s="45"/>
      <c r="B318" s="46"/>
      <c r="C318" s="46" t="s">
        <v>971</v>
      </c>
      <c r="D318" s="29"/>
      <c r="E318" s="11"/>
      <c r="F318" s="30">
        <f>Source!AN161</f>
        <v>0.14000000000000001</v>
      </c>
      <c r="G318" s="31" t="str">
        <f>Source!DF161</f>
        <v>)*0,3</v>
      </c>
      <c r="H318" s="40">
        <f>ROUND(Source!AE161*Source!I161, 2)</f>
        <v>0.01</v>
      </c>
      <c r="I318" s="31"/>
      <c r="J318" s="31">
        <f>IF(Source!BS161&lt;&gt; 0, Source!BS161, 1)</f>
        <v>6.53</v>
      </c>
      <c r="K318" s="40">
        <f>Source!R161</f>
        <v>0.04</v>
      </c>
      <c r="L318" s="32"/>
      <c r="R318">
        <f>H318</f>
        <v>0.01</v>
      </c>
    </row>
    <row r="319" spans="1:26" ht="14.25" x14ac:dyDescent="0.2">
      <c r="A319" s="45"/>
      <c r="B319" s="46"/>
      <c r="C319" s="46" t="s">
        <v>966</v>
      </c>
      <c r="D319" s="29" t="s">
        <v>967</v>
      </c>
      <c r="E319" s="11">
        <f>Source!BZ161</f>
        <v>95</v>
      </c>
      <c r="F319" s="49"/>
      <c r="G319" s="31"/>
      <c r="H319" s="30">
        <f>SUM(S314:S321)</f>
        <v>7.08</v>
      </c>
      <c r="I319" s="33"/>
      <c r="J319" s="27">
        <f>Source!AT161</f>
        <v>95</v>
      </c>
      <c r="K319" s="30">
        <f>SUM(T314:T321)</f>
        <v>46.17</v>
      </c>
      <c r="L319" s="32"/>
    </row>
    <row r="320" spans="1:26" ht="14.25" x14ac:dyDescent="0.2">
      <c r="A320" s="45"/>
      <c r="B320" s="46"/>
      <c r="C320" s="46" t="s">
        <v>968</v>
      </c>
      <c r="D320" s="29" t="s">
        <v>967</v>
      </c>
      <c r="E320" s="11">
        <f>Source!CA161</f>
        <v>65</v>
      </c>
      <c r="F320" s="49"/>
      <c r="G320" s="31"/>
      <c r="H320" s="30">
        <f>SUM(U314:U321)</f>
        <v>4.84</v>
      </c>
      <c r="I320" s="33"/>
      <c r="J320" s="27">
        <f>Source!AU161</f>
        <v>65</v>
      </c>
      <c r="K320" s="30">
        <f>SUM(V314:V321)</f>
        <v>31.59</v>
      </c>
      <c r="L320" s="32"/>
    </row>
    <row r="321" spans="1:26" ht="14.25" x14ac:dyDescent="0.2">
      <c r="A321" s="47"/>
      <c r="B321" s="48"/>
      <c r="C321" s="48" t="s">
        <v>969</v>
      </c>
      <c r="D321" s="34" t="s">
        <v>970</v>
      </c>
      <c r="E321" s="35">
        <f>Source!AQ161</f>
        <v>16.29</v>
      </c>
      <c r="F321" s="36"/>
      <c r="G321" s="37" t="str">
        <f>Source!DI161</f>
        <v>)*0,3</v>
      </c>
      <c r="H321" s="36"/>
      <c r="I321" s="37"/>
      <c r="J321" s="37"/>
      <c r="K321" s="36"/>
      <c r="L321" s="38">
        <f>Source!U161</f>
        <v>0.78191999999999995</v>
      </c>
    </row>
    <row r="322" spans="1:26" ht="15" x14ac:dyDescent="0.25">
      <c r="G322" s="65">
        <f>H316+H317+H319+H320</f>
        <v>19.37</v>
      </c>
      <c r="H322" s="65"/>
      <c r="J322" s="65">
        <f>K316+K317+K319+K320</f>
        <v>126.41000000000001</v>
      </c>
      <c r="K322" s="65"/>
      <c r="L322" s="39">
        <f>Source!U161</f>
        <v>0.78191999999999995</v>
      </c>
      <c r="O322" s="24">
        <f>G322</f>
        <v>19.37</v>
      </c>
      <c r="P322" s="24">
        <f>J322</f>
        <v>126.41000000000001</v>
      </c>
      <c r="Q322" s="24">
        <f>L322</f>
        <v>0.78191999999999995</v>
      </c>
      <c r="W322">
        <f>IF(Source!BI161&lt;=1,H316+H317+H319+H320, 0)</f>
        <v>0</v>
      </c>
      <c r="X322">
        <f>IF(Source!BI161=2,H316+H317+H319+H320, 0)</f>
        <v>19.37</v>
      </c>
      <c r="Y322">
        <f>IF(Source!BI161=3,H316+H317+H319+H320, 0)</f>
        <v>0</v>
      </c>
      <c r="Z322">
        <f>IF(Source!BI161=4,H316+H317+H319+H320, 0)</f>
        <v>0</v>
      </c>
    </row>
    <row r="323" spans="1:26" ht="57" x14ac:dyDescent="0.2">
      <c r="A323" s="45" t="str">
        <f>Source!E162</f>
        <v>32</v>
      </c>
      <c r="B323" s="46" t="str">
        <f>Source!F162</f>
        <v>м08-03-594-08</v>
      </c>
      <c r="C323" s="46" t="str">
        <f>Source!G162</f>
        <v>Демонтаж:Светильник отдельно устанавливаемый на подвесах (штангах) с количеством ламп в светильнике до 4</v>
      </c>
      <c r="D323" s="29" t="str">
        <f>Source!H162</f>
        <v>100 ШТ</v>
      </c>
      <c r="E323" s="11">
        <f>Source!I162</f>
        <v>0.9</v>
      </c>
      <c r="F323" s="30">
        <f>Source!AL162+Source!AM162+Source!AO162</f>
        <v>1663.44</v>
      </c>
      <c r="G323" s="31"/>
      <c r="H323" s="30"/>
      <c r="I323" s="31" t="str">
        <f>Source!BO162</f>
        <v/>
      </c>
      <c r="J323" s="31"/>
      <c r="K323" s="30"/>
      <c r="L323" s="32"/>
      <c r="S323">
        <f>ROUND((Source!FX162/100)*((ROUND(Source!AF162*Source!I162, 2)+ROUND(Source!AE162*Source!I162, 2))), 2)</f>
        <v>378.52</v>
      </c>
      <c r="T323">
        <f>Source!X162</f>
        <v>2471.71</v>
      </c>
      <c r="U323">
        <f>ROUND((Source!FY162/100)*((ROUND(Source!AF162*Source!I162, 2)+ROUND(Source!AE162*Source!I162, 2))), 2)</f>
        <v>258.99</v>
      </c>
      <c r="V323">
        <f>Source!Y162</f>
        <v>1691.17</v>
      </c>
    </row>
    <row r="324" spans="1:26" x14ac:dyDescent="0.2">
      <c r="C324" s="25" t="str">
        <f>"Объем: "&amp;Source!I162&amp;"=90/"&amp;"100"</f>
        <v>Объем: 0,9=90/100</v>
      </c>
    </row>
    <row r="325" spans="1:26" ht="14.25" x14ac:dyDescent="0.2">
      <c r="A325" s="45"/>
      <c r="B325" s="46"/>
      <c r="C325" s="46" t="s">
        <v>965</v>
      </c>
      <c r="D325" s="29"/>
      <c r="E325" s="11"/>
      <c r="F325" s="30">
        <f>Source!AO162</f>
        <v>1468.16</v>
      </c>
      <c r="G325" s="31" t="str">
        <f>Source!DG162</f>
        <v>)*0,3</v>
      </c>
      <c r="H325" s="30">
        <f>ROUND(Source!AF162*Source!I162, 2)</f>
        <v>396.41</v>
      </c>
      <c r="I325" s="31"/>
      <c r="J325" s="31">
        <f>IF(Source!BA162&lt;&gt; 0, Source!BA162, 1)</f>
        <v>6.53</v>
      </c>
      <c r="K325" s="30">
        <f>Source!S162</f>
        <v>2588.52</v>
      </c>
      <c r="L325" s="32"/>
      <c r="R325">
        <f>H325</f>
        <v>396.41</v>
      </c>
    </row>
    <row r="326" spans="1:26" ht="14.25" x14ac:dyDescent="0.2">
      <c r="A326" s="45"/>
      <c r="B326" s="46"/>
      <c r="C326" s="46" t="s">
        <v>284</v>
      </c>
      <c r="D326" s="29"/>
      <c r="E326" s="11"/>
      <c r="F326" s="30">
        <f>Source!AM162</f>
        <v>53.31</v>
      </c>
      <c r="G326" s="31" t="str">
        <f>Source!DE162</f>
        <v>)*0,3</v>
      </c>
      <c r="H326" s="30">
        <f>ROUND(Source!AD162*Source!I162, 2)</f>
        <v>14.39</v>
      </c>
      <c r="I326" s="31"/>
      <c r="J326" s="31">
        <f>IF(Source!BB162&lt;&gt; 0, Source!BB162, 1)</f>
        <v>6.53</v>
      </c>
      <c r="K326" s="30">
        <f>Source!Q162</f>
        <v>93.97</v>
      </c>
      <c r="L326" s="32"/>
    </row>
    <row r="327" spans="1:26" ht="14.25" x14ac:dyDescent="0.2">
      <c r="A327" s="45"/>
      <c r="B327" s="46"/>
      <c r="C327" s="46" t="s">
        <v>971</v>
      </c>
      <c r="D327" s="29"/>
      <c r="E327" s="11"/>
      <c r="F327" s="30">
        <f>Source!AN162</f>
        <v>7.53</v>
      </c>
      <c r="G327" s="31" t="str">
        <f>Source!DF162</f>
        <v>)*0,3</v>
      </c>
      <c r="H327" s="40">
        <f>ROUND(Source!AE162*Source!I162, 2)</f>
        <v>2.0299999999999998</v>
      </c>
      <c r="I327" s="31"/>
      <c r="J327" s="31">
        <f>IF(Source!BS162&lt;&gt; 0, Source!BS162, 1)</f>
        <v>6.53</v>
      </c>
      <c r="K327" s="40">
        <f>Source!R162</f>
        <v>13.28</v>
      </c>
      <c r="L327" s="32"/>
      <c r="R327">
        <f>H327</f>
        <v>2.0299999999999998</v>
      </c>
    </row>
    <row r="328" spans="1:26" ht="14.25" x14ac:dyDescent="0.2">
      <c r="A328" s="45"/>
      <c r="B328" s="46"/>
      <c r="C328" s="46" t="s">
        <v>966</v>
      </c>
      <c r="D328" s="29" t="s">
        <v>967</v>
      </c>
      <c r="E328" s="11">
        <f>Source!BZ162</f>
        <v>95</v>
      </c>
      <c r="F328" s="49"/>
      <c r="G328" s="31"/>
      <c r="H328" s="30">
        <f>SUM(S323:S330)</f>
        <v>378.52</v>
      </c>
      <c r="I328" s="33"/>
      <c r="J328" s="27">
        <f>Source!AT162</f>
        <v>95</v>
      </c>
      <c r="K328" s="30">
        <f>SUM(T323:T330)</f>
        <v>2471.71</v>
      </c>
      <c r="L328" s="32"/>
    </row>
    <row r="329" spans="1:26" ht="14.25" x14ac:dyDescent="0.2">
      <c r="A329" s="45"/>
      <c r="B329" s="46"/>
      <c r="C329" s="46" t="s">
        <v>968</v>
      </c>
      <c r="D329" s="29" t="s">
        <v>967</v>
      </c>
      <c r="E329" s="11">
        <f>Source!CA162</f>
        <v>65</v>
      </c>
      <c r="F329" s="49"/>
      <c r="G329" s="31"/>
      <c r="H329" s="30">
        <f>SUM(U323:U330)</f>
        <v>258.99</v>
      </c>
      <c r="I329" s="33"/>
      <c r="J329" s="27">
        <f>Source!AU162</f>
        <v>65</v>
      </c>
      <c r="K329" s="30">
        <f>SUM(V323:V330)</f>
        <v>1691.17</v>
      </c>
      <c r="L329" s="32"/>
    </row>
    <row r="330" spans="1:26" ht="14.25" x14ac:dyDescent="0.2">
      <c r="A330" s="47"/>
      <c r="B330" s="48"/>
      <c r="C330" s="48" t="s">
        <v>969</v>
      </c>
      <c r="D330" s="34" t="s">
        <v>970</v>
      </c>
      <c r="E330" s="35">
        <f>Source!AQ162</f>
        <v>148</v>
      </c>
      <c r="F330" s="36"/>
      <c r="G330" s="37" t="str">
        <f>Source!DI162</f>
        <v>)*0,3</v>
      </c>
      <c r="H330" s="36"/>
      <c r="I330" s="37"/>
      <c r="J330" s="37"/>
      <c r="K330" s="36"/>
      <c r="L330" s="38">
        <f>Source!U162</f>
        <v>39.96</v>
      </c>
    </row>
    <row r="331" spans="1:26" ht="15" x14ac:dyDescent="0.25">
      <c r="G331" s="65">
        <f>H325+H326+H328+H329</f>
        <v>1048.31</v>
      </c>
      <c r="H331" s="65"/>
      <c r="J331" s="65">
        <f>K325+K326+K328+K329</f>
        <v>6845.37</v>
      </c>
      <c r="K331" s="65"/>
      <c r="L331" s="39">
        <f>Source!U162</f>
        <v>39.96</v>
      </c>
      <c r="O331" s="24">
        <f>G331</f>
        <v>1048.31</v>
      </c>
      <c r="P331" s="24">
        <f>J331</f>
        <v>6845.37</v>
      </c>
      <c r="Q331" s="24">
        <f>L331</f>
        <v>39.96</v>
      </c>
      <c r="W331">
        <f>IF(Source!BI162&lt;=1,H325+H326+H328+H329, 0)</f>
        <v>0</v>
      </c>
      <c r="X331">
        <f>IF(Source!BI162=2,H325+H326+H328+H329, 0)</f>
        <v>1048.31</v>
      </c>
      <c r="Y331">
        <f>IF(Source!BI162=3,H325+H326+H328+H329, 0)</f>
        <v>0</v>
      </c>
      <c r="Z331">
        <f>IF(Source!BI162=4,H325+H326+H328+H329, 0)</f>
        <v>0</v>
      </c>
    </row>
    <row r="332" spans="1:26" ht="85.5" x14ac:dyDescent="0.2">
      <c r="A332" s="45" t="str">
        <f>Source!E163</f>
        <v>33</v>
      </c>
      <c r="B332" s="46" t="str">
        <f>Source!F163</f>
        <v>м08-03-525-09 прим.</v>
      </c>
      <c r="C332" s="46" t="str">
        <f>Source!G163</f>
        <v>Демонтаж проектора и проекторной доски :Аппарат штепсельный общего назначения, устанавливаемый на конструкции на стене или колонне, с контактами силовых цепей на ток до 63 А</v>
      </c>
      <c r="D332" s="29" t="str">
        <f>Source!H163</f>
        <v>КОМПЛ</v>
      </c>
      <c r="E332" s="11">
        <f>Source!I163</f>
        <v>1</v>
      </c>
      <c r="F332" s="30">
        <f>Source!AL163+Source!AM163+Source!AO163</f>
        <v>65.78</v>
      </c>
      <c r="G332" s="31"/>
      <c r="H332" s="30"/>
      <c r="I332" s="31" t="str">
        <f>Source!BO163</f>
        <v/>
      </c>
      <c r="J332" s="31"/>
      <c r="K332" s="30"/>
      <c r="L332" s="32"/>
      <c r="S332">
        <f>ROUND((Source!FX163/100)*((ROUND(Source!AF163*Source!I163, 2)+ROUND(Source!AE163*Source!I163, 2))), 2)</f>
        <v>12.33</v>
      </c>
      <c r="T332">
        <f>Source!X163</f>
        <v>80.52</v>
      </c>
      <c r="U332">
        <f>ROUND((Source!FY163/100)*((ROUND(Source!AF163*Source!I163, 2)+ROUND(Source!AE163*Source!I163, 2))), 2)</f>
        <v>8.44</v>
      </c>
      <c r="V332">
        <f>Source!Y163</f>
        <v>55.09</v>
      </c>
    </row>
    <row r="333" spans="1:26" ht="14.25" x14ac:dyDescent="0.2">
      <c r="A333" s="45"/>
      <c r="B333" s="46"/>
      <c r="C333" s="46" t="s">
        <v>965</v>
      </c>
      <c r="D333" s="29"/>
      <c r="E333" s="11"/>
      <c r="F333" s="30">
        <f>Source!AO163</f>
        <v>21.63</v>
      </c>
      <c r="G333" s="31" t="str">
        <f>Source!DG163</f>
        <v>)*0,6</v>
      </c>
      <c r="H333" s="30">
        <f>ROUND(Source!AF163*Source!I163, 2)</f>
        <v>12.98</v>
      </c>
      <c r="I333" s="31"/>
      <c r="J333" s="31">
        <f>IF(Source!BA163&lt;&gt; 0, Source!BA163, 1)</f>
        <v>6.53</v>
      </c>
      <c r="K333" s="30">
        <f>Source!S163</f>
        <v>84.76</v>
      </c>
      <c r="L333" s="32"/>
      <c r="R333">
        <f>H333</f>
        <v>12.98</v>
      </c>
    </row>
    <row r="334" spans="1:26" ht="14.25" x14ac:dyDescent="0.2">
      <c r="A334" s="45"/>
      <c r="B334" s="46"/>
      <c r="C334" s="46" t="s">
        <v>284</v>
      </c>
      <c r="D334" s="29"/>
      <c r="E334" s="11"/>
      <c r="F334" s="30">
        <f>Source!AM163</f>
        <v>0.59</v>
      </c>
      <c r="G334" s="31" t="str">
        <f>Source!DE163</f>
        <v>)*0,6</v>
      </c>
      <c r="H334" s="30">
        <f>ROUND(Source!AD163*Source!I163, 2)</f>
        <v>0.35</v>
      </c>
      <c r="I334" s="31"/>
      <c r="J334" s="31">
        <f>IF(Source!BB163&lt;&gt; 0, Source!BB163, 1)</f>
        <v>6.53</v>
      </c>
      <c r="K334" s="30">
        <f>Source!Q163</f>
        <v>2.29</v>
      </c>
      <c r="L334" s="32"/>
    </row>
    <row r="335" spans="1:26" ht="14.25" x14ac:dyDescent="0.2">
      <c r="A335" s="45"/>
      <c r="B335" s="46"/>
      <c r="C335" s="46" t="s">
        <v>966</v>
      </c>
      <c r="D335" s="29" t="s">
        <v>967</v>
      </c>
      <c r="E335" s="11">
        <f>Source!BZ163</f>
        <v>95</v>
      </c>
      <c r="F335" s="49"/>
      <c r="G335" s="31"/>
      <c r="H335" s="30">
        <f>SUM(S332:S337)</f>
        <v>12.33</v>
      </c>
      <c r="I335" s="33"/>
      <c r="J335" s="27">
        <f>Source!AT163</f>
        <v>95</v>
      </c>
      <c r="K335" s="30">
        <f>SUM(T332:T337)</f>
        <v>80.52</v>
      </c>
      <c r="L335" s="32"/>
    </row>
    <row r="336" spans="1:26" ht="14.25" x14ac:dyDescent="0.2">
      <c r="A336" s="45"/>
      <c r="B336" s="46"/>
      <c r="C336" s="46" t="s">
        <v>968</v>
      </c>
      <c r="D336" s="29" t="s">
        <v>967</v>
      </c>
      <c r="E336" s="11">
        <f>Source!CA163</f>
        <v>65</v>
      </c>
      <c r="F336" s="49"/>
      <c r="G336" s="31"/>
      <c r="H336" s="30">
        <f>SUM(U332:U337)</f>
        <v>8.44</v>
      </c>
      <c r="I336" s="33"/>
      <c r="J336" s="27">
        <f>Source!AU163</f>
        <v>65</v>
      </c>
      <c r="K336" s="30">
        <f>SUM(V332:V337)</f>
        <v>55.09</v>
      </c>
      <c r="L336" s="32"/>
    </row>
    <row r="337" spans="1:26" ht="14.25" x14ac:dyDescent="0.2">
      <c r="A337" s="47"/>
      <c r="B337" s="48"/>
      <c r="C337" s="48" t="s">
        <v>969</v>
      </c>
      <c r="D337" s="34" t="s">
        <v>970</v>
      </c>
      <c r="E337" s="35">
        <f>Source!AQ163</f>
        <v>2.09</v>
      </c>
      <c r="F337" s="36"/>
      <c r="G337" s="37" t="str">
        <f>Source!DI163</f>
        <v>)*0,6</v>
      </c>
      <c r="H337" s="36"/>
      <c r="I337" s="37"/>
      <c r="J337" s="37"/>
      <c r="K337" s="36"/>
      <c r="L337" s="38">
        <f>Source!U163</f>
        <v>1.2539999999999998</v>
      </c>
    </row>
    <row r="338" spans="1:26" ht="15" x14ac:dyDescent="0.25">
      <c r="G338" s="65">
        <f>H333+H334+H335+H336</f>
        <v>34.1</v>
      </c>
      <c r="H338" s="65"/>
      <c r="J338" s="65">
        <f>K333+K334+K335+K336</f>
        <v>222.66</v>
      </c>
      <c r="K338" s="65"/>
      <c r="L338" s="39">
        <f>Source!U163</f>
        <v>1.2539999999999998</v>
      </c>
      <c r="O338" s="24">
        <f>G338</f>
        <v>34.1</v>
      </c>
      <c r="P338" s="24">
        <f>J338</f>
        <v>222.66</v>
      </c>
      <c r="Q338" s="24">
        <f>L338</f>
        <v>1.2539999999999998</v>
      </c>
      <c r="W338">
        <f>IF(Source!BI163&lt;=1,H333+H334+H335+H336, 0)</f>
        <v>0</v>
      </c>
      <c r="X338">
        <f>IF(Source!BI163=2,H333+H334+H335+H336, 0)</f>
        <v>34.1</v>
      </c>
      <c r="Y338">
        <f>IF(Source!BI163=3,H333+H334+H335+H336, 0)</f>
        <v>0</v>
      </c>
      <c r="Z338">
        <f>IF(Source!BI163=4,H333+H334+H335+H336, 0)</f>
        <v>0</v>
      </c>
    </row>
    <row r="339" spans="1:26" ht="85.5" x14ac:dyDescent="0.2">
      <c r="A339" s="45" t="str">
        <f>Source!E164</f>
        <v>34</v>
      </c>
      <c r="B339" s="46" t="str">
        <f>Source!F164</f>
        <v>м08-03-525-09 прим.</v>
      </c>
      <c r="C339" s="46" t="str">
        <f>Source!G164</f>
        <v>Аппарат штепсельный общего назначения, устанавливаемый на конструкции на стене или колонне, с контактами силовых цепей на ток до 63 А (проектор и проекторная доска без материалов)</v>
      </c>
      <c r="D339" s="29" t="str">
        <f>Source!H164</f>
        <v>КОМПЛ</v>
      </c>
      <c r="E339" s="11">
        <f>Source!I164</f>
        <v>1</v>
      </c>
      <c r="F339" s="30">
        <f>Source!AL164+Source!AM164+Source!AO164</f>
        <v>65.78</v>
      </c>
      <c r="G339" s="31"/>
      <c r="H339" s="30"/>
      <c r="I339" s="31" t="str">
        <f>Source!BO164</f>
        <v/>
      </c>
      <c r="J339" s="31"/>
      <c r="K339" s="30"/>
      <c r="L339" s="32"/>
      <c r="S339">
        <f>ROUND((Source!FX164/100)*((ROUND(Source!AF164*Source!I164, 2)+ROUND(Source!AE164*Source!I164, 2))), 2)</f>
        <v>20.55</v>
      </c>
      <c r="T339">
        <f>Source!X164</f>
        <v>134.18</v>
      </c>
      <c r="U339">
        <f>ROUND((Source!FY164/100)*((ROUND(Source!AF164*Source!I164, 2)+ROUND(Source!AE164*Source!I164, 2))), 2)</f>
        <v>14.06</v>
      </c>
      <c r="V339">
        <f>Source!Y164</f>
        <v>91.81</v>
      </c>
    </row>
    <row r="340" spans="1:26" ht="14.25" x14ac:dyDescent="0.2">
      <c r="A340" s="45"/>
      <c r="B340" s="46"/>
      <c r="C340" s="46" t="s">
        <v>965</v>
      </c>
      <c r="D340" s="29"/>
      <c r="E340" s="11"/>
      <c r="F340" s="30">
        <f>Source!AO164</f>
        <v>21.63</v>
      </c>
      <c r="G340" s="31" t="str">
        <f>Source!DG164</f>
        <v/>
      </c>
      <c r="H340" s="30">
        <f>ROUND(Source!AF164*Source!I164, 2)</f>
        <v>21.63</v>
      </c>
      <c r="I340" s="31"/>
      <c r="J340" s="31">
        <f>IF(Source!BA164&lt;&gt; 0, Source!BA164, 1)</f>
        <v>6.53</v>
      </c>
      <c r="K340" s="30">
        <f>Source!S164</f>
        <v>141.24</v>
      </c>
      <c r="L340" s="32"/>
      <c r="R340">
        <f>H340</f>
        <v>21.63</v>
      </c>
    </row>
    <row r="341" spans="1:26" ht="14.25" x14ac:dyDescent="0.2">
      <c r="A341" s="45"/>
      <c r="B341" s="46"/>
      <c r="C341" s="46" t="s">
        <v>284</v>
      </c>
      <c r="D341" s="29"/>
      <c r="E341" s="11"/>
      <c r="F341" s="30">
        <f>Source!AM164</f>
        <v>0.59</v>
      </c>
      <c r="G341" s="31" t="str">
        <f>Source!DE164</f>
        <v/>
      </c>
      <c r="H341" s="30">
        <f>ROUND(Source!AD164*Source!I164, 2)</f>
        <v>0.59</v>
      </c>
      <c r="I341" s="31"/>
      <c r="J341" s="31">
        <f>IF(Source!BB164&lt;&gt; 0, Source!BB164, 1)</f>
        <v>6.53</v>
      </c>
      <c r="K341" s="30">
        <f>Source!Q164</f>
        <v>3.85</v>
      </c>
      <c r="L341" s="32"/>
    </row>
    <row r="342" spans="1:26" ht="14.25" x14ac:dyDescent="0.2">
      <c r="A342" s="45"/>
      <c r="B342" s="46"/>
      <c r="C342" s="46" t="s">
        <v>972</v>
      </c>
      <c r="D342" s="29"/>
      <c r="E342" s="11"/>
      <c r="F342" s="30">
        <f>Source!AL164</f>
        <v>43.56</v>
      </c>
      <c r="G342" s="31" t="str">
        <f>Source!DD164</f>
        <v/>
      </c>
      <c r="H342" s="30">
        <f>ROUND(Source!AC164*Source!I164, 2)</f>
        <v>43.56</v>
      </c>
      <c r="I342" s="31"/>
      <c r="J342" s="31">
        <f>IF(Source!BC164&lt;&gt; 0, Source!BC164, 1)</f>
        <v>6.53</v>
      </c>
      <c r="K342" s="30">
        <f>Source!P164</f>
        <v>284.45</v>
      </c>
      <c r="L342" s="32"/>
    </row>
    <row r="343" spans="1:26" ht="14.25" x14ac:dyDescent="0.2">
      <c r="A343" s="45"/>
      <c r="B343" s="46"/>
      <c r="C343" s="46" t="s">
        <v>966</v>
      </c>
      <c r="D343" s="29" t="s">
        <v>967</v>
      </c>
      <c r="E343" s="11">
        <f>Source!BZ164</f>
        <v>95</v>
      </c>
      <c r="F343" s="49"/>
      <c r="G343" s="31"/>
      <c r="H343" s="30">
        <f>SUM(S339:S345)</f>
        <v>20.55</v>
      </c>
      <c r="I343" s="33"/>
      <c r="J343" s="27">
        <f>Source!AT164</f>
        <v>95</v>
      </c>
      <c r="K343" s="30">
        <f>SUM(T339:T345)</f>
        <v>134.18</v>
      </c>
      <c r="L343" s="32"/>
    </row>
    <row r="344" spans="1:26" ht="14.25" x14ac:dyDescent="0.2">
      <c r="A344" s="45"/>
      <c r="B344" s="46"/>
      <c r="C344" s="46" t="s">
        <v>968</v>
      </c>
      <c r="D344" s="29" t="s">
        <v>967</v>
      </c>
      <c r="E344" s="11">
        <f>Source!CA164</f>
        <v>65</v>
      </c>
      <c r="F344" s="49"/>
      <c r="G344" s="31"/>
      <c r="H344" s="30">
        <f>SUM(U339:U345)</f>
        <v>14.06</v>
      </c>
      <c r="I344" s="33"/>
      <c r="J344" s="27">
        <f>Source!AU164</f>
        <v>65</v>
      </c>
      <c r="K344" s="30">
        <f>SUM(V339:V345)</f>
        <v>91.81</v>
      </c>
      <c r="L344" s="32"/>
    </row>
    <row r="345" spans="1:26" ht="14.25" x14ac:dyDescent="0.2">
      <c r="A345" s="47"/>
      <c r="B345" s="48"/>
      <c r="C345" s="48" t="s">
        <v>969</v>
      </c>
      <c r="D345" s="34" t="s">
        <v>970</v>
      </c>
      <c r="E345" s="35">
        <f>Source!AQ164</f>
        <v>2.09</v>
      </c>
      <c r="F345" s="36"/>
      <c r="G345" s="37" t="str">
        <f>Source!DI164</f>
        <v/>
      </c>
      <c r="H345" s="36"/>
      <c r="I345" s="37"/>
      <c r="J345" s="37"/>
      <c r="K345" s="36"/>
      <c r="L345" s="38">
        <f>Source!U164</f>
        <v>2.09</v>
      </c>
    </row>
    <row r="346" spans="1:26" ht="15" x14ac:dyDescent="0.25">
      <c r="G346" s="65">
        <f>H340+H341+H342+H343+H344</f>
        <v>100.39</v>
      </c>
      <c r="H346" s="65"/>
      <c r="J346" s="65">
        <f>K340+K341+K342+K343+K344</f>
        <v>655.53</v>
      </c>
      <c r="K346" s="65"/>
      <c r="L346" s="39">
        <f>Source!U164</f>
        <v>2.09</v>
      </c>
      <c r="O346" s="24">
        <f>G346</f>
        <v>100.39</v>
      </c>
      <c r="P346" s="24">
        <f>J346</f>
        <v>655.53</v>
      </c>
      <c r="Q346" s="24">
        <f>L346</f>
        <v>2.09</v>
      </c>
      <c r="W346">
        <f>IF(Source!BI164&lt;=1,H340+H341+H342+H343+H344, 0)</f>
        <v>0</v>
      </c>
      <c r="X346">
        <f>IF(Source!BI164=2,H340+H341+H342+H343+H344, 0)</f>
        <v>100.39</v>
      </c>
      <c r="Y346">
        <f>IF(Source!BI164=3,H340+H341+H342+H343+H344, 0)</f>
        <v>0</v>
      </c>
      <c r="Z346">
        <f>IF(Source!BI164=4,H340+H341+H342+H343+H344, 0)</f>
        <v>0</v>
      </c>
    </row>
    <row r="347" spans="1:26" ht="14.25" x14ac:dyDescent="0.2">
      <c r="A347" s="45" t="str">
        <f>Source!E165</f>
        <v>35</v>
      </c>
      <c r="B347" s="46" t="str">
        <f>Source!F165</f>
        <v>67-4-1</v>
      </c>
      <c r="C347" s="46" t="str">
        <f>Source!G165</f>
        <v>Демонтаж выключателей, розеток</v>
      </c>
      <c r="D347" s="29" t="str">
        <f>Source!H165</f>
        <v>100 ШТ</v>
      </c>
      <c r="E347" s="11">
        <f>Source!I165</f>
        <v>0.28000000000000003</v>
      </c>
      <c r="F347" s="30">
        <f>Source!AL165+Source!AM165+Source!AO165</f>
        <v>45.55</v>
      </c>
      <c r="G347" s="31"/>
      <c r="H347" s="30"/>
      <c r="I347" s="31" t="str">
        <f>Source!BO165</f>
        <v/>
      </c>
      <c r="J347" s="31"/>
      <c r="K347" s="30"/>
      <c r="L347" s="32"/>
      <c r="S347">
        <f>ROUND((Source!FX165/100)*((ROUND(Source!AF165*Source!I165, 2)+ROUND(Source!AE165*Source!I165, 2))), 2)</f>
        <v>10.84</v>
      </c>
      <c r="T347">
        <f>Source!X165</f>
        <v>70.790000000000006</v>
      </c>
      <c r="U347">
        <f>ROUND((Source!FY165/100)*((ROUND(Source!AF165*Source!I165, 2)+ROUND(Source!AE165*Source!I165, 2))), 2)</f>
        <v>8.2899999999999991</v>
      </c>
      <c r="V347">
        <f>Source!Y165</f>
        <v>54.13</v>
      </c>
    </row>
    <row r="348" spans="1:26" ht="14.25" x14ac:dyDescent="0.2">
      <c r="A348" s="45"/>
      <c r="B348" s="46"/>
      <c r="C348" s="46" t="s">
        <v>965</v>
      </c>
      <c r="D348" s="29"/>
      <c r="E348" s="11"/>
      <c r="F348" s="30">
        <f>Source!AO165</f>
        <v>45.55</v>
      </c>
      <c r="G348" s="31" t="str">
        <f>Source!DG165</f>
        <v/>
      </c>
      <c r="H348" s="30">
        <f>ROUND(Source!AF165*Source!I165, 2)</f>
        <v>12.75</v>
      </c>
      <c r="I348" s="31"/>
      <c r="J348" s="31">
        <f>IF(Source!BA165&lt;&gt; 0, Source!BA165, 1)</f>
        <v>6.53</v>
      </c>
      <c r="K348" s="30">
        <f>Source!S165</f>
        <v>83.28</v>
      </c>
      <c r="L348" s="32"/>
      <c r="R348">
        <f>H348</f>
        <v>12.75</v>
      </c>
    </row>
    <row r="349" spans="1:26" ht="14.25" x14ac:dyDescent="0.2">
      <c r="A349" s="45"/>
      <c r="B349" s="46"/>
      <c r="C349" s="46" t="s">
        <v>966</v>
      </c>
      <c r="D349" s="29" t="s">
        <v>967</v>
      </c>
      <c r="E349" s="11">
        <f>Source!BZ165</f>
        <v>85</v>
      </c>
      <c r="F349" s="49"/>
      <c r="G349" s="31"/>
      <c r="H349" s="30">
        <f>SUM(S347:S351)</f>
        <v>10.84</v>
      </c>
      <c r="I349" s="33"/>
      <c r="J349" s="27">
        <f>Source!AT165</f>
        <v>85</v>
      </c>
      <c r="K349" s="30">
        <f>SUM(T347:T351)</f>
        <v>70.790000000000006</v>
      </c>
      <c r="L349" s="32"/>
    </row>
    <row r="350" spans="1:26" ht="14.25" x14ac:dyDescent="0.2">
      <c r="A350" s="45"/>
      <c r="B350" s="46"/>
      <c r="C350" s="46" t="s">
        <v>968</v>
      </c>
      <c r="D350" s="29" t="s">
        <v>967</v>
      </c>
      <c r="E350" s="11">
        <f>Source!CA165</f>
        <v>65</v>
      </c>
      <c r="F350" s="49"/>
      <c r="G350" s="31"/>
      <c r="H350" s="30">
        <f>SUM(U347:U351)</f>
        <v>8.2899999999999991</v>
      </c>
      <c r="I350" s="33"/>
      <c r="J350" s="27">
        <f>Source!AU165</f>
        <v>65</v>
      </c>
      <c r="K350" s="30">
        <f>SUM(V347:V351)</f>
        <v>54.13</v>
      </c>
      <c r="L350" s="32"/>
    </row>
    <row r="351" spans="1:26" ht="14.25" x14ac:dyDescent="0.2">
      <c r="A351" s="47"/>
      <c r="B351" s="48"/>
      <c r="C351" s="48" t="s">
        <v>969</v>
      </c>
      <c r="D351" s="34" t="s">
        <v>970</v>
      </c>
      <c r="E351" s="35">
        <f>Source!AQ165</f>
        <v>5.84</v>
      </c>
      <c r="F351" s="36"/>
      <c r="G351" s="37" t="str">
        <f>Source!DI165</f>
        <v/>
      </c>
      <c r="H351" s="36"/>
      <c r="I351" s="37"/>
      <c r="J351" s="37"/>
      <c r="K351" s="36"/>
      <c r="L351" s="38">
        <f>Source!U165</f>
        <v>1.6352000000000002</v>
      </c>
    </row>
    <row r="352" spans="1:26" ht="15" x14ac:dyDescent="0.25">
      <c r="G352" s="65">
        <f>H348+H349+H350</f>
        <v>31.88</v>
      </c>
      <c r="H352" s="65"/>
      <c r="J352" s="65">
        <f>K348+K349+K350</f>
        <v>208.2</v>
      </c>
      <c r="K352" s="65"/>
      <c r="L352" s="39">
        <f>Source!U165</f>
        <v>1.6352000000000002</v>
      </c>
      <c r="O352" s="24">
        <f>G352</f>
        <v>31.88</v>
      </c>
      <c r="P352" s="24">
        <f>J352</f>
        <v>208.2</v>
      </c>
      <c r="Q352" s="24">
        <f>L352</f>
        <v>1.6352000000000002</v>
      </c>
      <c r="W352">
        <f>IF(Source!BI165&lt;=1,H348+H349+H350, 0)</f>
        <v>31.88</v>
      </c>
      <c r="X352">
        <f>IF(Source!BI165=2,H348+H349+H350, 0)</f>
        <v>0</v>
      </c>
      <c r="Y352">
        <f>IF(Source!BI165=3,H348+H349+H350, 0)</f>
        <v>0</v>
      </c>
      <c r="Z352">
        <f>IF(Source!BI165=4,H348+H349+H350, 0)</f>
        <v>0</v>
      </c>
    </row>
    <row r="353" spans="1:26" ht="42.75" x14ac:dyDescent="0.2">
      <c r="A353" s="45" t="str">
        <f>Source!E166</f>
        <v>36</v>
      </c>
      <c r="B353" s="46" t="str">
        <f>Source!F166</f>
        <v>69-1-2</v>
      </c>
      <c r="C353" s="46" t="str">
        <f>Source!G166</f>
        <v>Пробивка отверстий в кирпичных стенах для  вручную при толщине стен в 1 кирпич</v>
      </c>
      <c r="D353" s="29" t="str">
        <f>Source!H166</f>
        <v>100 ШТ</v>
      </c>
      <c r="E353" s="11">
        <f>Source!I166</f>
        <v>0.14000000000000001</v>
      </c>
      <c r="F353" s="30">
        <f>Source!AL166+Source!AM166+Source!AO166</f>
        <v>666.9</v>
      </c>
      <c r="G353" s="31"/>
      <c r="H353" s="30"/>
      <c r="I353" s="31" t="str">
        <f>Source!BO166</f>
        <v/>
      </c>
      <c r="J353" s="31"/>
      <c r="K353" s="30"/>
      <c r="L353" s="32"/>
      <c r="S353">
        <f>ROUND((Source!FX166/100)*((ROUND(Source!AF166*Source!I166, 2)+ROUND(Source!AE166*Source!I166, 2))), 2)</f>
        <v>72.83</v>
      </c>
      <c r="T353">
        <f>Source!X166</f>
        <v>475.55</v>
      </c>
      <c r="U353">
        <f>ROUND((Source!FY166/100)*((ROUND(Source!AF166*Source!I166, 2)+ROUND(Source!AE166*Source!I166, 2))), 2)</f>
        <v>46.69</v>
      </c>
      <c r="V353">
        <f>Source!Y166</f>
        <v>304.83999999999997</v>
      </c>
    </row>
    <row r="354" spans="1:26" ht="14.25" x14ac:dyDescent="0.2">
      <c r="A354" s="45"/>
      <c r="B354" s="46"/>
      <c r="C354" s="46" t="s">
        <v>965</v>
      </c>
      <c r="D354" s="29"/>
      <c r="E354" s="11"/>
      <c r="F354" s="30">
        <f>Source!AO166</f>
        <v>666.9</v>
      </c>
      <c r="G354" s="31" t="str">
        <f>Source!DG166</f>
        <v/>
      </c>
      <c r="H354" s="30">
        <f>ROUND(Source!AF166*Source!I166, 2)</f>
        <v>93.37</v>
      </c>
      <c r="I354" s="31"/>
      <c r="J354" s="31">
        <f>IF(Source!BA166&lt;&gt; 0, Source!BA166, 1)</f>
        <v>6.53</v>
      </c>
      <c r="K354" s="30">
        <f>Source!S166</f>
        <v>609.67999999999995</v>
      </c>
      <c r="L354" s="32"/>
      <c r="R354">
        <f>H354</f>
        <v>93.37</v>
      </c>
    </row>
    <row r="355" spans="1:26" ht="14.25" x14ac:dyDescent="0.2">
      <c r="A355" s="45"/>
      <c r="B355" s="46"/>
      <c r="C355" s="46" t="s">
        <v>966</v>
      </c>
      <c r="D355" s="29" t="s">
        <v>967</v>
      </c>
      <c r="E355" s="11">
        <f>Source!BZ166</f>
        <v>78</v>
      </c>
      <c r="F355" s="49"/>
      <c r="G355" s="31"/>
      <c r="H355" s="30">
        <f>SUM(S353:S357)</f>
        <v>72.83</v>
      </c>
      <c r="I355" s="33"/>
      <c r="J355" s="27">
        <f>Source!AT166</f>
        <v>78</v>
      </c>
      <c r="K355" s="30">
        <f>SUM(T353:T357)</f>
        <v>475.55</v>
      </c>
      <c r="L355" s="32"/>
    </row>
    <row r="356" spans="1:26" ht="14.25" x14ac:dyDescent="0.2">
      <c r="A356" s="45"/>
      <c r="B356" s="46"/>
      <c r="C356" s="46" t="s">
        <v>968</v>
      </c>
      <c r="D356" s="29" t="s">
        <v>967</v>
      </c>
      <c r="E356" s="11">
        <f>Source!CA166</f>
        <v>50</v>
      </c>
      <c r="F356" s="49"/>
      <c r="G356" s="31"/>
      <c r="H356" s="30">
        <f>SUM(U353:U357)</f>
        <v>46.69</v>
      </c>
      <c r="I356" s="33"/>
      <c r="J356" s="27">
        <f>Source!AU166</f>
        <v>50</v>
      </c>
      <c r="K356" s="30">
        <f>SUM(V353:V357)</f>
        <v>304.83999999999997</v>
      </c>
      <c r="L356" s="32"/>
    </row>
    <row r="357" spans="1:26" ht="14.25" x14ac:dyDescent="0.2">
      <c r="A357" s="47"/>
      <c r="B357" s="48"/>
      <c r="C357" s="48" t="s">
        <v>969</v>
      </c>
      <c r="D357" s="34" t="s">
        <v>970</v>
      </c>
      <c r="E357" s="35">
        <f>Source!AQ166</f>
        <v>85.5</v>
      </c>
      <c r="F357" s="36"/>
      <c r="G357" s="37" t="str">
        <f>Source!DI166</f>
        <v/>
      </c>
      <c r="H357" s="36"/>
      <c r="I357" s="37"/>
      <c r="J357" s="37"/>
      <c r="K357" s="36"/>
      <c r="L357" s="38">
        <f>Source!U166</f>
        <v>11.97</v>
      </c>
    </row>
    <row r="358" spans="1:26" ht="15" x14ac:dyDescent="0.25">
      <c r="G358" s="65">
        <f>H354+H355+H356</f>
        <v>212.89</v>
      </c>
      <c r="H358" s="65"/>
      <c r="J358" s="65">
        <f>K354+K355+K356</f>
        <v>1390.07</v>
      </c>
      <c r="K358" s="65"/>
      <c r="L358" s="39">
        <f>Source!U166</f>
        <v>11.97</v>
      </c>
      <c r="O358" s="24">
        <f>G358</f>
        <v>212.89</v>
      </c>
      <c r="P358" s="24">
        <f>J358</f>
        <v>1390.07</v>
      </c>
      <c r="Q358" s="24">
        <f>L358</f>
        <v>11.97</v>
      </c>
      <c r="W358">
        <f>IF(Source!BI166&lt;=1,H354+H355+H356, 0)</f>
        <v>212.89</v>
      </c>
      <c r="X358">
        <f>IF(Source!BI166=2,H354+H355+H356, 0)</f>
        <v>0</v>
      </c>
      <c r="Y358">
        <f>IF(Source!BI166=3,H354+H355+H356, 0)</f>
        <v>0</v>
      </c>
      <c r="Z358">
        <f>IF(Source!BI166=4,H354+H355+H356, 0)</f>
        <v>0</v>
      </c>
    </row>
    <row r="359" spans="1:26" ht="42.75" x14ac:dyDescent="0.2">
      <c r="A359" s="45" t="str">
        <f>Source!E167</f>
        <v>37</v>
      </c>
      <c r="B359" s="46" t="str">
        <f>Source!F167</f>
        <v>м08-02-410-02 прим.</v>
      </c>
      <c r="C359" s="46" t="str">
        <f>Source!G167</f>
        <v>Труба полиэтиленовая по основанию пола, диаметр до 50 мм</v>
      </c>
      <c r="D359" s="29" t="str">
        <f>Source!H167</f>
        <v>100 м</v>
      </c>
      <c r="E359" s="11">
        <f>Source!I167</f>
        <v>9.8000000000000004E-2</v>
      </c>
      <c r="F359" s="30">
        <f>Source!AL167+Source!AM167+Source!AO167</f>
        <v>250.92</v>
      </c>
      <c r="G359" s="31"/>
      <c r="H359" s="30"/>
      <c r="I359" s="31" t="str">
        <f>Source!BO167</f>
        <v/>
      </c>
      <c r="J359" s="31"/>
      <c r="K359" s="30"/>
      <c r="L359" s="32"/>
      <c r="S359">
        <f>ROUND((Source!FX167/100)*((ROUND(Source!AF167*Source!I167, 2)+ROUND(Source!AE167*Source!I167, 2))), 2)</f>
        <v>13.63</v>
      </c>
      <c r="T359">
        <f>Source!X167</f>
        <v>89</v>
      </c>
      <c r="U359">
        <f>ROUND((Source!FY167/100)*((ROUND(Source!AF167*Source!I167, 2)+ROUND(Source!AE167*Source!I167, 2))), 2)</f>
        <v>9.33</v>
      </c>
      <c r="V359">
        <f>Source!Y167</f>
        <v>60.89</v>
      </c>
    </row>
    <row r="360" spans="1:26" x14ac:dyDescent="0.2">
      <c r="C360" s="25" t="str">
        <f>"Объем: "&amp;Source!I167&amp;"=9,8/"&amp;"100"</f>
        <v>Объем: 0,098=9,8/100</v>
      </c>
    </row>
    <row r="361" spans="1:26" ht="14.25" x14ac:dyDescent="0.2">
      <c r="A361" s="45"/>
      <c r="B361" s="46"/>
      <c r="C361" s="46" t="s">
        <v>965</v>
      </c>
      <c r="D361" s="29"/>
      <c r="E361" s="11"/>
      <c r="F361" s="30">
        <f>Source!AO167</f>
        <v>143.63</v>
      </c>
      <c r="G361" s="31" t="str">
        <f>Source!DG167</f>
        <v/>
      </c>
      <c r="H361" s="30">
        <f>ROUND(Source!AF167*Source!I167, 2)</f>
        <v>14.08</v>
      </c>
      <c r="I361" s="31"/>
      <c r="J361" s="31">
        <f>IF(Source!BA167&lt;&gt; 0, Source!BA167, 1)</f>
        <v>6.53</v>
      </c>
      <c r="K361" s="30">
        <f>Source!S167</f>
        <v>91.91</v>
      </c>
      <c r="L361" s="32"/>
      <c r="R361">
        <f>H361</f>
        <v>14.08</v>
      </c>
    </row>
    <row r="362" spans="1:26" ht="14.25" x14ac:dyDescent="0.2">
      <c r="A362" s="45"/>
      <c r="B362" s="46"/>
      <c r="C362" s="46" t="s">
        <v>284</v>
      </c>
      <c r="D362" s="29"/>
      <c r="E362" s="11"/>
      <c r="F362" s="30">
        <f>Source!AM167</f>
        <v>19.55</v>
      </c>
      <c r="G362" s="31" t="str">
        <f>Source!DE167</f>
        <v/>
      </c>
      <c r="H362" s="30">
        <f>ROUND(Source!AD167*Source!I167, 2)</f>
        <v>1.92</v>
      </c>
      <c r="I362" s="31"/>
      <c r="J362" s="31">
        <f>IF(Source!BB167&lt;&gt; 0, Source!BB167, 1)</f>
        <v>6.53</v>
      </c>
      <c r="K362" s="30">
        <f>Source!Q167</f>
        <v>12.51</v>
      </c>
      <c r="L362" s="32"/>
    </row>
    <row r="363" spans="1:26" ht="14.25" x14ac:dyDescent="0.2">
      <c r="A363" s="45"/>
      <c r="B363" s="46"/>
      <c r="C363" s="46" t="s">
        <v>971</v>
      </c>
      <c r="D363" s="29"/>
      <c r="E363" s="11"/>
      <c r="F363" s="30">
        <f>Source!AN167</f>
        <v>2.77</v>
      </c>
      <c r="G363" s="31" t="str">
        <f>Source!DF167</f>
        <v/>
      </c>
      <c r="H363" s="40">
        <f>ROUND(Source!AE167*Source!I167, 2)</f>
        <v>0.27</v>
      </c>
      <c r="I363" s="31"/>
      <c r="J363" s="31">
        <f>IF(Source!BS167&lt;&gt; 0, Source!BS167, 1)</f>
        <v>6.53</v>
      </c>
      <c r="K363" s="40">
        <f>Source!R167</f>
        <v>1.77</v>
      </c>
      <c r="L363" s="32"/>
      <c r="R363">
        <f>H363</f>
        <v>0.27</v>
      </c>
    </row>
    <row r="364" spans="1:26" ht="14.25" x14ac:dyDescent="0.2">
      <c r="A364" s="45"/>
      <c r="B364" s="46"/>
      <c r="C364" s="46" t="s">
        <v>972</v>
      </c>
      <c r="D364" s="29"/>
      <c r="E364" s="11"/>
      <c r="F364" s="30">
        <f>Source!AL167</f>
        <v>87.74</v>
      </c>
      <c r="G364" s="31" t="str">
        <f>Source!DD167</f>
        <v/>
      </c>
      <c r="H364" s="30">
        <f>ROUND(Source!AC167*Source!I167, 2)</f>
        <v>8.6</v>
      </c>
      <c r="I364" s="31"/>
      <c r="J364" s="31">
        <f>IF(Source!BC167&lt;&gt; 0, Source!BC167, 1)</f>
        <v>6.53</v>
      </c>
      <c r="K364" s="30">
        <f>Source!P167</f>
        <v>56.15</v>
      </c>
      <c r="L364" s="32"/>
    </row>
    <row r="365" spans="1:26" ht="14.25" x14ac:dyDescent="0.2">
      <c r="A365" s="45"/>
      <c r="B365" s="46"/>
      <c r="C365" s="46" t="s">
        <v>966</v>
      </c>
      <c r="D365" s="29" t="s">
        <v>967</v>
      </c>
      <c r="E365" s="11">
        <f>Source!BZ167</f>
        <v>95</v>
      </c>
      <c r="F365" s="49"/>
      <c r="G365" s="31"/>
      <c r="H365" s="30">
        <f>SUM(S359:S368)</f>
        <v>13.63</v>
      </c>
      <c r="I365" s="33"/>
      <c r="J365" s="27">
        <f>Source!AT167</f>
        <v>95</v>
      </c>
      <c r="K365" s="30">
        <f>SUM(T359:T368)</f>
        <v>89</v>
      </c>
      <c r="L365" s="32"/>
    </row>
    <row r="366" spans="1:26" ht="14.25" x14ac:dyDescent="0.2">
      <c r="A366" s="45"/>
      <c r="B366" s="46"/>
      <c r="C366" s="46" t="s">
        <v>968</v>
      </c>
      <c r="D366" s="29" t="s">
        <v>967</v>
      </c>
      <c r="E366" s="11">
        <f>Source!CA167</f>
        <v>65</v>
      </c>
      <c r="F366" s="49"/>
      <c r="G366" s="31"/>
      <c r="H366" s="30">
        <f>SUM(U359:U368)</f>
        <v>9.33</v>
      </c>
      <c r="I366" s="33"/>
      <c r="J366" s="27">
        <f>Source!AU167</f>
        <v>65</v>
      </c>
      <c r="K366" s="30">
        <f>SUM(V359:V368)</f>
        <v>60.89</v>
      </c>
      <c r="L366" s="32"/>
    </row>
    <row r="367" spans="1:26" ht="14.25" x14ac:dyDescent="0.2">
      <c r="A367" s="45"/>
      <c r="B367" s="46"/>
      <c r="C367" s="46" t="s">
        <v>969</v>
      </c>
      <c r="D367" s="29" t="s">
        <v>970</v>
      </c>
      <c r="E367" s="11">
        <f>Source!AQ167</f>
        <v>15.28</v>
      </c>
      <c r="F367" s="30"/>
      <c r="G367" s="31" t="str">
        <f>Source!DI167</f>
        <v/>
      </c>
      <c r="H367" s="30"/>
      <c r="I367" s="31"/>
      <c r="J367" s="31"/>
      <c r="K367" s="30"/>
      <c r="L367" s="41">
        <f>Source!U167</f>
        <v>1.4974400000000001</v>
      </c>
    </row>
    <row r="368" spans="1:26" ht="28.5" x14ac:dyDescent="0.2">
      <c r="A368" s="47" t="str">
        <f>Source!E168</f>
        <v>37,1</v>
      </c>
      <c r="B368" s="48" t="str">
        <f>Source!F168</f>
        <v>24.3.03.13-0304</v>
      </c>
      <c r="C368" s="48" t="str">
        <f>Source!G168</f>
        <v>Трубы гладкие одностенные легкие из ПНД, диаметром 32 мм</v>
      </c>
      <c r="D368" s="34" t="str">
        <f>Source!H168</f>
        <v>10 м</v>
      </c>
      <c r="E368" s="35">
        <f>Source!I168</f>
        <v>0.98</v>
      </c>
      <c r="F368" s="36">
        <f>Source!AL168+Source!AM168+Source!AO168</f>
        <v>99.42</v>
      </c>
      <c r="G368" s="42" t="s">
        <v>3</v>
      </c>
      <c r="H368" s="36">
        <f>ROUND(Source!AC168*Source!I168, 2)+ROUND(Source!AD168*Source!I168, 2)+ROUND(Source!AF168*Source!I168, 2)</f>
        <v>97.43</v>
      </c>
      <c r="I368" s="37"/>
      <c r="J368" s="37">
        <f>IF(Source!BC168&lt;&gt; 0, Source!BC168, 1)</f>
        <v>6.53</v>
      </c>
      <c r="K368" s="36">
        <f>Source!O168</f>
        <v>636.23</v>
      </c>
      <c r="L368" s="43"/>
      <c r="S368">
        <f>ROUND((Source!FX168/100)*((ROUND(Source!AF168*Source!I168, 2)+ROUND(Source!AE168*Source!I168, 2))), 2)</f>
        <v>0</v>
      </c>
      <c r="T368">
        <f>Source!X168</f>
        <v>0</v>
      </c>
      <c r="U368">
        <f>ROUND((Source!FY168/100)*((ROUND(Source!AF168*Source!I168, 2)+ROUND(Source!AE168*Source!I168, 2))), 2)</f>
        <v>0</v>
      </c>
      <c r="V368">
        <f>Source!Y168</f>
        <v>0</v>
      </c>
      <c r="W368">
        <f>IF(Source!BI168&lt;=1,H368, 0)</f>
        <v>0</v>
      </c>
      <c r="X368">
        <f>IF(Source!BI168=2,H368, 0)</f>
        <v>97.43</v>
      </c>
      <c r="Y368">
        <f>IF(Source!BI168=3,H368, 0)</f>
        <v>0</v>
      </c>
      <c r="Z368">
        <f>IF(Source!BI168=4,H368, 0)</f>
        <v>0</v>
      </c>
    </row>
    <row r="369" spans="1:26" ht="15" x14ac:dyDescent="0.25">
      <c r="G369" s="65">
        <f>H361+H362+H364+H365+H366+SUM(H368:H368)</f>
        <v>144.99</v>
      </c>
      <c r="H369" s="65"/>
      <c r="J369" s="65">
        <f>K361+K362+K364+K365+K366+SUM(K368:K368)</f>
        <v>946.69</v>
      </c>
      <c r="K369" s="65"/>
      <c r="L369" s="39">
        <f>Source!U167</f>
        <v>1.4974400000000001</v>
      </c>
      <c r="O369" s="24">
        <f>G369</f>
        <v>144.99</v>
      </c>
      <c r="P369" s="24">
        <f>J369</f>
        <v>946.69</v>
      </c>
      <c r="Q369" s="24">
        <f>L369</f>
        <v>1.4974400000000001</v>
      </c>
      <c r="W369">
        <f>IF(Source!BI167&lt;=1,H361+H362+H364+H365+H366, 0)</f>
        <v>0</v>
      </c>
      <c r="X369">
        <f>IF(Source!BI167=2,H361+H362+H364+H365+H366, 0)</f>
        <v>47.56</v>
      </c>
      <c r="Y369">
        <f>IF(Source!BI167=3,H361+H362+H364+H365+H366, 0)</f>
        <v>0</v>
      </c>
      <c r="Z369">
        <f>IF(Source!BI167=4,H361+H362+H364+H365+H366, 0)</f>
        <v>0</v>
      </c>
    </row>
    <row r="370" spans="1:26" ht="28.5" x14ac:dyDescent="0.2">
      <c r="A370" s="45" t="str">
        <f>Source!E169</f>
        <v>38</v>
      </c>
      <c r="B370" s="46" t="str">
        <f>Source!F169</f>
        <v>м10-08-019-01</v>
      </c>
      <c r="C370" s="46" t="str">
        <f>Source!G169</f>
        <v>Коробка ответвительная на стене</v>
      </c>
      <c r="D370" s="29" t="str">
        <f>Source!H169</f>
        <v>ШТ</v>
      </c>
      <c r="E370" s="11">
        <f>Source!I169</f>
        <v>110</v>
      </c>
      <c r="F370" s="30">
        <f>Source!AL169+Source!AM169+Source!AO169</f>
        <v>5.29</v>
      </c>
      <c r="G370" s="31"/>
      <c r="H370" s="30"/>
      <c r="I370" s="31" t="str">
        <f>Source!BO169</f>
        <v/>
      </c>
      <c r="J370" s="31"/>
      <c r="K370" s="30"/>
      <c r="L370" s="32"/>
      <c r="S370">
        <f>ROUND((Source!FX169/100)*((ROUND(Source!AF169*Source!I169, 2)+ROUND(Source!AE169*Source!I169, 2))), 2)</f>
        <v>429.44</v>
      </c>
      <c r="T370">
        <f>Source!X169</f>
        <v>2804.24</v>
      </c>
      <c r="U370">
        <f>ROUND((Source!FY169/100)*((ROUND(Source!AF169*Source!I169, 2)+ROUND(Source!AE169*Source!I169, 2))), 2)</f>
        <v>322.08</v>
      </c>
      <c r="V370">
        <f>Source!Y169</f>
        <v>2103.1799999999998</v>
      </c>
    </row>
    <row r="371" spans="1:26" ht="14.25" x14ac:dyDescent="0.2">
      <c r="A371" s="45"/>
      <c r="B371" s="46"/>
      <c r="C371" s="46" t="s">
        <v>965</v>
      </c>
      <c r="D371" s="29"/>
      <c r="E371" s="11"/>
      <c r="F371" s="30">
        <f>Source!AO169</f>
        <v>4.88</v>
      </c>
      <c r="G371" s="31" t="str">
        <f>Source!DG169</f>
        <v/>
      </c>
      <c r="H371" s="30">
        <f>ROUND(Source!AF169*Source!I169, 2)</f>
        <v>536.79999999999995</v>
      </c>
      <c r="I371" s="31"/>
      <c r="J371" s="31">
        <f>IF(Source!BA169&lt;&gt; 0, Source!BA169, 1)</f>
        <v>6.53</v>
      </c>
      <c r="K371" s="30">
        <f>Source!S169</f>
        <v>3505.3</v>
      </c>
      <c r="L371" s="32"/>
      <c r="R371">
        <f>H371</f>
        <v>536.79999999999995</v>
      </c>
    </row>
    <row r="372" spans="1:26" ht="14.25" x14ac:dyDescent="0.2">
      <c r="A372" s="45"/>
      <c r="B372" s="46"/>
      <c r="C372" s="46" t="s">
        <v>972</v>
      </c>
      <c r="D372" s="29"/>
      <c r="E372" s="11"/>
      <c r="F372" s="30">
        <f>Source!AL169</f>
        <v>0.41</v>
      </c>
      <c r="G372" s="31" t="str">
        <f>Source!DD169</f>
        <v/>
      </c>
      <c r="H372" s="30">
        <f>ROUND(Source!AC169*Source!I169, 2)</f>
        <v>45.1</v>
      </c>
      <c r="I372" s="31"/>
      <c r="J372" s="31">
        <f>IF(Source!BC169&lt;&gt; 0, Source!BC169, 1)</f>
        <v>6.53</v>
      </c>
      <c r="K372" s="30">
        <f>Source!P169</f>
        <v>294.5</v>
      </c>
      <c r="L372" s="32"/>
    </row>
    <row r="373" spans="1:26" ht="14.25" x14ac:dyDescent="0.2">
      <c r="A373" s="45"/>
      <c r="B373" s="46"/>
      <c r="C373" s="46" t="s">
        <v>966</v>
      </c>
      <c r="D373" s="29" t="s">
        <v>967</v>
      </c>
      <c r="E373" s="11">
        <f>Source!BZ169</f>
        <v>80</v>
      </c>
      <c r="F373" s="49"/>
      <c r="G373" s="31"/>
      <c r="H373" s="30">
        <f>SUM(S370:S376)</f>
        <v>429.44</v>
      </c>
      <c r="I373" s="33"/>
      <c r="J373" s="27">
        <f>Source!AT169</f>
        <v>80</v>
      </c>
      <c r="K373" s="30">
        <f>SUM(T370:T376)</f>
        <v>2804.24</v>
      </c>
      <c r="L373" s="32"/>
    </row>
    <row r="374" spans="1:26" ht="14.25" x14ac:dyDescent="0.2">
      <c r="A374" s="45"/>
      <c r="B374" s="46"/>
      <c r="C374" s="46" t="s">
        <v>968</v>
      </c>
      <c r="D374" s="29" t="s">
        <v>967</v>
      </c>
      <c r="E374" s="11">
        <f>Source!CA169</f>
        <v>60</v>
      </c>
      <c r="F374" s="49"/>
      <c r="G374" s="31"/>
      <c r="H374" s="30">
        <f>SUM(U370:U376)</f>
        <v>322.08</v>
      </c>
      <c r="I374" s="33"/>
      <c r="J374" s="27">
        <f>Source!AU169</f>
        <v>60</v>
      </c>
      <c r="K374" s="30">
        <f>SUM(V370:V376)</f>
        <v>2103.1799999999998</v>
      </c>
      <c r="L374" s="32"/>
    </row>
    <row r="375" spans="1:26" ht="14.25" x14ac:dyDescent="0.2">
      <c r="A375" s="45"/>
      <c r="B375" s="46"/>
      <c r="C375" s="46" t="s">
        <v>969</v>
      </c>
      <c r="D375" s="29" t="s">
        <v>970</v>
      </c>
      <c r="E375" s="11">
        <f>Source!AQ169</f>
        <v>0.5</v>
      </c>
      <c r="F375" s="30"/>
      <c r="G375" s="31" t="str">
        <f>Source!DI169</f>
        <v/>
      </c>
      <c r="H375" s="30"/>
      <c r="I375" s="31"/>
      <c r="J375" s="31"/>
      <c r="K375" s="30"/>
      <c r="L375" s="41">
        <f>Source!U169</f>
        <v>55</v>
      </c>
    </row>
    <row r="376" spans="1:26" ht="28.5" x14ac:dyDescent="0.2">
      <c r="A376" s="47" t="str">
        <f>Source!E170</f>
        <v>38,1</v>
      </c>
      <c r="B376" s="48" t="str">
        <f>Source!F170</f>
        <v>20.5.02.04-0004</v>
      </c>
      <c r="C376" s="48" t="str">
        <f>Source!G170</f>
        <v>Коробка ответвительная SchneiderElectrik 100x100x50мм прим.</v>
      </c>
      <c r="D376" s="34" t="str">
        <f>Source!H170</f>
        <v>10 шт.</v>
      </c>
      <c r="E376" s="35">
        <f>Source!I170</f>
        <v>11</v>
      </c>
      <c r="F376" s="36">
        <f>Source!AL170+Source!AM170+Source!AO170</f>
        <v>62.4</v>
      </c>
      <c r="G376" s="42" t="s">
        <v>3</v>
      </c>
      <c r="H376" s="36">
        <f>ROUND(Source!AC170*Source!I170, 2)+ROUND(Source!AD170*Source!I170, 2)+ROUND(Source!AF170*Source!I170, 2)</f>
        <v>686.4</v>
      </c>
      <c r="I376" s="37"/>
      <c r="J376" s="37">
        <f>IF(Source!BC170&lt;&gt; 0, Source!BC170, 1)</f>
        <v>6.53</v>
      </c>
      <c r="K376" s="36">
        <f>Source!O170</f>
        <v>4482.1899999999996</v>
      </c>
      <c r="L376" s="43"/>
      <c r="S376">
        <f>ROUND((Source!FX170/100)*((ROUND(Source!AF170*Source!I170, 2)+ROUND(Source!AE170*Source!I170, 2))), 2)</f>
        <v>0</v>
      </c>
      <c r="T376">
        <f>Source!X170</f>
        <v>0</v>
      </c>
      <c r="U376">
        <f>ROUND((Source!FY170/100)*((ROUND(Source!AF170*Source!I170, 2)+ROUND(Source!AE170*Source!I170, 2))), 2)</f>
        <v>0</v>
      </c>
      <c r="V376">
        <f>Source!Y170</f>
        <v>0</v>
      </c>
      <c r="W376">
        <f>IF(Source!BI170&lt;=1,H376, 0)</f>
        <v>0</v>
      </c>
      <c r="X376">
        <f>IF(Source!BI170=2,H376, 0)</f>
        <v>686.4</v>
      </c>
      <c r="Y376">
        <f>IF(Source!BI170=3,H376, 0)</f>
        <v>0</v>
      </c>
      <c r="Z376">
        <f>IF(Source!BI170=4,H376, 0)</f>
        <v>0</v>
      </c>
    </row>
    <row r="377" spans="1:26" ht="15" x14ac:dyDescent="0.25">
      <c r="G377" s="65">
        <f>H371+H372+H373+H374+SUM(H376:H376)</f>
        <v>2019.8199999999997</v>
      </c>
      <c r="H377" s="65"/>
      <c r="J377" s="65">
        <f>K371+K372+K373+K374+SUM(K376:K376)</f>
        <v>13189.41</v>
      </c>
      <c r="K377" s="65"/>
      <c r="L377" s="39">
        <f>Source!U169</f>
        <v>55</v>
      </c>
      <c r="O377" s="24">
        <f>G377</f>
        <v>2019.8199999999997</v>
      </c>
      <c r="P377" s="24">
        <f>J377</f>
        <v>13189.41</v>
      </c>
      <c r="Q377" s="24">
        <f>L377</f>
        <v>55</v>
      </c>
      <c r="W377">
        <f>IF(Source!BI169&lt;=1,H371+H372+H373+H374, 0)</f>
        <v>0</v>
      </c>
      <c r="X377">
        <f>IF(Source!BI169=2,H371+H372+H373+H374, 0)</f>
        <v>1333.4199999999998</v>
      </c>
      <c r="Y377">
        <f>IF(Source!BI169=3,H371+H372+H373+H374, 0)</f>
        <v>0</v>
      </c>
      <c r="Z377">
        <f>IF(Source!BI169=4,H371+H372+H373+H374, 0)</f>
        <v>0</v>
      </c>
    </row>
    <row r="378" spans="1:26" ht="28.5" x14ac:dyDescent="0.2">
      <c r="A378" s="45" t="str">
        <f>Source!E171</f>
        <v>39</v>
      </c>
      <c r="B378" s="46" t="str">
        <f>Source!F171</f>
        <v>м08-02-390-03</v>
      </c>
      <c r="C378" s="46" t="str">
        <f>Source!G171</f>
        <v>Короба пластмассовые шириной до 120 мм</v>
      </c>
      <c r="D378" s="29" t="str">
        <f>Source!H171</f>
        <v>100 м</v>
      </c>
      <c r="E378" s="11">
        <f>Source!I171</f>
        <v>0.57499999999999996</v>
      </c>
      <c r="F378" s="30">
        <f>Source!AL171+Source!AM171+Source!AO171</f>
        <v>286.92</v>
      </c>
      <c r="G378" s="31"/>
      <c r="H378" s="30"/>
      <c r="I378" s="31" t="str">
        <f>Source!BO171</f>
        <v/>
      </c>
      <c r="J378" s="31"/>
      <c r="K378" s="30"/>
      <c r="L378" s="32"/>
      <c r="S378">
        <f>ROUND((Source!FX171/100)*((ROUND(Source!AF171*Source!I171, 2)+ROUND(Source!AE171*Source!I171, 2))), 2)</f>
        <v>105.69</v>
      </c>
      <c r="T378">
        <f>Source!X171</f>
        <v>690.15</v>
      </c>
      <c r="U378">
        <f>ROUND((Source!FY171/100)*((ROUND(Source!AF171*Source!I171, 2)+ROUND(Source!AE171*Source!I171, 2))), 2)</f>
        <v>72.31</v>
      </c>
      <c r="V378">
        <f>Source!Y171</f>
        <v>472.21</v>
      </c>
    </row>
    <row r="379" spans="1:26" x14ac:dyDescent="0.2">
      <c r="C379" s="25" t="str">
        <f>"Объем: "&amp;Source!I171&amp;"=57,5/"&amp;"100"</f>
        <v>Объем: 0,575=57,5/100</v>
      </c>
    </row>
    <row r="380" spans="1:26" ht="14.25" x14ac:dyDescent="0.2">
      <c r="A380" s="45"/>
      <c r="B380" s="46"/>
      <c r="C380" s="46" t="s">
        <v>965</v>
      </c>
      <c r="D380" s="29"/>
      <c r="E380" s="11"/>
      <c r="F380" s="30">
        <f>Source!AO171</f>
        <v>193.34</v>
      </c>
      <c r="G380" s="31" t="str">
        <f>Source!DG171</f>
        <v/>
      </c>
      <c r="H380" s="30">
        <f>ROUND(Source!AF171*Source!I171, 2)</f>
        <v>111.17</v>
      </c>
      <c r="I380" s="31"/>
      <c r="J380" s="31">
        <f>IF(Source!BA171&lt;&gt; 0, Source!BA171, 1)</f>
        <v>6.53</v>
      </c>
      <c r="K380" s="30">
        <f>Source!S171</f>
        <v>725.94</v>
      </c>
      <c r="L380" s="32"/>
      <c r="R380">
        <f>H380</f>
        <v>111.17</v>
      </c>
    </row>
    <row r="381" spans="1:26" ht="14.25" x14ac:dyDescent="0.2">
      <c r="A381" s="45"/>
      <c r="B381" s="46"/>
      <c r="C381" s="46" t="s">
        <v>284</v>
      </c>
      <c r="D381" s="29"/>
      <c r="E381" s="11"/>
      <c r="F381" s="30">
        <f>Source!AM171</f>
        <v>0.31</v>
      </c>
      <c r="G381" s="31" t="str">
        <f>Source!DE171</f>
        <v/>
      </c>
      <c r="H381" s="30">
        <f>ROUND(Source!AD171*Source!I171, 2)</f>
        <v>0.18</v>
      </c>
      <c r="I381" s="31"/>
      <c r="J381" s="31">
        <f>IF(Source!BB171&lt;&gt; 0, Source!BB171, 1)</f>
        <v>6.53</v>
      </c>
      <c r="K381" s="30">
        <f>Source!Q171</f>
        <v>1.1599999999999999</v>
      </c>
      <c r="L381" s="32"/>
    </row>
    <row r="382" spans="1:26" ht="14.25" x14ac:dyDescent="0.2">
      <c r="A382" s="45"/>
      <c r="B382" s="46"/>
      <c r="C382" s="46" t="s">
        <v>971</v>
      </c>
      <c r="D382" s="29"/>
      <c r="E382" s="11"/>
      <c r="F382" s="30">
        <f>Source!AN171</f>
        <v>0.14000000000000001</v>
      </c>
      <c r="G382" s="31" t="str">
        <f>Source!DF171</f>
        <v/>
      </c>
      <c r="H382" s="40">
        <f>ROUND(Source!AE171*Source!I171, 2)</f>
        <v>0.08</v>
      </c>
      <c r="I382" s="31"/>
      <c r="J382" s="31">
        <f>IF(Source!BS171&lt;&gt; 0, Source!BS171, 1)</f>
        <v>6.53</v>
      </c>
      <c r="K382" s="40">
        <f>Source!R171</f>
        <v>0.53</v>
      </c>
      <c r="L382" s="32"/>
      <c r="R382">
        <f>H382</f>
        <v>0.08</v>
      </c>
    </row>
    <row r="383" spans="1:26" ht="14.25" x14ac:dyDescent="0.2">
      <c r="A383" s="45"/>
      <c r="B383" s="46"/>
      <c r="C383" s="46" t="s">
        <v>972</v>
      </c>
      <c r="D383" s="29"/>
      <c r="E383" s="11"/>
      <c r="F383" s="30">
        <f>Source!AL171</f>
        <v>93.27</v>
      </c>
      <c r="G383" s="31" t="str">
        <f>Source!DD171</f>
        <v/>
      </c>
      <c r="H383" s="30">
        <f>ROUND(Source!AC171*Source!I171, 2)</f>
        <v>53.63</v>
      </c>
      <c r="I383" s="31"/>
      <c r="J383" s="31">
        <f>IF(Source!BC171&lt;&gt; 0, Source!BC171, 1)</f>
        <v>6.53</v>
      </c>
      <c r="K383" s="30">
        <f>Source!P171</f>
        <v>350.21</v>
      </c>
      <c r="L383" s="32"/>
    </row>
    <row r="384" spans="1:26" ht="14.25" x14ac:dyDescent="0.2">
      <c r="A384" s="45"/>
      <c r="B384" s="46"/>
      <c r="C384" s="46" t="s">
        <v>966</v>
      </c>
      <c r="D384" s="29" t="s">
        <v>967</v>
      </c>
      <c r="E384" s="11">
        <f>Source!BZ171</f>
        <v>95</v>
      </c>
      <c r="F384" s="49"/>
      <c r="G384" s="31"/>
      <c r="H384" s="30">
        <f>SUM(S378:S387)</f>
        <v>105.69</v>
      </c>
      <c r="I384" s="33"/>
      <c r="J384" s="27">
        <f>Source!AT171</f>
        <v>95</v>
      </c>
      <c r="K384" s="30">
        <f>SUM(T378:T387)</f>
        <v>690.15</v>
      </c>
      <c r="L384" s="32"/>
    </row>
    <row r="385" spans="1:26" ht="14.25" x14ac:dyDescent="0.2">
      <c r="A385" s="45"/>
      <c r="B385" s="46"/>
      <c r="C385" s="46" t="s">
        <v>968</v>
      </c>
      <c r="D385" s="29" t="s">
        <v>967</v>
      </c>
      <c r="E385" s="11">
        <f>Source!CA171</f>
        <v>65</v>
      </c>
      <c r="F385" s="49"/>
      <c r="G385" s="31"/>
      <c r="H385" s="30">
        <f>SUM(U378:U387)</f>
        <v>72.31</v>
      </c>
      <c r="I385" s="33"/>
      <c r="J385" s="27">
        <f>Source!AU171</f>
        <v>65</v>
      </c>
      <c r="K385" s="30">
        <f>SUM(V378:V387)</f>
        <v>472.21</v>
      </c>
      <c r="L385" s="32"/>
    </row>
    <row r="386" spans="1:26" ht="14.25" x14ac:dyDescent="0.2">
      <c r="A386" s="45"/>
      <c r="B386" s="46"/>
      <c r="C386" s="46" t="s">
        <v>969</v>
      </c>
      <c r="D386" s="29" t="s">
        <v>970</v>
      </c>
      <c r="E386" s="11">
        <f>Source!AQ171</f>
        <v>20.329999999999998</v>
      </c>
      <c r="F386" s="30"/>
      <c r="G386" s="31" t="str">
        <f>Source!DI171</f>
        <v/>
      </c>
      <c r="H386" s="30"/>
      <c r="I386" s="31"/>
      <c r="J386" s="31"/>
      <c r="K386" s="30"/>
      <c r="L386" s="41">
        <f>Source!U171</f>
        <v>11.689749999999998</v>
      </c>
    </row>
    <row r="387" spans="1:26" ht="28.5" x14ac:dyDescent="0.2">
      <c r="A387" s="47" t="str">
        <f>Source!E172</f>
        <v>39,1</v>
      </c>
      <c r="B387" s="48" t="str">
        <f>Source!F172</f>
        <v>20.2.05.04-0034</v>
      </c>
      <c r="C387" s="48" t="str">
        <f>Source!G172</f>
        <v>Кабель-канал (короб)  Efapel 110x50 мм прим.</v>
      </c>
      <c r="D387" s="34" t="str">
        <f>Source!H172</f>
        <v>100 м</v>
      </c>
      <c r="E387" s="35">
        <f>Source!I172</f>
        <v>0.57499999999999996</v>
      </c>
      <c r="F387" s="36">
        <f>Source!AL172+Source!AM172+Source!AO172</f>
        <v>1360</v>
      </c>
      <c r="G387" s="42" t="s">
        <v>3</v>
      </c>
      <c r="H387" s="36">
        <f>ROUND(Source!AC172*Source!I172, 2)+ROUND(Source!AD172*Source!I172, 2)+ROUND(Source!AF172*Source!I172, 2)</f>
        <v>782</v>
      </c>
      <c r="I387" s="37"/>
      <c r="J387" s="37">
        <f>IF(Source!BC172&lt;&gt; 0, Source!BC172, 1)</f>
        <v>6.53</v>
      </c>
      <c r="K387" s="36">
        <f>Source!O172</f>
        <v>5106.46</v>
      </c>
      <c r="L387" s="43"/>
      <c r="S387">
        <f>ROUND((Source!FX172/100)*((ROUND(Source!AF172*Source!I172, 2)+ROUND(Source!AE172*Source!I172, 2))), 2)</f>
        <v>0</v>
      </c>
      <c r="T387">
        <f>Source!X172</f>
        <v>0</v>
      </c>
      <c r="U387">
        <f>ROUND((Source!FY172/100)*((ROUND(Source!AF172*Source!I172, 2)+ROUND(Source!AE172*Source!I172, 2))), 2)</f>
        <v>0</v>
      </c>
      <c r="V387">
        <f>Source!Y172</f>
        <v>0</v>
      </c>
      <c r="W387">
        <f>IF(Source!BI172&lt;=1,H387, 0)</f>
        <v>0</v>
      </c>
      <c r="X387">
        <f>IF(Source!BI172=2,H387, 0)</f>
        <v>782</v>
      </c>
      <c r="Y387">
        <f>IF(Source!BI172=3,H387, 0)</f>
        <v>0</v>
      </c>
      <c r="Z387">
        <f>IF(Source!BI172=4,H387, 0)</f>
        <v>0</v>
      </c>
    </row>
    <row r="388" spans="1:26" ht="15" x14ac:dyDescent="0.25">
      <c r="G388" s="65">
        <f>H380+H381+H383+H384+H385+SUM(H387:H387)</f>
        <v>1124.98</v>
      </c>
      <c r="H388" s="65"/>
      <c r="J388" s="65">
        <f>K380+K381+K383+K384+K385+SUM(K387:K387)</f>
        <v>7346.13</v>
      </c>
      <c r="K388" s="65"/>
      <c r="L388" s="39">
        <f>Source!U171</f>
        <v>11.689749999999998</v>
      </c>
      <c r="O388" s="24">
        <f>G388</f>
        <v>1124.98</v>
      </c>
      <c r="P388" s="24">
        <f>J388</f>
        <v>7346.13</v>
      </c>
      <c r="Q388" s="24">
        <f>L388</f>
        <v>11.689749999999998</v>
      </c>
      <c r="W388">
        <f>IF(Source!BI171&lt;=1,H380+H381+H383+H384+H385, 0)</f>
        <v>0</v>
      </c>
      <c r="X388">
        <f>IF(Source!BI171=2,H380+H381+H383+H384+H385, 0)</f>
        <v>342.98</v>
      </c>
      <c r="Y388">
        <f>IF(Source!BI171=3,H380+H381+H383+H384+H385, 0)</f>
        <v>0</v>
      </c>
      <c r="Z388">
        <f>IF(Source!BI171=4,H380+H381+H383+H384+H385, 0)</f>
        <v>0</v>
      </c>
    </row>
    <row r="389" spans="1:26" ht="28.5" x14ac:dyDescent="0.2">
      <c r="A389" s="45" t="str">
        <f>Source!E173</f>
        <v>40</v>
      </c>
      <c r="B389" s="46" t="str">
        <f>Source!F173</f>
        <v>м08-10-010-01</v>
      </c>
      <c r="C389" s="46" t="str">
        <f>Source!G173</f>
        <v>Прокладка труб гофрированных ПВХ для защиты проводов и кабелей</v>
      </c>
      <c r="D389" s="29" t="str">
        <f>Source!H173</f>
        <v>100 м</v>
      </c>
      <c r="E389" s="11">
        <f>Source!I173</f>
        <v>3.76</v>
      </c>
      <c r="F389" s="30">
        <f>Source!AL173+Source!AM173+Source!AO173</f>
        <v>156.32999999999998</v>
      </c>
      <c r="G389" s="31"/>
      <c r="H389" s="30"/>
      <c r="I389" s="31" t="str">
        <f>Source!BO173</f>
        <v/>
      </c>
      <c r="J389" s="31"/>
      <c r="K389" s="30"/>
      <c r="L389" s="32"/>
      <c r="S389">
        <f>ROUND((Source!FX173/100)*((ROUND(Source!AF173*Source!I173, 2)+ROUND(Source!AE173*Source!I173, 2))), 2)</f>
        <v>498.44</v>
      </c>
      <c r="T389">
        <f>Source!X173</f>
        <v>3254.8</v>
      </c>
      <c r="U389">
        <f>ROUND((Source!FY173/100)*((ROUND(Source!AF173*Source!I173, 2)+ROUND(Source!AE173*Source!I173, 2))), 2)</f>
        <v>341.04</v>
      </c>
      <c r="V389">
        <f>Source!Y173</f>
        <v>2226.9699999999998</v>
      </c>
    </row>
    <row r="390" spans="1:26" ht="14.25" x14ac:dyDescent="0.2">
      <c r="A390" s="45"/>
      <c r="B390" s="46"/>
      <c r="C390" s="46" t="s">
        <v>965</v>
      </c>
      <c r="D390" s="29"/>
      <c r="E390" s="11"/>
      <c r="F390" s="30">
        <f>Source!AO173</f>
        <v>139.54</v>
      </c>
      <c r="G390" s="31" t="str">
        <f>Source!DG173</f>
        <v/>
      </c>
      <c r="H390" s="30">
        <f>ROUND(Source!AF173*Source!I173, 2)</f>
        <v>524.66999999999996</v>
      </c>
      <c r="I390" s="31"/>
      <c r="J390" s="31">
        <f>IF(Source!BA173&lt;&gt; 0, Source!BA173, 1)</f>
        <v>6.53</v>
      </c>
      <c r="K390" s="30">
        <f>Source!S173</f>
        <v>3426.1</v>
      </c>
      <c r="L390" s="32"/>
      <c r="R390">
        <f>H390</f>
        <v>524.66999999999996</v>
      </c>
    </row>
    <row r="391" spans="1:26" ht="14.25" x14ac:dyDescent="0.2">
      <c r="A391" s="45"/>
      <c r="B391" s="46"/>
      <c r="C391" s="46" t="s">
        <v>972</v>
      </c>
      <c r="D391" s="29"/>
      <c r="E391" s="11"/>
      <c r="F391" s="30">
        <f>Source!AL173</f>
        <v>16.79</v>
      </c>
      <c r="G391" s="31" t="str">
        <f>Source!DD173</f>
        <v/>
      </c>
      <c r="H391" s="30">
        <f>ROUND(Source!AC173*Source!I173, 2)</f>
        <v>63.13</v>
      </c>
      <c r="I391" s="31"/>
      <c r="J391" s="31">
        <f>IF(Source!BC173&lt;&gt; 0, Source!BC173, 1)</f>
        <v>6.53</v>
      </c>
      <c r="K391" s="30">
        <f>Source!P173</f>
        <v>412.24</v>
      </c>
      <c r="L391" s="32"/>
    </row>
    <row r="392" spans="1:26" ht="14.25" x14ac:dyDescent="0.2">
      <c r="A392" s="45"/>
      <c r="B392" s="46"/>
      <c r="C392" s="46" t="s">
        <v>966</v>
      </c>
      <c r="D392" s="29" t="s">
        <v>967</v>
      </c>
      <c r="E392" s="11">
        <f>Source!BZ173</f>
        <v>95</v>
      </c>
      <c r="F392" s="49"/>
      <c r="G392" s="31"/>
      <c r="H392" s="30">
        <f>SUM(S389:S395)</f>
        <v>498.44</v>
      </c>
      <c r="I392" s="33"/>
      <c r="J392" s="27">
        <f>Source!AT173</f>
        <v>95</v>
      </c>
      <c r="K392" s="30">
        <f>SUM(T389:T395)</f>
        <v>3254.8</v>
      </c>
      <c r="L392" s="32"/>
    </row>
    <row r="393" spans="1:26" ht="14.25" x14ac:dyDescent="0.2">
      <c r="A393" s="45"/>
      <c r="B393" s="46"/>
      <c r="C393" s="46" t="s">
        <v>968</v>
      </c>
      <c r="D393" s="29" t="s">
        <v>967</v>
      </c>
      <c r="E393" s="11">
        <f>Source!CA173</f>
        <v>65</v>
      </c>
      <c r="F393" s="49"/>
      <c r="G393" s="31"/>
      <c r="H393" s="30">
        <f>SUM(U389:U395)</f>
        <v>341.04</v>
      </c>
      <c r="I393" s="33"/>
      <c r="J393" s="27">
        <f>Source!AU173</f>
        <v>65</v>
      </c>
      <c r="K393" s="30">
        <f>SUM(V389:V395)</f>
        <v>2226.9699999999998</v>
      </c>
      <c r="L393" s="32"/>
    </row>
    <row r="394" spans="1:26" ht="14.25" x14ac:dyDescent="0.2">
      <c r="A394" s="45"/>
      <c r="B394" s="46"/>
      <c r="C394" s="46" t="s">
        <v>969</v>
      </c>
      <c r="D394" s="29" t="s">
        <v>970</v>
      </c>
      <c r="E394" s="11">
        <f>Source!AQ173</f>
        <v>15.2</v>
      </c>
      <c r="F394" s="30"/>
      <c r="G394" s="31" t="str">
        <f>Source!DI173</f>
        <v/>
      </c>
      <c r="H394" s="30"/>
      <c r="I394" s="31"/>
      <c r="J394" s="31"/>
      <c r="K394" s="30"/>
      <c r="L394" s="41">
        <f>Source!U173</f>
        <v>57.151999999999994</v>
      </c>
    </row>
    <row r="395" spans="1:26" ht="42.75" x14ac:dyDescent="0.2">
      <c r="A395" s="47" t="str">
        <f>Source!E174</f>
        <v>40,1</v>
      </c>
      <c r="B395" s="48" t="str">
        <f>Source!F174</f>
        <v>24.3.03.05-0012</v>
      </c>
      <c r="C395" s="48" t="str">
        <f>Source!G174</f>
        <v>Трубы гибкие гофрированные легкие из ПНД, серии BL, с зондом, диаметром 20 мм</v>
      </c>
      <c r="D395" s="34" t="str">
        <f>Source!H174</f>
        <v>10 м</v>
      </c>
      <c r="E395" s="35">
        <f>Source!I174</f>
        <v>37.6</v>
      </c>
      <c r="F395" s="36">
        <f>Source!AL174+Source!AM174+Source!AO174</f>
        <v>31.6</v>
      </c>
      <c r="G395" s="42" t="s">
        <v>3</v>
      </c>
      <c r="H395" s="36">
        <f>ROUND(Source!AC174*Source!I174, 2)+ROUND(Source!AD174*Source!I174, 2)+ROUND(Source!AF174*Source!I174, 2)</f>
        <v>1188.1600000000001</v>
      </c>
      <c r="I395" s="37"/>
      <c r="J395" s="37">
        <f>IF(Source!BC174&lt;&gt; 0, Source!BC174, 1)</f>
        <v>6.53</v>
      </c>
      <c r="K395" s="36">
        <f>Source!O174</f>
        <v>7758.68</v>
      </c>
      <c r="L395" s="43"/>
      <c r="S395">
        <f>ROUND((Source!FX174/100)*((ROUND(Source!AF174*Source!I174, 2)+ROUND(Source!AE174*Source!I174, 2))), 2)</f>
        <v>0</v>
      </c>
      <c r="T395">
        <f>Source!X174</f>
        <v>0</v>
      </c>
      <c r="U395">
        <f>ROUND((Source!FY174/100)*((ROUND(Source!AF174*Source!I174, 2)+ROUND(Source!AE174*Source!I174, 2))), 2)</f>
        <v>0</v>
      </c>
      <c r="V395">
        <f>Source!Y174</f>
        <v>0</v>
      </c>
      <c r="W395">
        <f>IF(Source!BI174&lt;=1,H395, 0)</f>
        <v>0</v>
      </c>
      <c r="X395">
        <f>IF(Source!BI174=2,H395, 0)</f>
        <v>1188.1600000000001</v>
      </c>
      <c r="Y395">
        <f>IF(Source!BI174=3,H395, 0)</f>
        <v>0</v>
      </c>
      <c r="Z395">
        <f>IF(Source!BI174=4,H395, 0)</f>
        <v>0</v>
      </c>
    </row>
    <row r="396" spans="1:26" ht="15" x14ac:dyDescent="0.25">
      <c r="G396" s="65">
        <f>H390+H391+H392+H393+SUM(H395:H395)</f>
        <v>2615.44</v>
      </c>
      <c r="H396" s="65"/>
      <c r="J396" s="65">
        <f>K390+K391+K392+K393+SUM(K395:K395)</f>
        <v>17078.79</v>
      </c>
      <c r="K396" s="65"/>
      <c r="L396" s="39">
        <f>Source!U173</f>
        <v>57.151999999999994</v>
      </c>
      <c r="O396" s="24">
        <f>G396</f>
        <v>2615.44</v>
      </c>
      <c r="P396" s="24">
        <f>J396</f>
        <v>17078.79</v>
      </c>
      <c r="Q396" s="24">
        <f>L396</f>
        <v>57.151999999999994</v>
      </c>
      <c r="W396">
        <f>IF(Source!BI173&lt;=1,H390+H391+H392+H393, 0)</f>
        <v>0</v>
      </c>
      <c r="X396">
        <f>IF(Source!BI173=2,H390+H391+H392+H393, 0)</f>
        <v>1427.28</v>
      </c>
      <c r="Y396">
        <f>IF(Source!BI173=3,H390+H391+H392+H393, 0)</f>
        <v>0</v>
      </c>
      <c r="Z396">
        <f>IF(Source!BI173=4,H390+H391+H392+H393, 0)</f>
        <v>0</v>
      </c>
    </row>
    <row r="397" spans="1:26" ht="28.5" x14ac:dyDescent="0.2">
      <c r="A397" s="45" t="str">
        <f>Source!E175</f>
        <v>41</v>
      </c>
      <c r="B397" s="46" t="str">
        <f>Source!F175</f>
        <v>м08-02-399-02</v>
      </c>
      <c r="C397" s="46" t="str">
        <f>Source!G175</f>
        <v>Прокладка кабеля  в коробах, сечением до 35 мм2</v>
      </c>
      <c r="D397" s="29" t="str">
        <f>Source!H175</f>
        <v>100 м</v>
      </c>
      <c r="E397" s="11">
        <f>Source!I175</f>
        <v>0.8</v>
      </c>
      <c r="F397" s="30">
        <f>Source!AL175+Source!AM175+Source!AO175</f>
        <v>50.72</v>
      </c>
      <c r="G397" s="31"/>
      <c r="H397" s="30"/>
      <c r="I397" s="31" t="str">
        <f>Source!BO175</f>
        <v/>
      </c>
      <c r="J397" s="31"/>
      <c r="K397" s="30"/>
      <c r="L397" s="32"/>
      <c r="S397">
        <f>ROUND((Source!FX175/100)*((ROUND(Source!AF175*Source!I175, 2)+ROUND(Source!AE175*Source!I175, 2))), 2)</f>
        <v>27.06</v>
      </c>
      <c r="T397">
        <f>Source!X175</f>
        <v>176.68</v>
      </c>
      <c r="U397">
        <f>ROUND((Source!FY175/100)*((ROUND(Source!AF175*Source!I175, 2)+ROUND(Source!AE175*Source!I175, 2))), 2)</f>
        <v>18.510000000000002</v>
      </c>
      <c r="V397">
        <f>Source!Y175</f>
        <v>120.89</v>
      </c>
    </row>
    <row r="398" spans="1:26" ht="14.25" x14ac:dyDescent="0.2">
      <c r="A398" s="45"/>
      <c r="B398" s="46"/>
      <c r="C398" s="46" t="s">
        <v>965</v>
      </c>
      <c r="D398" s="29"/>
      <c r="E398" s="11"/>
      <c r="F398" s="30">
        <f>Source!AO175</f>
        <v>35.340000000000003</v>
      </c>
      <c r="G398" s="31" t="str">
        <f>Source!DG175</f>
        <v/>
      </c>
      <c r="H398" s="30">
        <f>ROUND(Source!AF175*Source!I175, 2)</f>
        <v>28.27</v>
      </c>
      <c r="I398" s="31"/>
      <c r="J398" s="31">
        <f>IF(Source!BA175&lt;&gt; 0, Source!BA175, 1)</f>
        <v>6.53</v>
      </c>
      <c r="K398" s="30">
        <f>Source!S175</f>
        <v>184.62</v>
      </c>
      <c r="L398" s="32"/>
      <c r="R398">
        <f>H398</f>
        <v>28.27</v>
      </c>
    </row>
    <row r="399" spans="1:26" ht="14.25" x14ac:dyDescent="0.2">
      <c r="A399" s="45"/>
      <c r="B399" s="46"/>
      <c r="C399" s="46" t="s">
        <v>284</v>
      </c>
      <c r="D399" s="29"/>
      <c r="E399" s="11"/>
      <c r="F399" s="30">
        <f>Source!AM175</f>
        <v>1.78</v>
      </c>
      <c r="G399" s="31" t="str">
        <f>Source!DE175</f>
        <v/>
      </c>
      <c r="H399" s="30">
        <f>ROUND(Source!AD175*Source!I175, 2)</f>
        <v>1.42</v>
      </c>
      <c r="I399" s="31"/>
      <c r="J399" s="31">
        <f>IF(Source!BB175&lt;&gt; 0, Source!BB175, 1)</f>
        <v>6.53</v>
      </c>
      <c r="K399" s="30">
        <f>Source!Q175</f>
        <v>9.3000000000000007</v>
      </c>
      <c r="L399" s="32"/>
    </row>
    <row r="400" spans="1:26" ht="14.25" x14ac:dyDescent="0.2">
      <c r="A400" s="45"/>
      <c r="B400" s="46"/>
      <c r="C400" s="46" t="s">
        <v>971</v>
      </c>
      <c r="D400" s="29"/>
      <c r="E400" s="11"/>
      <c r="F400" s="30">
        <f>Source!AN175</f>
        <v>0.26</v>
      </c>
      <c r="G400" s="31" t="str">
        <f>Source!DF175</f>
        <v/>
      </c>
      <c r="H400" s="40">
        <f>ROUND(Source!AE175*Source!I175, 2)</f>
        <v>0.21</v>
      </c>
      <c r="I400" s="31"/>
      <c r="J400" s="31">
        <f>IF(Source!BS175&lt;&gt; 0, Source!BS175, 1)</f>
        <v>6.53</v>
      </c>
      <c r="K400" s="40">
        <f>Source!R175</f>
        <v>1.36</v>
      </c>
      <c r="L400" s="32"/>
      <c r="R400">
        <f>H400</f>
        <v>0.21</v>
      </c>
    </row>
    <row r="401" spans="1:26" ht="14.25" x14ac:dyDescent="0.2">
      <c r="A401" s="45"/>
      <c r="B401" s="46"/>
      <c r="C401" s="46" t="s">
        <v>972</v>
      </c>
      <c r="D401" s="29"/>
      <c r="E401" s="11"/>
      <c r="F401" s="30">
        <f>Source!AL175</f>
        <v>13.6</v>
      </c>
      <c r="G401" s="31" t="str">
        <f>Source!DD175</f>
        <v/>
      </c>
      <c r="H401" s="30">
        <f>ROUND(Source!AC175*Source!I175, 2)</f>
        <v>10.88</v>
      </c>
      <c r="I401" s="31"/>
      <c r="J401" s="31">
        <f>IF(Source!BC175&lt;&gt; 0, Source!BC175, 1)</f>
        <v>6.53</v>
      </c>
      <c r="K401" s="30">
        <f>Source!P175</f>
        <v>71.05</v>
      </c>
      <c r="L401" s="32"/>
    </row>
    <row r="402" spans="1:26" ht="14.25" x14ac:dyDescent="0.2">
      <c r="A402" s="45"/>
      <c r="B402" s="46"/>
      <c r="C402" s="46" t="s">
        <v>966</v>
      </c>
      <c r="D402" s="29" t="s">
        <v>967</v>
      </c>
      <c r="E402" s="11">
        <f>Source!BZ175</f>
        <v>95</v>
      </c>
      <c r="F402" s="49"/>
      <c r="G402" s="31"/>
      <c r="H402" s="30">
        <f>SUM(S397:S405)</f>
        <v>27.06</v>
      </c>
      <c r="I402" s="33"/>
      <c r="J402" s="27">
        <f>Source!AT175</f>
        <v>95</v>
      </c>
      <c r="K402" s="30">
        <f>SUM(T397:T405)</f>
        <v>176.68</v>
      </c>
      <c r="L402" s="32"/>
    </row>
    <row r="403" spans="1:26" ht="14.25" x14ac:dyDescent="0.2">
      <c r="A403" s="45"/>
      <c r="B403" s="46"/>
      <c r="C403" s="46" t="s">
        <v>968</v>
      </c>
      <c r="D403" s="29" t="s">
        <v>967</v>
      </c>
      <c r="E403" s="11">
        <f>Source!CA175</f>
        <v>65</v>
      </c>
      <c r="F403" s="49"/>
      <c r="G403" s="31"/>
      <c r="H403" s="30">
        <f>SUM(U397:U405)</f>
        <v>18.510000000000002</v>
      </c>
      <c r="I403" s="33"/>
      <c r="J403" s="27">
        <f>Source!AU175</f>
        <v>65</v>
      </c>
      <c r="K403" s="30">
        <f>SUM(V397:V405)</f>
        <v>120.89</v>
      </c>
      <c r="L403" s="32"/>
    </row>
    <row r="404" spans="1:26" ht="14.25" x14ac:dyDescent="0.2">
      <c r="A404" s="45"/>
      <c r="B404" s="46"/>
      <c r="C404" s="46" t="s">
        <v>969</v>
      </c>
      <c r="D404" s="29" t="s">
        <v>970</v>
      </c>
      <c r="E404" s="11">
        <f>Source!AQ175</f>
        <v>3.76</v>
      </c>
      <c r="F404" s="30"/>
      <c r="G404" s="31" t="str">
        <f>Source!DI175</f>
        <v/>
      </c>
      <c r="H404" s="30"/>
      <c r="I404" s="31"/>
      <c r="J404" s="31"/>
      <c r="K404" s="30"/>
      <c r="L404" s="41">
        <f>Source!U175</f>
        <v>3.008</v>
      </c>
    </row>
    <row r="405" spans="1:26" ht="85.5" x14ac:dyDescent="0.2">
      <c r="A405" s="47" t="str">
        <f>Source!E176</f>
        <v>41,1</v>
      </c>
      <c r="B405" s="48" t="str">
        <f>Source!F176</f>
        <v>21.1.06.09-0152</v>
      </c>
      <c r="C405" s="48" t="str">
        <f>Source!G176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405" s="34" t="str">
        <f>Source!H176</f>
        <v>1000 м</v>
      </c>
      <c r="E405" s="35">
        <f>Source!I176</f>
        <v>0.08</v>
      </c>
      <c r="F405" s="36">
        <f>Source!AL176+Source!AM176+Source!AO176</f>
        <v>6920.41</v>
      </c>
      <c r="G405" s="42" t="s">
        <v>3</v>
      </c>
      <c r="H405" s="36">
        <f>ROUND(Source!AC176*Source!I176, 2)+ROUND(Source!AD176*Source!I176, 2)+ROUND(Source!AF176*Source!I176, 2)</f>
        <v>553.63</v>
      </c>
      <c r="I405" s="37"/>
      <c r="J405" s="37">
        <f>IF(Source!BC176&lt;&gt; 0, Source!BC176, 1)</f>
        <v>6.53</v>
      </c>
      <c r="K405" s="36">
        <f>Source!O176</f>
        <v>3615.22</v>
      </c>
      <c r="L405" s="43"/>
      <c r="S405">
        <f>ROUND((Source!FX176/100)*((ROUND(Source!AF176*Source!I176, 2)+ROUND(Source!AE176*Source!I176, 2))), 2)</f>
        <v>0</v>
      </c>
      <c r="T405">
        <f>Source!X176</f>
        <v>0</v>
      </c>
      <c r="U405">
        <f>ROUND((Source!FY176/100)*((ROUND(Source!AF176*Source!I176, 2)+ROUND(Source!AE176*Source!I176, 2))), 2)</f>
        <v>0</v>
      </c>
      <c r="V405">
        <f>Source!Y176</f>
        <v>0</v>
      </c>
      <c r="W405">
        <f>IF(Source!BI176&lt;=1,H405, 0)</f>
        <v>0</v>
      </c>
      <c r="X405">
        <f>IF(Source!BI176=2,H405, 0)</f>
        <v>553.63</v>
      </c>
      <c r="Y405">
        <f>IF(Source!BI176=3,H405, 0)</f>
        <v>0</v>
      </c>
      <c r="Z405">
        <f>IF(Source!BI176=4,H405, 0)</f>
        <v>0</v>
      </c>
    </row>
    <row r="406" spans="1:26" ht="15" x14ac:dyDescent="0.25">
      <c r="G406" s="65">
        <f>H398+H399+H401+H402+H403+SUM(H405:H405)</f>
        <v>639.77</v>
      </c>
      <c r="H406" s="65"/>
      <c r="J406" s="65">
        <f>K398+K399+K401+K402+K403+SUM(K405:K405)</f>
        <v>4177.76</v>
      </c>
      <c r="K406" s="65"/>
      <c r="L406" s="39">
        <f>Source!U175</f>
        <v>3.008</v>
      </c>
      <c r="O406" s="24">
        <f>G406</f>
        <v>639.77</v>
      </c>
      <c r="P406" s="24">
        <f>J406</f>
        <v>4177.76</v>
      </c>
      <c r="Q406" s="24">
        <f>L406</f>
        <v>3.008</v>
      </c>
      <c r="W406">
        <f>IF(Source!BI175&lt;=1,H398+H399+H401+H402+H403, 0)</f>
        <v>0</v>
      </c>
      <c r="X406">
        <f>IF(Source!BI175=2,H398+H399+H401+H402+H403, 0)</f>
        <v>86.14</v>
      </c>
      <c r="Y406">
        <f>IF(Source!BI175=3,H398+H399+H401+H402+H403, 0)</f>
        <v>0</v>
      </c>
      <c r="Z406">
        <f>IF(Source!BI175=4,H398+H399+H401+H402+H403, 0)</f>
        <v>0</v>
      </c>
    </row>
    <row r="407" spans="1:26" ht="71.25" x14ac:dyDescent="0.2">
      <c r="A407" s="45" t="str">
        <f>Source!E177</f>
        <v>42</v>
      </c>
      <c r="B407" s="46" t="str">
        <f>Source!F177</f>
        <v>м08-02-412-03</v>
      </c>
      <c r="C407" s="46" t="str">
        <f>Source!G177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407" s="29" t="str">
        <f>Source!H177</f>
        <v>100 м</v>
      </c>
      <c r="E407" s="11">
        <f>Source!I177</f>
        <v>7.06</v>
      </c>
      <c r="F407" s="30">
        <f>Source!AL177+Source!AM177+Source!AO177</f>
        <v>87.15</v>
      </c>
      <c r="G407" s="31"/>
      <c r="H407" s="30"/>
      <c r="I407" s="31" t="str">
        <f>Source!BO177</f>
        <v/>
      </c>
      <c r="J407" s="31"/>
      <c r="K407" s="30"/>
      <c r="L407" s="32"/>
      <c r="S407">
        <f>ROUND((Source!FX177/100)*((ROUND(Source!AF177*Source!I177, 2)+ROUND(Source!AE177*Source!I177, 2))), 2)</f>
        <v>401.69</v>
      </c>
      <c r="T407">
        <f>Source!X177</f>
        <v>2622.99</v>
      </c>
      <c r="U407">
        <f>ROUND((Source!FY177/100)*((ROUND(Source!AF177*Source!I177, 2)+ROUND(Source!AE177*Source!I177, 2))), 2)</f>
        <v>274.83999999999997</v>
      </c>
      <c r="V407">
        <f>Source!Y177</f>
        <v>1794.68</v>
      </c>
    </row>
    <row r="408" spans="1:26" ht="14.25" x14ac:dyDescent="0.2">
      <c r="A408" s="45"/>
      <c r="B408" s="46"/>
      <c r="C408" s="46" t="s">
        <v>965</v>
      </c>
      <c r="D408" s="29"/>
      <c r="E408" s="11"/>
      <c r="F408" s="30">
        <f>Source!AO177</f>
        <v>59.13</v>
      </c>
      <c r="G408" s="31" t="str">
        <f>Source!DG177</f>
        <v/>
      </c>
      <c r="H408" s="30">
        <f>ROUND(Source!AF177*Source!I177, 2)</f>
        <v>417.46</v>
      </c>
      <c r="I408" s="31"/>
      <c r="J408" s="31">
        <f>IF(Source!BA177&lt;&gt; 0, Source!BA177, 1)</f>
        <v>6.53</v>
      </c>
      <c r="K408" s="30">
        <f>Source!S177</f>
        <v>2726</v>
      </c>
      <c r="L408" s="32"/>
      <c r="R408">
        <f>H408</f>
        <v>417.46</v>
      </c>
    </row>
    <row r="409" spans="1:26" ht="14.25" x14ac:dyDescent="0.2">
      <c r="A409" s="45"/>
      <c r="B409" s="46"/>
      <c r="C409" s="46" t="s">
        <v>284</v>
      </c>
      <c r="D409" s="29"/>
      <c r="E409" s="11"/>
      <c r="F409" s="30">
        <f>Source!AM177</f>
        <v>5.33</v>
      </c>
      <c r="G409" s="31" t="str">
        <f>Source!DE177</f>
        <v/>
      </c>
      <c r="H409" s="30">
        <f>ROUND(Source!AD177*Source!I177, 2)</f>
        <v>37.630000000000003</v>
      </c>
      <c r="I409" s="31"/>
      <c r="J409" s="31">
        <f>IF(Source!BB177&lt;&gt; 0, Source!BB177, 1)</f>
        <v>6.53</v>
      </c>
      <c r="K409" s="30">
        <f>Source!Q177</f>
        <v>245.72</v>
      </c>
      <c r="L409" s="32"/>
    </row>
    <row r="410" spans="1:26" ht="14.25" x14ac:dyDescent="0.2">
      <c r="A410" s="45"/>
      <c r="B410" s="46"/>
      <c r="C410" s="46" t="s">
        <v>971</v>
      </c>
      <c r="D410" s="29"/>
      <c r="E410" s="11"/>
      <c r="F410" s="30">
        <f>Source!AN177</f>
        <v>0.76</v>
      </c>
      <c r="G410" s="31" t="str">
        <f>Source!DF177</f>
        <v/>
      </c>
      <c r="H410" s="40">
        <f>ROUND(Source!AE177*Source!I177, 2)</f>
        <v>5.37</v>
      </c>
      <c r="I410" s="31"/>
      <c r="J410" s="31">
        <f>IF(Source!BS177&lt;&gt; 0, Source!BS177, 1)</f>
        <v>6.53</v>
      </c>
      <c r="K410" s="40">
        <f>Source!R177</f>
        <v>35.04</v>
      </c>
      <c r="L410" s="32"/>
      <c r="R410">
        <f>H410</f>
        <v>5.37</v>
      </c>
    </row>
    <row r="411" spans="1:26" ht="14.25" x14ac:dyDescent="0.2">
      <c r="A411" s="45"/>
      <c r="B411" s="46"/>
      <c r="C411" s="46" t="s">
        <v>972</v>
      </c>
      <c r="D411" s="29"/>
      <c r="E411" s="11"/>
      <c r="F411" s="30">
        <f>Source!AL177</f>
        <v>22.69</v>
      </c>
      <c r="G411" s="31" t="str">
        <f>Source!DD177</f>
        <v/>
      </c>
      <c r="H411" s="30">
        <f>ROUND(Source!AC177*Source!I177, 2)</f>
        <v>160.19</v>
      </c>
      <c r="I411" s="31"/>
      <c r="J411" s="31">
        <f>IF(Source!BC177&lt;&gt; 0, Source!BC177, 1)</f>
        <v>6.53</v>
      </c>
      <c r="K411" s="30">
        <f>Source!P177</f>
        <v>1046.05</v>
      </c>
      <c r="L411" s="32"/>
    </row>
    <row r="412" spans="1:26" ht="14.25" x14ac:dyDescent="0.2">
      <c r="A412" s="45"/>
      <c r="B412" s="46"/>
      <c r="C412" s="46" t="s">
        <v>966</v>
      </c>
      <c r="D412" s="29" t="s">
        <v>967</v>
      </c>
      <c r="E412" s="11">
        <f>Source!BZ177</f>
        <v>95</v>
      </c>
      <c r="F412" s="49"/>
      <c r="G412" s="31"/>
      <c r="H412" s="30">
        <f>SUM(S407:S415)</f>
        <v>401.69</v>
      </c>
      <c r="I412" s="33"/>
      <c r="J412" s="27">
        <f>Source!AT177</f>
        <v>95</v>
      </c>
      <c r="K412" s="30">
        <f>SUM(T407:T415)</f>
        <v>2622.99</v>
      </c>
      <c r="L412" s="32"/>
    </row>
    <row r="413" spans="1:26" ht="14.25" x14ac:dyDescent="0.2">
      <c r="A413" s="45"/>
      <c r="B413" s="46"/>
      <c r="C413" s="46" t="s">
        <v>968</v>
      </c>
      <c r="D413" s="29" t="s">
        <v>967</v>
      </c>
      <c r="E413" s="11">
        <f>Source!CA177</f>
        <v>65</v>
      </c>
      <c r="F413" s="49"/>
      <c r="G413" s="31"/>
      <c r="H413" s="30">
        <f>SUM(U407:U415)</f>
        <v>274.83999999999997</v>
      </c>
      <c r="I413" s="33"/>
      <c r="J413" s="27">
        <f>Source!AU177</f>
        <v>65</v>
      </c>
      <c r="K413" s="30">
        <f>SUM(V407:V415)</f>
        <v>1794.68</v>
      </c>
      <c r="L413" s="32"/>
    </row>
    <row r="414" spans="1:26" ht="14.25" x14ac:dyDescent="0.2">
      <c r="A414" s="45"/>
      <c r="B414" s="46"/>
      <c r="C414" s="46" t="s">
        <v>969</v>
      </c>
      <c r="D414" s="29" t="s">
        <v>970</v>
      </c>
      <c r="E414" s="11">
        <f>Source!AQ177</f>
        <v>6.29</v>
      </c>
      <c r="F414" s="30"/>
      <c r="G414" s="31" t="str">
        <f>Source!DI177</f>
        <v/>
      </c>
      <c r="H414" s="30"/>
      <c r="I414" s="31"/>
      <c r="J414" s="31"/>
      <c r="K414" s="30"/>
      <c r="L414" s="41">
        <f>Source!U177</f>
        <v>44.407399999999996</v>
      </c>
    </row>
    <row r="415" spans="1:26" ht="85.5" x14ac:dyDescent="0.2">
      <c r="A415" s="47" t="str">
        <f>Source!E178</f>
        <v>42,1</v>
      </c>
      <c r="B415" s="48" t="str">
        <f>Source!F178</f>
        <v>21.1.06.09-0152</v>
      </c>
      <c r="C415" s="48" t="str">
        <f>Source!G178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415" s="34" t="str">
        <f>Source!H178</f>
        <v>1000 м</v>
      </c>
      <c r="E415" s="35">
        <f>Source!I178</f>
        <v>0.70599999999999996</v>
      </c>
      <c r="F415" s="36">
        <f>Source!AL178+Source!AM178+Source!AO178</f>
        <v>6920.41</v>
      </c>
      <c r="G415" s="42" t="s">
        <v>3</v>
      </c>
      <c r="H415" s="36">
        <f>ROUND(Source!AC178*Source!I178, 2)+ROUND(Source!AD178*Source!I178, 2)+ROUND(Source!AF178*Source!I178, 2)</f>
        <v>4885.8100000000004</v>
      </c>
      <c r="I415" s="37"/>
      <c r="J415" s="37">
        <f>IF(Source!BC178&lt;&gt; 0, Source!BC178, 1)</f>
        <v>6.53</v>
      </c>
      <c r="K415" s="36">
        <f>Source!O178</f>
        <v>31904.34</v>
      </c>
      <c r="L415" s="43"/>
      <c r="S415">
        <f>ROUND((Source!FX178/100)*((ROUND(Source!AF178*Source!I178, 2)+ROUND(Source!AE178*Source!I178, 2))), 2)</f>
        <v>0</v>
      </c>
      <c r="T415">
        <f>Source!X178</f>
        <v>0</v>
      </c>
      <c r="U415">
        <f>ROUND((Source!FY178/100)*((ROUND(Source!AF178*Source!I178, 2)+ROUND(Source!AE178*Source!I178, 2))), 2)</f>
        <v>0</v>
      </c>
      <c r="V415">
        <f>Source!Y178</f>
        <v>0</v>
      </c>
      <c r="W415">
        <f>IF(Source!BI178&lt;=1,H415, 0)</f>
        <v>0</v>
      </c>
      <c r="X415">
        <f>IF(Source!BI178=2,H415, 0)</f>
        <v>4885.8100000000004</v>
      </c>
      <c r="Y415">
        <f>IF(Source!BI178=3,H415, 0)</f>
        <v>0</v>
      </c>
      <c r="Z415">
        <f>IF(Source!BI178=4,H415, 0)</f>
        <v>0</v>
      </c>
    </row>
    <row r="416" spans="1:26" ht="15" x14ac:dyDescent="0.25">
      <c r="G416" s="65">
        <f>H408+H409+H411+H412+H413+SUM(H415:H415)</f>
        <v>6177.6200000000008</v>
      </c>
      <c r="H416" s="65"/>
      <c r="J416" s="65">
        <f>K408+K409+K411+K412+K413+SUM(K415:K415)</f>
        <v>40339.78</v>
      </c>
      <c r="K416" s="65"/>
      <c r="L416" s="39">
        <f>Source!U177</f>
        <v>44.407399999999996</v>
      </c>
      <c r="O416" s="24">
        <f>G416</f>
        <v>6177.6200000000008</v>
      </c>
      <c r="P416" s="24">
        <f>J416</f>
        <v>40339.78</v>
      </c>
      <c r="Q416" s="24">
        <f>L416</f>
        <v>44.407399999999996</v>
      </c>
      <c r="W416">
        <f>IF(Source!BI177&lt;=1,H408+H409+H411+H412+H413, 0)</f>
        <v>0</v>
      </c>
      <c r="X416">
        <f>IF(Source!BI177=2,H408+H409+H411+H412+H413, 0)</f>
        <v>1291.81</v>
      </c>
      <c r="Y416">
        <f>IF(Source!BI177=3,H408+H409+H411+H412+H413, 0)</f>
        <v>0</v>
      </c>
      <c r="Z416">
        <f>IF(Source!BI177=4,H408+H409+H411+H412+H413, 0)</f>
        <v>0</v>
      </c>
    </row>
    <row r="417" spans="1:26" ht="42.75" x14ac:dyDescent="0.2">
      <c r="A417" s="45" t="str">
        <f>Source!E179</f>
        <v>43</v>
      </c>
      <c r="B417" s="46" t="str">
        <f>Source!F179</f>
        <v>м08-03-591-04</v>
      </c>
      <c r="C417" s="46" t="str">
        <f>Source!G179</f>
        <v>Выключатель двухклавишный неутопленного типа при открытой проводке</v>
      </c>
      <c r="D417" s="29" t="str">
        <f>Source!H179</f>
        <v>100 ШТ</v>
      </c>
      <c r="E417" s="11">
        <f>Source!I179</f>
        <v>7.0000000000000007E-2</v>
      </c>
      <c r="F417" s="30">
        <f>Source!AL179+Source!AM179+Source!AO179</f>
        <v>456.35</v>
      </c>
      <c r="G417" s="31"/>
      <c r="H417" s="30"/>
      <c r="I417" s="31" t="str">
        <f>Source!BO179</f>
        <v/>
      </c>
      <c r="J417" s="31"/>
      <c r="K417" s="30"/>
      <c r="L417" s="32"/>
      <c r="S417">
        <f>ROUND((Source!FX179/100)*((ROUND(Source!AF179*Source!I179, 2)+ROUND(Source!AE179*Source!I179, 2))), 2)</f>
        <v>23.21</v>
      </c>
      <c r="T417">
        <f>Source!X179</f>
        <v>151.6</v>
      </c>
      <c r="U417">
        <f>ROUND((Source!FY179/100)*((ROUND(Source!AF179*Source!I179, 2)+ROUND(Source!AE179*Source!I179, 2))), 2)</f>
        <v>15.88</v>
      </c>
      <c r="V417">
        <f>Source!Y179</f>
        <v>103.73</v>
      </c>
    </row>
    <row r="418" spans="1:26" x14ac:dyDescent="0.2">
      <c r="C418" s="25" t="str">
        <f>"Объем: "&amp;Source!I179&amp;"=7/"&amp;"100"</f>
        <v>Объем: 0,07=7/100</v>
      </c>
    </row>
    <row r="419" spans="1:26" ht="14.25" x14ac:dyDescent="0.2">
      <c r="A419" s="45"/>
      <c r="B419" s="46"/>
      <c r="C419" s="46" t="s">
        <v>965</v>
      </c>
      <c r="D419" s="29"/>
      <c r="E419" s="11"/>
      <c r="F419" s="30">
        <f>Source!AO179</f>
        <v>348.49</v>
      </c>
      <c r="G419" s="31" t="str">
        <f>Source!DG179</f>
        <v/>
      </c>
      <c r="H419" s="30">
        <f>ROUND(Source!AF179*Source!I179, 2)</f>
        <v>24.39</v>
      </c>
      <c r="I419" s="31"/>
      <c r="J419" s="31">
        <f>IF(Source!BA179&lt;&gt; 0, Source!BA179, 1)</f>
        <v>6.53</v>
      </c>
      <c r="K419" s="30">
        <f>Source!S179</f>
        <v>159.29</v>
      </c>
      <c r="L419" s="32"/>
      <c r="R419">
        <f>H419</f>
        <v>24.39</v>
      </c>
    </row>
    <row r="420" spans="1:26" ht="14.25" x14ac:dyDescent="0.2">
      <c r="A420" s="45"/>
      <c r="B420" s="46"/>
      <c r="C420" s="46" t="s">
        <v>284</v>
      </c>
      <c r="D420" s="29"/>
      <c r="E420" s="11"/>
      <c r="F420" s="30">
        <f>Source!AM179</f>
        <v>4.67</v>
      </c>
      <c r="G420" s="31" t="str">
        <f>Source!DE179</f>
        <v/>
      </c>
      <c r="H420" s="30">
        <f>ROUND(Source!AD179*Source!I179, 2)</f>
        <v>0.33</v>
      </c>
      <c r="I420" s="31"/>
      <c r="J420" s="31">
        <f>IF(Source!BB179&lt;&gt; 0, Source!BB179, 1)</f>
        <v>6.53</v>
      </c>
      <c r="K420" s="30">
        <f>Source!Q179</f>
        <v>2.13</v>
      </c>
      <c r="L420" s="32"/>
    </row>
    <row r="421" spans="1:26" ht="14.25" x14ac:dyDescent="0.2">
      <c r="A421" s="45"/>
      <c r="B421" s="46"/>
      <c r="C421" s="46" t="s">
        <v>971</v>
      </c>
      <c r="D421" s="29"/>
      <c r="E421" s="11"/>
      <c r="F421" s="30">
        <f>Source!AN179</f>
        <v>0.64</v>
      </c>
      <c r="G421" s="31" t="str">
        <f>Source!DF179</f>
        <v/>
      </c>
      <c r="H421" s="40">
        <f>ROUND(Source!AE179*Source!I179, 2)</f>
        <v>0.04</v>
      </c>
      <c r="I421" s="31"/>
      <c r="J421" s="31">
        <f>IF(Source!BS179&lt;&gt; 0, Source!BS179, 1)</f>
        <v>6.53</v>
      </c>
      <c r="K421" s="40">
        <f>Source!R179</f>
        <v>0.28999999999999998</v>
      </c>
      <c r="L421" s="32"/>
      <c r="R421">
        <f>H421</f>
        <v>0.04</v>
      </c>
    </row>
    <row r="422" spans="1:26" ht="14.25" x14ac:dyDescent="0.2">
      <c r="A422" s="45"/>
      <c r="B422" s="46"/>
      <c r="C422" s="46" t="s">
        <v>972</v>
      </c>
      <c r="D422" s="29"/>
      <c r="E422" s="11"/>
      <c r="F422" s="30">
        <f>Source!AL179</f>
        <v>103.19</v>
      </c>
      <c r="G422" s="31" t="str">
        <f>Source!DD179</f>
        <v/>
      </c>
      <c r="H422" s="30">
        <f>ROUND(Source!AC179*Source!I179, 2)</f>
        <v>7.22</v>
      </c>
      <c r="I422" s="31"/>
      <c r="J422" s="31">
        <f>IF(Source!BC179&lt;&gt; 0, Source!BC179, 1)</f>
        <v>6.53</v>
      </c>
      <c r="K422" s="30">
        <f>Source!P179</f>
        <v>47.17</v>
      </c>
      <c r="L422" s="32"/>
    </row>
    <row r="423" spans="1:26" ht="14.25" x14ac:dyDescent="0.2">
      <c r="A423" s="45"/>
      <c r="B423" s="46"/>
      <c r="C423" s="46" t="s">
        <v>966</v>
      </c>
      <c r="D423" s="29" t="s">
        <v>967</v>
      </c>
      <c r="E423" s="11">
        <f>Source!BZ179</f>
        <v>95</v>
      </c>
      <c r="F423" s="49"/>
      <c r="G423" s="31"/>
      <c r="H423" s="30">
        <f>SUM(S417:S426)</f>
        <v>23.21</v>
      </c>
      <c r="I423" s="33"/>
      <c r="J423" s="27">
        <f>Source!AT179</f>
        <v>95</v>
      </c>
      <c r="K423" s="30">
        <f>SUM(T417:T426)</f>
        <v>151.6</v>
      </c>
      <c r="L423" s="32"/>
    </row>
    <row r="424" spans="1:26" ht="14.25" x14ac:dyDescent="0.2">
      <c r="A424" s="45"/>
      <c r="B424" s="46"/>
      <c r="C424" s="46" t="s">
        <v>968</v>
      </c>
      <c r="D424" s="29" t="s">
        <v>967</v>
      </c>
      <c r="E424" s="11">
        <f>Source!CA179</f>
        <v>65</v>
      </c>
      <c r="F424" s="49"/>
      <c r="G424" s="31"/>
      <c r="H424" s="30">
        <f>SUM(U417:U426)</f>
        <v>15.88</v>
      </c>
      <c r="I424" s="33"/>
      <c r="J424" s="27">
        <f>Source!AU179</f>
        <v>65</v>
      </c>
      <c r="K424" s="30">
        <f>SUM(V417:V426)</f>
        <v>103.73</v>
      </c>
      <c r="L424" s="32"/>
    </row>
    <row r="425" spans="1:26" ht="14.25" x14ac:dyDescent="0.2">
      <c r="A425" s="45"/>
      <c r="B425" s="46"/>
      <c r="C425" s="46" t="s">
        <v>969</v>
      </c>
      <c r="D425" s="29" t="s">
        <v>970</v>
      </c>
      <c r="E425" s="11">
        <f>Source!AQ179</f>
        <v>35.130000000000003</v>
      </c>
      <c r="F425" s="30"/>
      <c r="G425" s="31" t="str">
        <f>Source!DI179</f>
        <v/>
      </c>
      <c r="H425" s="30"/>
      <c r="I425" s="31"/>
      <c r="J425" s="31"/>
      <c r="K425" s="30"/>
      <c r="L425" s="41">
        <f>Source!U179</f>
        <v>2.4591000000000003</v>
      </c>
    </row>
    <row r="426" spans="1:26" ht="57" x14ac:dyDescent="0.2">
      <c r="A426" s="47" t="str">
        <f>Source!E180</f>
        <v>43,1</v>
      </c>
      <c r="B426" s="48" t="str">
        <f>Source!F180</f>
        <v>20.4.01.01-0011</v>
      </c>
      <c r="C426" s="48" t="str">
        <f>Source!G180</f>
        <v>Выключатель двухклавишный для открытой проводки "EFAPEL" SBR(45х45мм),белый,с супортами прим.</v>
      </c>
      <c r="D426" s="34" t="str">
        <f>Source!H180</f>
        <v>10 шт.</v>
      </c>
      <c r="E426" s="35">
        <f>Source!I180</f>
        <v>0.7</v>
      </c>
      <c r="F426" s="36">
        <f>Source!AL180+Source!AM180+Source!AO180</f>
        <v>85.6</v>
      </c>
      <c r="G426" s="42" t="s">
        <v>3</v>
      </c>
      <c r="H426" s="36">
        <f>ROUND(Source!AC180*Source!I180, 2)+ROUND(Source!AD180*Source!I180, 2)+ROUND(Source!AF180*Source!I180, 2)</f>
        <v>59.92</v>
      </c>
      <c r="I426" s="37"/>
      <c r="J426" s="37">
        <f>IF(Source!BC180&lt;&gt; 0, Source!BC180, 1)</f>
        <v>6.53</v>
      </c>
      <c r="K426" s="36">
        <f>Source!O180</f>
        <v>391.28</v>
      </c>
      <c r="L426" s="43"/>
      <c r="S426">
        <f>ROUND((Source!FX180/100)*((ROUND(Source!AF180*Source!I180, 2)+ROUND(Source!AE180*Source!I180, 2))), 2)</f>
        <v>0</v>
      </c>
      <c r="T426">
        <f>Source!X180</f>
        <v>0</v>
      </c>
      <c r="U426">
        <f>ROUND((Source!FY180/100)*((ROUND(Source!AF180*Source!I180, 2)+ROUND(Source!AE180*Source!I180, 2))), 2)</f>
        <v>0</v>
      </c>
      <c r="V426">
        <f>Source!Y180</f>
        <v>0</v>
      </c>
      <c r="W426">
        <f>IF(Source!BI180&lt;=1,H426, 0)</f>
        <v>0</v>
      </c>
      <c r="X426">
        <f>IF(Source!BI180=2,H426, 0)</f>
        <v>59.92</v>
      </c>
      <c r="Y426">
        <f>IF(Source!BI180=3,H426, 0)</f>
        <v>0</v>
      </c>
      <c r="Z426">
        <f>IF(Source!BI180=4,H426, 0)</f>
        <v>0</v>
      </c>
    </row>
    <row r="427" spans="1:26" ht="15" x14ac:dyDescent="0.25">
      <c r="G427" s="65">
        <f>H419+H420+H422+H423+H424+SUM(H426:H426)</f>
        <v>130.94999999999999</v>
      </c>
      <c r="H427" s="65"/>
      <c r="J427" s="65">
        <f>K419+K420+K422+K423+K424+SUM(K426:K426)</f>
        <v>855.19999999999993</v>
      </c>
      <c r="K427" s="65"/>
      <c r="L427" s="39">
        <f>Source!U179</f>
        <v>2.4591000000000003</v>
      </c>
      <c r="O427" s="24">
        <f>G427</f>
        <v>130.94999999999999</v>
      </c>
      <c r="P427" s="24">
        <f>J427</f>
        <v>855.19999999999993</v>
      </c>
      <c r="Q427" s="24">
        <f>L427</f>
        <v>2.4591000000000003</v>
      </c>
      <c r="W427">
        <f>IF(Source!BI179&lt;=1,H419+H420+H422+H423+H424, 0)</f>
        <v>0</v>
      </c>
      <c r="X427">
        <f>IF(Source!BI179=2,H419+H420+H422+H423+H424, 0)</f>
        <v>71.03</v>
      </c>
      <c r="Y427">
        <f>IF(Source!BI179=3,H419+H420+H422+H423+H424, 0)</f>
        <v>0</v>
      </c>
      <c r="Z427">
        <f>IF(Source!BI179=4,H419+H420+H422+H423+H424, 0)</f>
        <v>0</v>
      </c>
    </row>
    <row r="428" spans="1:26" ht="28.5" x14ac:dyDescent="0.2">
      <c r="A428" s="45" t="str">
        <f>Source!E181</f>
        <v>44</v>
      </c>
      <c r="B428" s="46" t="str">
        <f>Source!F181</f>
        <v>м08-03-591-08</v>
      </c>
      <c r="C428" s="46" t="str">
        <f>Source!G181</f>
        <v>Розетка штепсельная неутопленного типа при открытой проводке</v>
      </c>
      <c r="D428" s="29" t="str">
        <f>Source!H181</f>
        <v>100 ШТ</v>
      </c>
      <c r="E428" s="11">
        <f>Source!I181</f>
        <v>0.39</v>
      </c>
      <c r="F428" s="30">
        <f>Source!AL181+Source!AM181+Source!AO181</f>
        <v>453.92999999999995</v>
      </c>
      <c r="G428" s="31"/>
      <c r="H428" s="30"/>
      <c r="I428" s="31" t="str">
        <f>Source!BO181</f>
        <v/>
      </c>
      <c r="J428" s="31"/>
      <c r="K428" s="30"/>
      <c r="L428" s="32"/>
      <c r="S428">
        <f>ROUND((Source!FX181/100)*((ROUND(Source!AF181*Source!I181, 2)+ROUND(Source!AE181*Source!I181, 2))), 2)</f>
        <v>127.26</v>
      </c>
      <c r="T428">
        <f>Source!X181</f>
        <v>831</v>
      </c>
      <c r="U428">
        <f>ROUND((Source!FY181/100)*((ROUND(Source!AF181*Source!I181, 2)+ROUND(Source!AE181*Source!I181, 2))), 2)</f>
        <v>87.07</v>
      </c>
      <c r="V428">
        <f>Source!Y181</f>
        <v>568.58000000000004</v>
      </c>
    </row>
    <row r="429" spans="1:26" x14ac:dyDescent="0.2">
      <c r="C429" s="25" t="str">
        <f>"Объем: "&amp;Source!I181&amp;"=39/"&amp;"100"</f>
        <v>Объем: 0,39=39/100</v>
      </c>
    </row>
    <row r="430" spans="1:26" ht="14.25" x14ac:dyDescent="0.2">
      <c r="A430" s="45"/>
      <c r="B430" s="46"/>
      <c r="C430" s="46" t="s">
        <v>965</v>
      </c>
      <c r="D430" s="29"/>
      <c r="E430" s="11"/>
      <c r="F430" s="30">
        <f>Source!AO181</f>
        <v>342.84</v>
      </c>
      <c r="G430" s="31" t="str">
        <f>Source!DG181</f>
        <v/>
      </c>
      <c r="H430" s="30">
        <f>ROUND(Source!AF181*Source!I181, 2)</f>
        <v>133.71</v>
      </c>
      <c r="I430" s="31"/>
      <c r="J430" s="31">
        <f>IF(Source!BA181&lt;&gt; 0, Source!BA181, 1)</f>
        <v>6.53</v>
      </c>
      <c r="K430" s="30">
        <f>Source!S181</f>
        <v>873.11</v>
      </c>
      <c r="L430" s="32"/>
      <c r="R430">
        <f>H430</f>
        <v>133.71</v>
      </c>
    </row>
    <row r="431" spans="1:26" ht="14.25" x14ac:dyDescent="0.2">
      <c r="A431" s="45"/>
      <c r="B431" s="46"/>
      <c r="C431" s="46" t="s">
        <v>284</v>
      </c>
      <c r="D431" s="29"/>
      <c r="E431" s="11"/>
      <c r="F431" s="30">
        <f>Source!AM181</f>
        <v>4.67</v>
      </c>
      <c r="G431" s="31" t="str">
        <f>Source!DE181</f>
        <v/>
      </c>
      <c r="H431" s="30">
        <f>ROUND(Source!AD181*Source!I181, 2)</f>
        <v>1.82</v>
      </c>
      <c r="I431" s="31"/>
      <c r="J431" s="31">
        <f>IF(Source!BB181&lt;&gt; 0, Source!BB181, 1)</f>
        <v>6.53</v>
      </c>
      <c r="K431" s="30">
        <f>Source!Q181</f>
        <v>11.89</v>
      </c>
      <c r="L431" s="32"/>
    </row>
    <row r="432" spans="1:26" ht="14.25" x14ac:dyDescent="0.2">
      <c r="A432" s="45"/>
      <c r="B432" s="46"/>
      <c r="C432" s="46" t="s">
        <v>971</v>
      </c>
      <c r="D432" s="29"/>
      <c r="E432" s="11"/>
      <c r="F432" s="30">
        <f>Source!AN181</f>
        <v>0.64</v>
      </c>
      <c r="G432" s="31" t="str">
        <f>Source!DF181</f>
        <v/>
      </c>
      <c r="H432" s="40">
        <f>ROUND(Source!AE181*Source!I181, 2)</f>
        <v>0.25</v>
      </c>
      <c r="I432" s="31"/>
      <c r="J432" s="31">
        <f>IF(Source!BS181&lt;&gt; 0, Source!BS181, 1)</f>
        <v>6.53</v>
      </c>
      <c r="K432" s="40">
        <f>Source!R181</f>
        <v>1.63</v>
      </c>
      <c r="L432" s="32"/>
      <c r="R432">
        <f>H432</f>
        <v>0.25</v>
      </c>
    </row>
    <row r="433" spans="1:26" ht="14.25" x14ac:dyDescent="0.2">
      <c r="A433" s="45"/>
      <c r="B433" s="46"/>
      <c r="C433" s="46" t="s">
        <v>972</v>
      </c>
      <c r="D433" s="29"/>
      <c r="E433" s="11"/>
      <c r="F433" s="30">
        <f>Source!AL181</f>
        <v>106.42</v>
      </c>
      <c r="G433" s="31" t="str">
        <f>Source!DD181</f>
        <v/>
      </c>
      <c r="H433" s="30">
        <f>ROUND(Source!AC181*Source!I181, 2)</f>
        <v>41.5</v>
      </c>
      <c r="I433" s="31"/>
      <c r="J433" s="31">
        <f>IF(Source!BC181&lt;&gt; 0, Source!BC181, 1)</f>
        <v>6.53</v>
      </c>
      <c r="K433" s="30">
        <f>Source!P181</f>
        <v>271.02</v>
      </c>
      <c r="L433" s="32"/>
    </row>
    <row r="434" spans="1:26" ht="14.25" x14ac:dyDescent="0.2">
      <c r="A434" s="45"/>
      <c r="B434" s="46"/>
      <c r="C434" s="46" t="s">
        <v>966</v>
      </c>
      <c r="D434" s="29" t="s">
        <v>967</v>
      </c>
      <c r="E434" s="11">
        <f>Source!BZ181</f>
        <v>95</v>
      </c>
      <c r="F434" s="49"/>
      <c r="G434" s="31"/>
      <c r="H434" s="30">
        <f>SUM(S428:S438)</f>
        <v>127.26</v>
      </c>
      <c r="I434" s="33"/>
      <c r="J434" s="27">
        <f>Source!AT181</f>
        <v>95</v>
      </c>
      <c r="K434" s="30">
        <f>SUM(T428:T438)</f>
        <v>831</v>
      </c>
      <c r="L434" s="32"/>
    </row>
    <row r="435" spans="1:26" ht="14.25" x14ac:dyDescent="0.2">
      <c r="A435" s="45"/>
      <c r="B435" s="46"/>
      <c r="C435" s="46" t="s">
        <v>968</v>
      </c>
      <c r="D435" s="29" t="s">
        <v>967</v>
      </c>
      <c r="E435" s="11">
        <f>Source!CA181</f>
        <v>65</v>
      </c>
      <c r="F435" s="49"/>
      <c r="G435" s="31"/>
      <c r="H435" s="30">
        <f>SUM(U428:U438)</f>
        <v>87.07</v>
      </c>
      <c r="I435" s="33"/>
      <c r="J435" s="27">
        <f>Source!AU181</f>
        <v>65</v>
      </c>
      <c r="K435" s="30">
        <f>SUM(V428:V438)</f>
        <v>568.58000000000004</v>
      </c>
      <c r="L435" s="32"/>
    </row>
    <row r="436" spans="1:26" ht="14.25" x14ac:dyDescent="0.2">
      <c r="A436" s="45"/>
      <c r="B436" s="46"/>
      <c r="C436" s="46" t="s">
        <v>969</v>
      </c>
      <c r="D436" s="29" t="s">
        <v>970</v>
      </c>
      <c r="E436" s="11">
        <f>Source!AQ181</f>
        <v>34.56</v>
      </c>
      <c r="F436" s="30"/>
      <c r="G436" s="31" t="str">
        <f>Source!DI181</f>
        <v/>
      </c>
      <c r="H436" s="30"/>
      <c r="I436" s="31"/>
      <c r="J436" s="31"/>
      <c r="K436" s="30"/>
      <c r="L436" s="41">
        <f>Source!U181</f>
        <v>13.478400000000001</v>
      </c>
    </row>
    <row r="437" spans="1:26" ht="42.75" x14ac:dyDescent="0.2">
      <c r="A437" s="45" t="str">
        <f>Source!E182</f>
        <v>44,1</v>
      </c>
      <c r="B437" s="46" t="str">
        <f>Source!F182</f>
        <v>20.4.03.05-0004</v>
      </c>
      <c r="C437" s="46" t="str">
        <f>Source!G182</f>
        <v>Розетка открытой проводки "EFAPEL" 220В2к+з,(45х45мм),белые с супортами в кабель-канал прим.</v>
      </c>
      <c r="D437" s="29" t="str">
        <f>Source!H182</f>
        <v>100 шт.</v>
      </c>
      <c r="E437" s="11">
        <f>Source!I182</f>
        <v>0.32</v>
      </c>
      <c r="F437" s="30">
        <f>Source!AL182+Source!AM182+Source!AO182</f>
        <v>899</v>
      </c>
      <c r="G437" s="44" t="s">
        <v>3</v>
      </c>
      <c r="H437" s="30">
        <f>ROUND(Source!AC182*Source!I182, 2)+ROUND(Source!AD182*Source!I182, 2)+ROUND(Source!AF182*Source!I182, 2)</f>
        <v>287.68</v>
      </c>
      <c r="I437" s="31"/>
      <c r="J437" s="31">
        <f>IF(Source!BC182&lt;&gt; 0, Source!BC182, 1)</f>
        <v>6.53</v>
      </c>
      <c r="K437" s="30">
        <f>Source!O182</f>
        <v>1878.55</v>
      </c>
      <c r="L437" s="32"/>
      <c r="S437">
        <f>ROUND((Source!FX182/100)*((ROUND(Source!AF182*Source!I182, 2)+ROUND(Source!AE182*Source!I182, 2))), 2)</f>
        <v>0</v>
      </c>
      <c r="T437">
        <f>Source!X182</f>
        <v>0</v>
      </c>
      <c r="U437">
        <f>ROUND((Source!FY182/100)*((ROUND(Source!AF182*Source!I182, 2)+ROUND(Source!AE182*Source!I182, 2))), 2)</f>
        <v>0</v>
      </c>
      <c r="V437">
        <f>Source!Y182</f>
        <v>0</v>
      </c>
      <c r="W437">
        <f>IF(Source!BI182&lt;=1,H437, 0)</f>
        <v>0</v>
      </c>
      <c r="X437">
        <f>IF(Source!BI182=2,H437, 0)</f>
        <v>287.68</v>
      </c>
      <c r="Y437">
        <f>IF(Source!BI182=3,H437, 0)</f>
        <v>0</v>
      </c>
      <c r="Z437">
        <f>IF(Source!BI182=4,H437, 0)</f>
        <v>0</v>
      </c>
    </row>
    <row r="438" spans="1:26" ht="28.5" x14ac:dyDescent="0.2">
      <c r="A438" s="47" t="str">
        <f>Source!E183</f>
        <v>44,2</v>
      </c>
      <c r="B438" s="48" t="str">
        <f>Source!F183</f>
        <v>20.4.03.05-0005</v>
      </c>
      <c r="C438" s="48" t="str">
        <f>Source!G183</f>
        <v>Розетка  для открытой проводки (согласно тех.задания)</v>
      </c>
      <c r="D438" s="34" t="str">
        <f>Source!H183</f>
        <v>100 шт.</v>
      </c>
      <c r="E438" s="35">
        <f>Source!I183</f>
        <v>7.0000000000000007E-2</v>
      </c>
      <c r="F438" s="36">
        <f>Source!AL183+Source!AM183+Source!AO183</f>
        <v>734</v>
      </c>
      <c r="G438" s="42" t="s">
        <v>3</v>
      </c>
      <c r="H438" s="36">
        <f>ROUND(Source!AC183*Source!I183, 2)+ROUND(Source!AD183*Source!I183, 2)+ROUND(Source!AF183*Source!I183, 2)</f>
        <v>51.38</v>
      </c>
      <c r="I438" s="37"/>
      <c r="J438" s="37">
        <f>IF(Source!BC183&lt;&gt; 0, Source!BC183, 1)</f>
        <v>6.53</v>
      </c>
      <c r="K438" s="36">
        <f>Source!O183</f>
        <v>335.51</v>
      </c>
      <c r="L438" s="43"/>
      <c r="S438">
        <f>ROUND((Source!FX183/100)*((ROUND(Source!AF183*Source!I183, 2)+ROUND(Source!AE183*Source!I183, 2))), 2)</f>
        <v>0</v>
      </c>
      <c r="T438">
        <f>Source!X183</f>
        <v>0</v>
      </c>
      <c r="U438">
        <f>ROUND((Source!FY183/100)*((ROUND(Source!AF183*Source!I183, 2)+ROUND(Source!AE183*Source!I183, 2))), 2)</f>
        <v>0</v>
      </c>
      <c r="V438">
        <f>Source!Y183</f>
        <v>0</v>
      </c>
      <c r="W438">
        <f>IF(Source!BI183&lt;=1,H438, 0)</f>
        <v>0</v>
      </c>
      <c r="X438">
        <f>IF(Source!BI183=2,H438, 0)</f>
        <v>51.38</v>
      </c>
      <c r="Y438">
        <f>IF(Source!BI183=3,H438, 0)</f>
        <v>0</v>
      </c>
      <c r="Z438">
        <f>IF(Source!BI183=4,H438, 0)</f>
        <v>0</v>
      </c>
    </row>
    <row r="439" spans="1:26" ht="15" x14ac:dyDescent="0.25">
      <c r="G439" s="65">
        <f>H430+H431+H433+H434+H435+SUM(H437:H438)</f>
        <v>730.42000000000007</v>
      </c>
      <c r="H439" s="65"/>
      <c r="J439" s="65">
        <f>K430+K431+K433+K434+K435+SUM(K437:K438)</f>
        <v>4769.66</v>
      </c>
      <c r="K439" s="65"/>
      <c r="L439" s="39">
        <f>Source!U181</f>
        <v>13.478400000000001</v>
      </c>
      <c r="O439" s="24">
        <f>G439</f>
        <v>730.42000000000007</v>
      </c>
      <c r="P439" s="24">
        <f>J439</f>
        <v>4769.66</v>
      </c>
      <c r="Q439" s="24">
        <f>L439</f>
        <v>13.478400000000001</v>
      </c>
      <c r="W439">
        <f>IF(Source!BI181&lt;=1,H430+H431+H433+H434+H435, 0)</f>
        <v>0</v>
      </c>
      <c r="X439">
        <f>IF(Source!BI181=2,H430+H431+H433+H434+H435, 0)</f>
        <v>391.36</v>
      </c>
      <c r="Y439">
        <f>IF(Source!BI181=3,H430+H431+H433+H434+H435, 0)</f>
        <v>0</v>
      </c>
      <c r="Z439">
        <f>IF(Source!BI181=4,H430+H431+H433+H434+H435, 0)</f>
        <v>0</v>
      </c>
    </row>
    <row r="440" spans="1:26" ht="42.75" x14ac:dyDescent="0.2">
      <c r="A440" s="45" t="str">
        <f>Source!E184</f>
        <v>45</v>
      </c>
      <c r="B440" s="46" t="str">
        <f>Source!F184</f>
        <v>м08-02-370-02 прим.</v>
      </c>
      <c r="C440" s="46" t="str">
        <f>Source!G184</f>
        <v>Щиток до трех групп, устанавливаемый в нише цоколя</v>
      </c>
      <c r="D440" s="29" t="str">
        <f>Source!H184</f>
        <v>ШТ</v>
      </c>
      <c r="E440" s="11">
        <f>Source!I184</f>
        <v>7</v>
      </c>
      <c r="F440" s="30">
        <f>Source!AL184+Source!AM184+Source!AO184</f>
        <v>33.42</v>
      </c>
      <c r="G440" s="31"/>
      <c r="H440" s="30"/>
      <c r="I440" s="31" t="str">
        <f>Source!BO184</f>
        <v/>
      </c>
      <c r="J440" s="31"/>
      <c r="K440" s="30"/>
      <c r="L440" s="32"/>
      <c r="S440">
        <f>ROUND((Source!FX184/100)*((ROUND(Source!AF184*Source!I184, 2)+ROUND(Source!AE184*Source!I184, 2))), 2)</f>
        <v>79.53</v>
      </c>
      <c r="T440">
        <f>Source!X184</f>
        <v>519.36</v>
      </c>
      <c r="U440">
        <f>ROUND((Source!FY184/100)*((ROUND(Source!AF184*Source!I184, 2)+ROUND(Source!AE184*Source!I184, 2))), 2)</f>
        <v>54.42</v>
      </c>
      <c r="V440">
        <f>Source!Y184</f>
        <v>355.35</v>
      </c>
    </row>
    <row r="441" spans="1:26" ht="14.25" x14ac:dyDescent="0.2">
      <c r="A441" s="45"/>
      <c r="B441" s="46"/>
      <c r="C441" s="46" t="s">
        <v>965</v>
      </c>
      <c r="D441" s="29"/>
      <c r="E441" s="11"/>
      <c r="F441" s="30">
        <f>Source!AO184</f>
        <v>9.4499999999999993</v>
      </c>
      <c r="G441" s="31" t="str">
        <f>Source!DG184</f>
        <v/>
      </c>
      <c r="H441" s="30">
        <f>ROUND(Source!AF184*Source!I184, 2)</f>
        <v>66.150000000000006</v>
      </c>
      <c r="I441" s="31"/>
      <c r="J441" s="31">
        <f>IF(Source!BA184&lt;&gt; 0, Source!BA184, 1)</f>
        <v>6.53</v>
      </c>
      <c r="K441" s="30">
        <f>Source!S184</f>
        <v>431.96</v>
      </c>
      <c r="L441" s="32"/>
      <c r="R441">
        <f>H441</f>
        <v>66.150000000000006</v>
      </c>
    </row>
    <row r="442" spans="1:26" ht="14.25" x14ac:dyDescent="0.2">
      <c r="A442" s="45"/>
      <c r="B442" s="46"/>
      <c r="C442" s="46" t="s">
        <v>284</v>
      </c>
      <c r="D442" s="29"/>
      <c r="E442" s="11"/>
      <c r="F442" s="30">
        <f>Source!AM184</f>
        <v>17.77</v>
      </c>
      <c r="G442" s="31" t="str">
        <f>Source!DE184</f>
        <v/>
      </c>
      <c r="H442" s="30">
        <f>ROUND(Source!AD184*Source!I184, 2)</f>
        <v>124.39</v>
      </c>
      <c r="I442" s="31"/>
      <c r="J442" s="31">
        <f>IF(Source!BB184&lt;&gt; 0, Source!BB184, 1)</f>
        <v>6.53</v>
      </c>
      <c r="K442" s="30">
        <f>Source!Q184</f>
        <v>812.27</v>
      </c>
      <c r="L442" s="32"/>
    </row>
    <row r="443" spans="1:26" ht="14.25" x14ac:dyDescent="0.2">
      <c r="A443" s="45"/>
      <c r="B443" s="46"/>
      <c r="C443" s="46" t="s">
        <v>971</v>
      </c>
      <c r="D443" s="29"/>
      <c r="E443" s="11"/>
      <c r="F443" s="30">
        <f>Source!AN184</f>
        <v>2.5099999999999998</v>
      </c>
      <c r="G443" s="31" t="str">
        <f>Source!DF184</f>
        <v/>
      </c>
      <c r="H443" s="40">
        <f>ROUND(Source!AE184*Source!I184, 2)</f>
        <v>17.57</v>
      </c>
      <c r="I443" s="31"/>
      <c r="J443" s="31">
        <f>IF(Source!BS184&lt;&gt; 0, Source!BS184, 1)</f>
        <v>6.53</v>
      </c>
      <c r="K443" s="40">
        <f>Source!R184</f>
        <v>114.73</v>
      </c>
      <c r="L443" s="32"/>
      <c r="R443">
        <f>H443</f>
        <v>17.57</v>
      </c>
    </row>
    <row r="444" spans="1:26" ht="14.25" x14ac:dyDescent="0.2">
      <c r="A444" s="45"/>
      <c r="B444" s="46"/>
      <c r="C444" s="46" t="s">
        <v>972</v>
      </c>
      <c r="D444" s="29"/>
      <c r="E444" s="11"/>
      <c r="F444" s="30">
        <f>Source!AL184</f>
        <v>6.2</v>
      </c>
      <c r="G444" s="31" t="str">
        <f>Source!DD184</f>
        <v/>
      </c>
      <c r="H444" s="30">
        <f>ROUND(Source!AC184*Source!I184, 2)</f>
        <v>43.4</v>
      </c>
      <c r="I444" s="31"/>
      <c r="J444" s="31">
        <f>IF(Source!BC184&lt;&gt; 0, Source!BC184, 1)</f>
        <v>6.53</v>
      </c>
      <c r="K444" s="30">
        <f>Source!P184</f>
        <v>283.39999999999998</v>
      </c>
      <c r="L444" s="32"/>
    </row>
    <row r="445" spans="1:26" ht="14.25" x14ac:dyDescent="0.2">
      <c r="A445" s="45"/>
      <c r="B445" s="46"/>
      <c r="C445" s="46" t="s">
        <v>966</v>
      </c>
      <c r="D445" s="29" t="s">
        <v>967</v>
      </c>
      <c r="E445" s="11">
        <f>Source!BZ184</f>
        <v>95</v>
      </c>
      <c r="F445" s="49"/>
      <c r="G445" s="31"/>
      <c r="H445" s="30">
        <f>SUM(S440:S448)</f>
        <v>79.53</v>
      </c>
      <c r="I445" s="33"/>
      <c r="J445" s="27">
        <f>Source!AT184</f>
        <v>95</v>
      </c>
      <c r="K445" s="30">
        <f>SUM(T440:T448)</f>
        <v>519.36</v>
      </c>
      <c r="L445" s="32"/>
    </row>
    <row r="446" spans="1:26" ht="14.25" x14ac:dyDescent="0.2">
      <c r="A446" s="45"/>
      <c r="B446" s="46"/>
      <c r="C446" s="46" t="s">
        <v>968</v>
      </c>
      <c r="D446" s="29" t="s">
        <v>967</v>
      </c>
      <c r="E446" s="11">
        <f>Source!CA184</f>
        <v>65</v>
      </c>
      <c r="F446" s="49"/>
      <c r="G446" s="31"/>
      <c r="H446" s="30">
        <f>SUM(U440:U448)</f>
        <v>54.42</v>
      </c>
      <c r="I446" s="33"/>
      <c r="J446" s="27">
        <f>Source!AU184</f>
        <v>65</v>
      </c>
      <c r="K446" s="30">
        <f>SUM(V440:V448)</f>
        <v>355.35</v>
      </c>
      <c r="L446" s="32"/>
    </row>
    <row r="447" spans="1:26" ht="14.25" x14ac:dyDescent="0.2">
      <c r="A447" s="45"/>
      <c r="B447" s="46"/>
      <c r="C447" s="46" t="s">
        <v>969</v>
      </c>
      <c r="D447" s="29" t="s">
        <v>970</v>
      </c>
      <c r="E447" s="11">
        <f>Source!AQ184</f>
        <v>0.9</v>
      </c>
      <c r="F447" s="30"/>
      <c r="G447" s="31" t="str">
        <f>Source!DI184</f>
        <v/>
      </c>
      <c r="H447" s="30"/>
      <c r="I447" s="31"/>
      <c r="J447" s="31"/>
      <c r="K447" s="30"/>
      <c r="L447" s="41">
        <f>Source!U184</f>
        <v>6.3</v>
      </c>
    </row>
    <row r="448" spans="1:26" ht="57" x14ac:dyDescent="0.2">
      <c r="A448" s="47" t="str">
        <f>Source!E185</f>
        <v>45,1</v>
      </c>
      <c r="B448" s="48" t="str">
        <f>Source!F185</f>
        <v>62.1.02.03-0003</v>
      </c>
      <c r="C448" s="48" t="str">
        <f>Source!G185</f>
        <v>Щит навесной IEK ШРН-18э1 38,18 модулей ,IP31 с клемником(АВВ) с замком,материал корпуса металл прим.</v>
      </c>
      <c r="D448" s="34" t="str">
        <f>Source!H185</f>
        <v>10 шт.</v>
      </c>
      <c r="E448" s="35">
        <f>Source!I185</f>
        <v>0.7</v>
      </c>
      <c r="F448" s="36">
        <f>Source!AL185+Source!AM185+Source!AO185</f>
        <v>188.5</v>
      </c>
      <c r="G448" s="42" t="s">
        <v>3</v>
      </c>
      <c r="H448" s="36">
        <f>ROUND(Source!AC185*Source!I185, 2)+ROUND(Source!AD185*Source!I185, 2)+ROUND(Source!AF185*Source!I185, 2)</f>
        <v>131.94999999999999</v>
      </c>
      <c r="I448" s="37"/>
      <c r="J448" s="37">
        <f>IF(Source!BC185&lt;&gt; 0, Source!BC185, 1)</f>
        <v>6.53</v>
      </c>
      <c r="K448" s="36">
        <f>Source!O185</f>
        <v>861.63</v>
      </c>
      <c r="L448" s="43"/>
      <c r="S448">
        <f>ROUND((Source!FX185/100)*((ROUND(Source!AF185*Source!I185, 2)+ROUND(Source!AE185*Source!I185, 2))), 2)</f>
        <v>0</v>
      </c>
      <c r="T448">
        <f>Source!X185</f>
        <v>0</v>
      </c>
      <c r="U448">
        <f>ROUND((Source!FY185/100)*((ROUND(Source!AF185*Source!I185, 2)+ROUND(Source!AE185*Source!I185, 2))), 2)</f>
        <v>0</v>
      </c>
      <c r="V448">
        <f>Source!Y185</f>
        <v>0</v>
      </c>
      <c r="W448">
        <f>IF(Source!BI185&lt;=1,H448, 0)</f>
        <v>0</v>
      </c>
      <c r="X448">
        <f>IF(Source!BI185=2,H448, 0)</f>
        <v>131.94999999999999</v>
      </c>
      <c r="Y448">
        <f>IF(Source!BI185=3,H448, 0)</f>
        <v>0</v>
      </c>
      <c r="Z448">
        <f>IF(Source!BI185=4,H448, 0)</f>
        <v>0</v>
      </c>
    </row>
    <row r="449" spans="1:26" ht="15" x14ac:dyDescent="0.25">
      <c r="G449" s="65">
        <f>H441+H442+H444+H445+H446+SUM(H448:H448)</f>
        <v>499.84000000000003</v>
      </c>
      <c r="H449" s="65"/>
      <c r="J449" s="65">
        <f>K441+K442+K444+K445+K446+SUM(K448:K448)</f>
        <v>3263.9700000000003</v>
      </c>
      <c r="K449" s="65"/>
      <c r="L449" s="39">
        <f>Source!U184</f>
        <v>6.3</v>
      </c>
      <c r="O449" s="24">
        <f>G449</f>
        <v>499.84000000000003</v>
      </c>
      <c r="P449" s="24">
        <f>J449</f>
        <v>3263.9700000000003</v>
      </c>
      <c r="Q449" s="24">
        <f>L449</f>
        <v>6.3</v>
      </c>
      <c r="W449">
        <f>IF(Source!BI184&lt;=1,H441+H442+H444+H445+H446, 0)</f>
        <v>0</v>
      </c>
      <c r="X449">
        <f>IF(Source!BI184=2,H441+H442+H444+H445+H446, 0)</f>
        <v>367.89000000000004</v>
      </c>
      <c r="Y449">
        <f>IF(Source!BI184=3,H441+H442+H444+H445+H446, 0)</f>
        <v>0</v>
      </c>
      <c r="Z449">
        <f>IF(Source!BI184=4,H441+H442+H444+H445+H446, 0)</f>
        <v>0</v>
      </c>
    </row>
    <row r="450" spans="1:26" ht="42.75" x14ac:dyDescent="0.2">
      <c r="A450" s="45" t="str">
        <f>Source!E186</f>
        <v>46</v>
      </c>
      <c r="B450" s="46" t="str">
        <f>Source!F186</f>
        <v>м08-03-526-01</v>
      </c>
      <c r="C450" s="46" t="str">
        <f>Source!G186</f>
        <v>Автомат одно-, двух-, трехполюсный, устанавливаемый на конструкции на стене или колонне, на ток до 25 А</v>
      </c>
      <c r="D450" s="29" t="str">
        <f>Source!H186</f>
        <v>ШТ</v>
      </c>
      <c r="E450" s="11">
        <f>Source!I186</f>
        <v>44</v>
      </c>
      <c r="F450" s="30">
        <f>Source!AL186+Source!AM186+Source!AO186</f>
        <v>35.980000000000004</v>
      </c>
      <c r="G450" s="31"/>
      <c r="H450" s="30"/>
      <c r="I450" s="31" t="str">
        <f>Source!BO186</f>
        <v/>
      </c>
      <c r="J450" s="31"/>
      <c r="K450" s="30"/>
      <c r="L450" s="32"/>
      <c r="S450">
        <f>ROUND((Source!FX186/100)*((ROUND(Source!AF186*Source!I186, 2)+ROUND(Source!AE186*Source!I186, 2))), 2)</f>
        <v>620.30999999999995</v>
      </c>
      <c r="T450">
        <f>Source!X186</f>
        <v>4050.64</v>
      </c>
      <c r="U450">
        <f>ROUND((Source!FY186/100)*((ROUND(Source!AF186*Source!I186, 2)+ROUND(Source!AE186*Source!I186, 2))), 2)</f>
        <v>424.42</v>
      </c>
      <c r="V450">
        <f>Source!Y186</f>
        <v>2771.49</v>
      </c>
    </row>
    <row r="451" spans="1:26" ht="14.25" x14ac:dyDescent="0.2">
      <c r="A451" s="45"/>
      <c r="B451" s="46"/>
      <c r="C451" s="46" t="s">
        <v>965</v>
      </c>
      <c r="D451" s="29"/>
      <c r="E451" s="11"/>
      <c r="F451" s="30">
        <f>Source!AO186</f>
        <v>14.84</v>
      </c>
      <c r="G451" s="31" t="str">
        <f>Source!DG186</f>
        <v/>
      </c>
      <c r="H451" s="30">
        <f>ROUND(Source!AF186*Source!I186, 2)</f>
        <v>652.96</v>
      </c>
      <c r="I451" s="31"/>
      <c r="J451" s="31">
        <f>IF(Source!BA186&lt;&gt; 0, Source!BA186, 1)</f>
        <v>6.53</v>
      </c>
      <c r="K451" s="30">
        <f>Source!S186</f>
        <v>4263.83</v>
      </c>
      <c r="L451" s="32"/>
      <c r="R451">
        <f>H451</f>
        <v>652.96</v>
      </c>
    </row>
    <row r="452" spans="1:26" ht="14.25" x14ac:dyDescent="0.2">
      <c r="A452" s="45"/>
      <c r="B452" s="46"/>
      <c r="C452" s="46" t="s">
        <v>284</v>
      </c>
      <c r="D452" s="29"/>
      <c r="E452" s="11"/>
      <c r="F452" s="30">
        <f>Source!AM186</f>
        <v>1.05</v>
      </c>
      <c r="G452" s="31" t="str">
        <f>Source!DE186</f>
        <v/>
      </c>
      <c r="H452" s="30">
        <f>ROUND(Source!AD186*Source!I186, 2)</f>
        <v>46.2</v>
      </c>
      <c r="I452" s="31"/>
      <c r="J452" s="31">
        <f>IF(Source!BB186&lt;&gt; 0, Source!BB186, 1)</f>
        <v>6.53</v>
      </c>
      <c r="K452" s="30">
        <f>Source!Q186</f>
        <v>301.69</v>
      </c>
      <c r="L452" s="32"/>
    </row>
    <row r="453" spans="1:26" ht="14.25" x14ac:dyDescent="0.2">
      <c r="A453" s="45"/>
      <c r="B453" s="46"/>
      <c r="C453" s="46" t="s">
        <v>972</v>
      </c>
      <c r="D453" s="29"/>
      <c r="E453" s="11"/>
      <c r="F453" s="30">
        <f>Source!AL186</f>
        <v>20.09</v>
      </c>
      <c r="G453" s="31" t="str">
        <f>Source!DD186</f>
        <v/>
      </c>
      <c r="H453" s="30">
        <f>ROUND(Source!AC186*Source!I186, 2)</f>
        <v>883.96</v>
      </c>
      <c r="I453" s="31"/>
      <c r="J453" s="31">
        <f>IF(Source!BC186&lt;&gt; 0, Source!BC186, 1)</f>
        <v>6.53</v>
      </c>
      <c r="K453" s="30">
        <f>Source!P186</f>
        <v>5772.26</v>
      </c>
      <c r="L453" s="32"/>
    </row>
    <row r="454" spans="1:26" ht="14.25" x14ac:dyDescent="0.2">
      <c r="A454" s="45"/>
      <c r="B454" s="46"/>
      <c r="C454" s="46" t="s">
        <v>966</v>
      </c>
      <c r="D454" s="29" t="s">
        <v>967</v>
      </c>
      <c r="E454" s="11">
        <f>Source!BZ186</f>
        <v>95</v>
      </c>
      <c r="F454" s="49"/>
      <c r="G454" s="31"/>
      <c r="H454" s="30">
        <f>SUM(S450:S461)</f>
        <v>620.30999999999995</v>
      </c>
      <c r="I454" s="33"/>
      <c r="J454" s="27">
        <f>Source!AT186</f>
        <v>95</v>
      </c>
      <c r="K454" s="30">
        <f>SUM(T450:T461)</f>
        <v>4050.64</v>
      </c>
      <c r="L454" s="32"/>
    </row>
    <row r="455" spans="1:26" ht="14.25" x14ac:dyDescent="0.2">
      <c r="A455" s="45"/>
      <c r="B455" s="46"/>
      <c r="C455" s="46" t="s">
        <v>968</v>
      </c>
      <c r="D455" s="29" t="s">
        <v>967</v>
      </c>
      <c r="E455" s="11">
        <f>Source!CA186</f>
        <v>65</v>
      </c>
      <c r="F455" s="49"/>
      <c r="G455" s="31"/>
      <c r="H455" s="30">
        <f>SUM(U450:U461)</f>
        <v>424.42</v>
      </c>
      <c r="I455" s="33"/>
      <c r="J455" s="27">
        <f>Source!AU186</f>
        <v>65</v>
      </c>
      <c r="K455" s="30">
        <f>SUM(V450:V461)</f>
        <v>2771.49</v>
      </c>
      <c r="L455" s="32"/>
    </row>
    <row r="456" spans="1:26" ht="14.25" x14ac:dyDescent="0.2">
      <c r="A456" s="45"/>
      <c r="B456" s="46"/>
      <c r="C456" s="46" t="s">
        <v>969</v>
      </c>
      <c r="D456" s="29" t="s">
        <v>970</v>
      </c>
      <c r="E456" s="11">
        <f>Source!AQ186</f>
        <v>1.56</v>
      </c>
      <c r="F456" s="30"/>
      <c r="G456" s="31" t="str">
        <f>Source!DI186</f>
        <v/>
      </c>
      <c r="H456" s="30"/>
      <c r="I456" s="31"/>
      <c r="J456" s="31"/>
      <c r="K456" s="30"/>
      <c r="L456" s="41">
        <f>Source!U186</f>
        <v>68.64</v>
      </c>
    </row>
    <row r="457" spans="1:26" ht="28.5" x14ac:dyDescent="0.2">
      <c r="A457" s="45" t="str">
        <f>Source!E187</f>
        <v>46,1</v>
      </c>
      <c r="B457" s="46" t="str">
        <f>Source!F187</f>
        <v>62.1.01.09-0050</v>
      </c>
      <c r="C457" s="46" t="str">
        <f>Source!G187</f>
        <v>Выключатели автоматические АВВ 1Р 16А  прим.</v>
      </c>
      <c r="D457" s="29" t="str">
        <f>Source!H187</f>
        <v>шт.</v>
      </c>
      <c r="E457" s="11">
        <f>Source!I187</f>
        <v>16</v>
      </c>
      <c r="F457" s="30">
        <f>Source!AL187+Source!AM187+Source!AO187</f>
        <v>66.48</v>
      </c>
      <c r="G457" s="44" t="s">
        <v>3</v>
      </c>
      <c r="H457" s="30">
        <f>ROUND(Source!AC187*Source!I187, 2)+ROUND(Source!AD187*Source!I187, 2)+ROUND(Source!AF187*Source!I187, 2)</f>
        <v>1063.68</v>
      </c>
      <c r="I457" s="31"/>
      <c r="J457" s="31">
        <f>IF(Source!BC187&lt;&gt; 0, Source!BC187, 1)</f>
        <v>6.53</v>
      </c>
      <c r="K457" s="30">
        <f>Source!O187</f>
        <v>6945.83</v>
      </c>
      <c r="L457" s="32"/>
      <c r="S457">
        <f>ROUND((Source!FX187/100)*((ROUND(Source!AF187*Source!I187, 2)+ROUND(Source!AE187*Source!I187, 2))), 2)</f>
        <v>0</v>
      </c>
      <c r="T457">
        <f>Source!X187</f>
        <v>0</v>
      </c>
      <c r="U457">
        <f>ROUND((Source!FY187/100)*((ROUND(Source!AF187*Source!I187, 2)+ROUND(Source!AE187*Source!I187, 2))), 2)</f>
        <v>0</v>
      </c>
      <c r="V457">
        <f>Source!Y187</f>
        <v>0</v>
      </c>
      <c r="W457">
        <f>IF(Source!BI187&lt;=1,H457, 0)</f>
        <v>0</v>
      </c>
      <c r="X457">
        <f>IF(Source!BI187=2,H457, 0)</f>
        <v>1063.68</v>
      </c>
      <c r="Y457">
        <f>IF(Source!BI187=3,H457, 0)</f>
        <v>0</v>
      </c>
      <c r="Z457">
        <f>IF(Source!BI187=4,H457, 0)</f>
        <v>0</v>
      </c>
    </row>
    <row r="458" spans="1:26" ht="28.5" x14ac:dyDescent="0.2">
      <c r="A458" s="45" t="str">
        <f>Source!E188</f>
        <v>46,2</v>
      </c>
      <c r="B458" s="46" t="str">
        <f>Source!F188</f>
        <v>62.1.01.09-0049</v>
      </c>
      <c r="C458" s="46" t="str">
        <f>Source!G188</f>
        <v>Выключатели автоматические «АВВ" 1Р 10А прим.</v>
      </c>
      <c r="D458" s="29" t="str">
        <f>Source!H188</f>
        <v>шт.</v>
      </c>
      <c r="E458" s="11">
        <f>Source!I188</f>
        <v>7</v>
      </c>
      <c r="F458" s="30">
        <f>Source!AL188+Source!AM188+Source!AO188</f>
        <v>73.63</v>
      </c>
      <c r="G458" s="44" t="s">
        <v>3</v>
      </c>
      <c r="H458" s="30">
        <f>ROUND(Source!AC188*Source!I188, 2)+ROUND(Source!AD188*Source!I188, 2)+ROUND(Source!AF188*Source!I188, 2)</f>
        <v>515.41</v>
      </c>
      <c r="I458" s="31"/>
      <c r="J458" s="31">
        <f>IF(Source!BC188&lt;&gt; 0, Source!BC188, 1)</f>
        <v>6.53</v>
      </c>
      <c r="K458" s="30">
        <f>Source!O188</f>
        <v>3365.63</v>
      </c>
      <c r="L458" s="32"/>
      <c r="S458">
        <f>ROUND((Source!FX188/100)*((ROUND(Source!AF188*Source!I188, 2)+ROUND(Source!AE188*Source!I188, 2))), 2)</f>
        <v>0</v>
      </c>
      <c r="T458">
        <f>Source!X188</f>
        <v>0</v>
      </c>
      <c r="U458">
        <f>ROUND((Source!FY188/100)*((ROUND(Source!AF188*Source!I188, 2)+ROUND(Source!AE188*Source!I188, 2))), 2)</f>
        <v>0</v>
      </c>
      <c r="V458">
        <f>Source!Y188</f>
        <v>0</v>
      </c>
      <c r="W458">
        <f>IF(Source!BI188&lt;=1,H458, 0)</f>
        <v>0</v>
      </c>
      <c r="X458">
        <f>IF(Source!BI188=2,H458, 0)</f>
        <v>515.41</v>
      </c>
      <c r="Y458">
        <f>IF(Source!BI188=3,H458, 0)</f>
        <v>0</v>
      </c>
      <c r="Z458">
        <f>IF(Source!BI188=4,H458, 0)</f>
        <v>0</v>
      </c>
    </row>
    <row r="459" spans="1:26" ht="28.5" x14ac:dyDescent="0.2">
      <c r="A459" s="45" t="str">
        <f>Source!E189</f>
        <v>46,3</v>
      </c>
      <c r="B459" s="46" t="str">
        <f>Source!F189</f>
        <v>62.1.01.09-0065</v>
      </c>
      <c r="C459" s="46" t="str">
        <f>Source!G189</f>
        <v>Выключатели автоматические «АВВ" 3Р 10А прим.</v>
      </c>
      <c r="D459" s="29" t="str">
        <f>Source!H189</f>
        <v>шт.</v>
      </c>
      <c r="E459" s="11">
        <f>Source!I189</f>
        <v>7</v>
      </c>
      <c r="F459" s="30">
        <f>Source!AL189+Source!AM189+Source!AO189</f>
        <v>231.3</v>
      </c>
      <c r="G459" s="44" t="s">
        <v>3</v>
      </c>
      <c r="H459" s="30">
        <f>ROUND(Source!AC189*Source!I189, 2)+ROUND(Source!AD189*Source!I189, 2)+ROUND(Source!AF189*Source!I189, 2)</f>
        <v>1619.1</v>
      </c>
      <c r="I459" s="31"/>
      <c r="J459" s="31">
        <f>IF(Source!BC189&lt;&gt; 0, Source!BC189, 1)</f>
        <v>6.53</v>
      </c>
      <c r="K459" s="30">
        <f>Source!O189</f>
        <v>10572.72</v>
      </c>
      <c r="L459" s="32"/>
      <c r="S459">
        <f>ROUND((Source!FX189/100)*((ROUND(Source!AF189*Source!I189, 2)+ROUND(Source!AE189*Source!I189, 2))), 2)</f>
        <v>0</v>
      </c>
      <c r="T459">
        <f>Source!X189</f>
        <v>0</v>
      </c>
      <c r="U459">
        <f>ROUND((Source!FY189/100)*((ROUND(Source!AF189*Source!I189, 2)+ROUND(Source!AE189*Source!I189, 2))), 2)</f>
        <v>0</v>
      </c>
      <c r="V459">
        <f>Source!Y189</f>
        <v>0</v>
      </c>
      <c r="W459">
        <f>IF(Source!BI189&lt;=1,H459, 0)</f>
        <v>0</v>
      </c>
      <c r="X459">
        <f>IF(Source!BI189=2,H459, 0)</f>
        <v>1619.1</v>
      </c>
      <c r="Y459">
        <f>IF(Source!BI189=3,H459, 0)</f>
        <v>0</v>
      </c>
      <c r="Z459">
        <f>IF(Source!BI189=4,H459, 0)</f>
        <v>0</v>
      </c>
    </row>
    <row r="460" spans="1:26" ht="28.5" x14ac:dyDescent="0.2">
      <c r="A460" s="45" t="str">
        <f>Source!E190</f>
        <v>46,4</v>
      </c>
      <c r="B460" s="46" t="str">
        <f>Source!F190</f>
        <v>62.1.01.09-0067</v>
      </c>
      <c r="C460" s="46" t="str">
        <f>Source!G190</f>
        <v>Выключатели автоматические  АВВ 3Р 25А прим.</v>
      </c>
      <c r="D460" s="29" t="str">
        <f>Source!H190</f>
        <v>шт.</v>
      </c>
      <c r="E460" s="11">
        <f>Source!I190</f>
        <v>7</v>
      </c>
      <c r="F460" s="30">
        <f>Source!AL190+Source!AM190+Source!AO190</f>
        <v>302.16000000000003</v>
      </c>
      <c r="G460" s="44" t="s">
        <v>3</v>
      </c>
      <c r="H460" s="30">
        <f>ROUND(Source!AC190*Source!I190, 2)+ROUND(Source!AD190*Source!I190, 2)+ROUND(Source!AF190*Source!I190, 2)</f>
        <v>2115.12</v>
      </c>
      <c r="I460" s="31"/>
      <c r="J460" s="31">
        <f>IF(Source!BC190&lt;&gt; 0, Source!BC190, 1)</f>
        <v>6.53</v>
      </c>
      <c r="K460" s="30">
        <f>Source!O190</f>
        <v>13811.73</v>
      </c>
      <c r="L460" s="32"/>
      <c r="S460">
        <f>ROUND((Source!FX190/100)*((ROUND(Source!AF190*Source!I190, 2)+ROUND(Source!AE190*Source!I190, 2))), 2)</f>
        <v>0</v>
      </c>
      <c r="T460">
        <f>Source!X190</f>
        <v>0</v>
      </c>
      <c r="U460">
        <f>ROUND((Source!FY190/100)*((ROUND(Source!AF190*Source!I190, 2)+ROUND(Source!AE190*Source!I190, 2))), 2)</f>
        <v>0</v>
      </c>
      <c r="V460">
        <f>Source!Y190</f>
        <v>0</v>
      </c>
      <c r="W460">
        <f>IF(Source!BI190&lt;=1,H460, 0)</f>
        <v>0</v>
      </c>
      <c r="X460">
        <f>IF(Source!BI190=2,H460, 0)</f>
        <v>2115.12</v>
      </c>
      <c r="Y460">
        <f>IF(Source!BI190=3,H460, 0)</f>
        <v>0</v>
      </c>
      <c r="Z460">
        <f>IF(Source!BI190=4,H460, 0)</f>
        <v>0</v>
      </c>
    </row>
    <row r="461" spans="1:26" ht="28.5" x14ac:dyDescent="0.2">
      <c r="A461" s="47" t="str">
        <f>Source!E191</f>
        <v>46,5</v>
      </c>
      <c r="B461" s="48" t="str">
        <f>Source!F191</f>
        <v>62.1.01.09-0051</v>
      </c>
      <c r="C461" s="48" t="str">
        <f>Source!G191</f>
        <v>Выключатели автоматические «АВВ" 1Р 20А прим.</v>
      </c>
      <c r="D461" s="34" t="str">
        <f>Source!H191</f>
        <v>шт.</v>
      </c>
      <c r="E461" s="35">
        <f>Source!I191</f>
        <v>7</v>
      </c>
      <c r="F461" s="36">
        <f>Source!AL191+Source!AM191+Source!AO191</f>
        <v>73.290000000000006</v>
      </c>
      <c r="G461" s="42" t="s">
        <v>3</v>
      </c>
      <c r="H461" s="36">
        <f>ROUND(Source!AC191*Source!I191, 2)+ROUND(Source!AD191*Source!I191, 2)+ROUND(Source!AF191*Source!I191, 2)</f>
        <v>513.03</v>
      </c>
      <c r="I461" s="37"/>
      <c r="J461" s="37">
        <f>IF(Source!BC191&lt;&gt; 0, Source!BC191, 1)</f>
        <v>6.53</v>
      </c>
      <c r="K461" s="36">
        <f>Source!O191</f>
        <v>3350.09</v>
      </c>
      <c r="L461" s="43"/>
      <c r="S461">
        <f>ROUND((Source!FX191/100)*((ROUND(Source!AF191*Source!I191, 2)+ROUND(Source!AE191*Source!I191, 2))), 2)</f>
        <v>0</v>
      </c>
      <c r="T461">
        <f>Source!X191</f>
        <v>0</v>
      </c>
      <c r="U461">
        <f>ROUND((Source!FY191/100)*((ROUND(Source!AF191*Source!I191, 2)+ROUND(Source!AE191*Source!I191, 2))), 2)</f>
        <v>0</v>
      </c>
      <c r="V461">
        <f>Source!Y191</f>
        <v>0</v>
      </c>
      <c r="W461">
        <f>IF(Source!BI191&lt;=1,H461, 0)</f>
        <v>0</v>
      </c>
      <c r="X461">
        <f>IF(Source!BI191=2,H461, 0)</f>
        <v>513.03</v>
      </c>
      <c r="Y461">
        <f>IF(Source!BI191=3,H461, 0)</f>
        <v>0</v>
      </c>
      <c r="Z461">
        <f>IF(Source!BI191=4,H461, 0)</f>
        <v>0</v>
      </c>
    </row>
    <row r="462" spans="1:26" ht="15" x14ac:dyDescent="0.25">
      <c r="G462" s="65">
        <f>H451+H452+H453+H454+H455+SUM(H457:H461)</f>
        <v>8454.1899999999987</v>
      </c>
      <c r="H462" s="65"/>
      <c r="J462" s="65">
        <f>K451+K452+K453+K454+K455+SUM(K457:K461)</f>
        <v>55205.909999999996</v>
      </c>
      <c r="K462" s="65"/>
      <c r="L462" s="39">
        <f>Source!U186</f>
        <v>68.64</v>
      </c>
      <c r="O462" s="24">
        <f>G462</f>
        <v>8454.1899999999987</v>
      </c>
      <c r="P462" s="24">
        <f>J462</f>
        <v>55205.909999999996</v>
      </c>
      <c r="Q462" s="24">
        <f>L462</f>
        <v>68.64</v>
      </c>
      <c r="W462">
        <f>IF(Source!BI186&lt;=1,H451+H452+H453+H454+H455, 0)</f>
        <v>0</v>
      </c>
      <c r="X462">
        <f>IF(Source!BI186=2,H451+H452+H453+H454+H455, 0)</f>
        <v>2627.8500000000004</v>
      </c>
      <c r="Y462">
        <f>IF(Source!BI186=3,H451+H452+H453+H454+H455, 0)</f>
        <v>0</v>
      </c>
      <c r="Z462">
        <f>IF(Source!BI186=4,H451+H452+H453+H454+H455, 0)</f>
        <v>0</v>
      </c>
    </row>
    <row r="463" spans="1:26" ht="57" x14ac:dyDescent="0.2">
      <c r="A463" s="45" t="str">
        <f>Source!E192</f>
        <v>47</v>
      </c>
      <c r="B463" s="46" t="str">
        <f>Source!F192</f>
        <v>м08-03-594-14 прим.</v>
      </c>
      <c r="C463" s="46" t="str">
        <f>Source!G192</f>
        <v>Установка светильников  в подвесных потолках, устанавливаемый на профиле, количество ламп в светильнике до 4</v>
      </c>
      <c r="D463" s="29" t="str">
        <f>Source!H192</f>
        <v>100 ШТ</v>
      </c>
      <c r="E463" s="11">
        <f>Source!I192</f>
        <v>0.96</v>
      </c>
      <c r="F463" s="30">
        <f>Source!AL192+Source!AM192+Source!AO192</f>
        <v>3323.2299999999996</v>
      </c>
      <c r="G463" s="31"/>
      <c r="H463" s="30"/>
      <c r="I463" s="31" t="str">
        <f>Source!BO192</f>
        <v/>
      </c>
      <c r="J463" s="31"/>
      <c r="K463" s="30"/>
      <c r="L463" s="32"/>
      <c r="S463">
        <f>ROUND((Source!FX192/100)*((ROUND(Source!AF192*Source!I192, 2)+ROUND(Source!AE192*Source!I192, 2))), 2)</f>
        <v>1955.11</v>
      </c>
      <c r="T463">
        <f>Source!X192</f>
        <v>12766.86</v>
      </c>
      <c r="U463">
        <f>ROUND((Source!FY192/100)*((ROUND(Source!AF192*Source!I192, 2)+ROUND(Source!AE192*Source!I192, 2))), 2)</f>
        <v>1337.71</v>
      </c>
      <c r="V463">
        <f>Source!Y192</f>
        <v>8735.2199999999993</v>
      </c>
    </row>
    <row r="464" spans="1:26" x14ac:dyDescent="0.2">
      <c r="C464" s="25" t="str">
        <f>"Объем: "&amp;Source!I192&amp;"=96/"&amp;"100"</f>
        <v>Объем: 0,96=96/100</v>
      </c>
    </row>
    <row r="465" spans="1:26" ht="14.25" x14ac:dyDescent="0.2">
      <c r="A465" s="45"/>
      <c r="B465" s="46"/>
      <c r="C465" s="46" t="s">
        <v>965</v>
      </c>
      <c r="D465" s="29"/>
      <c r="E465" s="11"/>
      <c r="F465" s="30">
        <f>Source!AO192</f>
        <v>2118.91</v>
      </c>
      <c r="G465" s="31" t="str">
        <f>Source!DG192</f>
        <v/>
      </c>
      <c r="H465" s="30">
        <f>ROUND(Source!AF192*Source!I192, 2)</f>
        <v>2034.15</v>
      </c>
      <c r="I465" s="31"/>
      <c r="J465" s="31">
        <f>IF(Source!BA192&lt;&gt; 0, Source!BA192, 1)</f>
        <v>6.53</v>
      </c>
      <c r="K465" s="30">
        <f>Source!S192</f>
        <v>13283.02</v>
      </c>
      <c r="L465" s="32"/>
      <c r="R465">
        <f>H465</f>
        <v>2034.15</v>
      </c>
    </row>
    <row r="466" spans="1:26" ht="14.25" x14ac:dyDescent="0.2">
      <c r="A466" s="45"/>
      <c r="B466" s="46"/>
      <c r="C466" s="46" t="s">
        <v>284</v>
      </c>
      <c r="D466" s="29"/>
      <c r="E466" s="11"/>
      <c r="F466" s="30">
        <f>Source!AM192</f>
        <v>185.15</v>
      </c>
      <c r="G466" s="31" t="str">
        <f>Source!DE192</f>
        <v/>
      </c>
      <c r="H466" s="30">
        <f>ROUND(Source!AD192*Source!I192, 2)</f>
        <v>177.74</v>
      </c>
      <c r="I466" s="31"/>
      <c r="J466" s="31">
        <f>IF(Source!BB192&lt;&gt; 0, Source!BB192, 1)</f>
        <v>6.53</v>
      </c>
      <c r="K466" s="30">
        <f>Source!Q192</f>
        <v>1160.67</v>
      </c>
      <c r="L466" s="32"/>
    </row>
    <row r="467" spans="1:26" ht="14.25" x14ac:dyDescent="0.2">
      <c r="A467" s="45"/>
      <c r="B467" s="46"/>
      <c r="C467" s="46" t="s">
        <v>971</v>
      </c>
      <c r="D467" s="29"/>
      <c r="E467" s="11"/>
      <c r="F467" s="30">
        <f>Source!AN192</f>
        <v>24.85</v>
      </c>
      <c r="G467" s="31" t="str">
        <f>Source!DF192</f>
        <v/>
      </c>
      <c r="H467" s="40">
        <f>ROUND(Source!AE192*Source!I192, 2)</f>
        <v>23.86</v>
      </c>
      <c r="I467" s="31"/>
      <c r="J467" s="31">
        <f>IF(Source!BS192&lt;&gt; 0, Source!BS192, 1)</f>
        <v>6.53</v>
      </c>
      <c r="K467" s="40">
        <f>Source!R192</f>
        <v>155.78</v>
      </c>
      <c r="L467" s="32"/>
      <c r="R467">
        <f>H467</f>
        <v>23.86</v>
      </c>
    </row>
    <row r="468" spans="1:26" ht="14.25" x14ac:dyDescent="0.2">
      <c r="A468" s="45"/>
      <c r="B468" s="46"/>
      <c r="C468" s="46" t="s">
        <v>972</v>
      </c>
      <c r="D468" s="29"/>
      <c r="E468" s="11"/>
      <c r="F468" s="30">
        <f>Source!AL192</f>
        <v>1019.17</v>
      </c>
      <c r="G468" s="31" t="str">
        <f>Source!DD192</f>
        <v/>
      </c>
      <c r="H468" s="30">
        <f>ROUND(Source!AC192*Source!I192, 2)</f>
        <v>978.4</v>
      </c>
      <c r="I468" s="31"/>
      <c r="J468" s="31">
        <f>IF(Source!BC192&lt;&gt; 0, Source!BC192, 1)</f>
        <v>6.53</v>
      </c>
      <c r="K468" s="30">
        <f>Source!P192</f>
        <v>6388.97</v>
      </c>
      <c r="L468" s="32"/>
    </row>
    <row r="469" spans="1:26" ht="14.25" x14ac:dyDescent="0.2">
      <c r="A469" s="45"/>
      <c r="B469" s="46"/>
      <c r="C469" s="46" t="s">
        <v>966</v>
      </c>
      <c r="D469" s="29" t="s">
        <v>967</v>
      </c>
      <c r="E469" s="11">
        <f>Source!BZ192</f>
        <v>95</v>
      </c>
      <c r="F469" s="49"/>
      <c r="G469" s="31"/>
      <c r="H469" s="30">
        <f>SUM(S463:S472)</f>
        <v>1955.11</v>
      </c>
      <c r="I469" s="33"/>
      <c r="J469" s="27">
        <f>Source!AT192</f>
        <v>95</v>
      </c>
      <c r="K469" s="30">
        <f>SUM(T463:T472)</f>
        <v>12766.86</v>
      </c>
      <c r="L469" s="32"/>
    </row>
    <row r="470" spans="1:26" ht="14.25" x14ac:dyDescent="0.2">
      <c r="A470" s="45"/>
      <c r="B470" s="46"/>
      <c r="C470" s="46" t="s">
        <v>968</v>
      </c>
      <c r="D470" s="29" t="s">
        <v>967</v>
      </c>
      <c r="E470" s="11">
        <f>Source!CA192</f>
        <v>65</v>
      </c>
      <c r="F470" s="49"/>
      <c r="G470" s="31"/>
      <c r="H470" s="30">
        <f>SUM(U463:U472)</f>
        <v>1337.71</v>
      </c>
      <c r="I470" s="33"/>
      <c r="J470" s="27">
        <f>Source!AU192</f>
        <v>65</v>
      </c>
      <c r="K470" s="30">
        <f>SUM(V463:V472)</f>
        <v>8735.2199999999993</v>
      </c>
      <c r="L470" s="32"/>
    </row>
    <row r="471" spans="1:26" ht="14.25" x14ac:dyDescent="0.2">
      <c r="A471" s="45"/>
      <c r="B471" s="46"/>
      <c r="C471" s="46" t="s">
        <v>969</v>
      </c>
      <c r="D471" s="29" t="s">
        <v>970</v>
      </c>
      <c r="E471" s="11">
        <f>Source!AQ192</f>
        <v>213.6</v>
      </c>
      <c r="F471" s="30"/>
      <c r="G471" s="31" t="str">
        <f>Source!DI192</f>
        <v/>
      </c>
      <c r="H471" s="30"/>
      <c r="I471" s="31"/>
      <c r="J471" s="31"/>
      <c r="K471" s="30"/>
      <c r="L471" s="41">
        <f>Source!U192</f>
        <v>205.05599999999998</v>
      </c>
    </row>
    <row r="472" spans="1:26" ht="71.25" x14ac:dyDescent="0.2">
      <c r="A472" s="47" t="str">
        <f>Source!E193</f>
        <v>47,1</v>
      </c>
      <c r="B472" s="48" t="str">
        <f>Source!F193</f>
        <v>20.3.03.07-0099</v>
      </c>
      <c r="C472" s="48" t="str">
        <f>Source!G193</f>
        <v>Светильник потолочный со светодиодными лампами  "Oskar LED"595х595х40мм,встраиваемые в подвесной потолок "Армстронг",36 Вт,3000Лм,IP40 прим.</v>
      </c>
      <c r="D472" s="34" t="str">
        <f>Source!H193</f>
        <v>шт.</v>
      </c>
      <c r="E472" s="35">
        <f>Source!I193</f>
        <v>96</v>
      </c>
      <c r="F472" s="36">
        <f>Source!AL193+Source!AM193+Source!AO193</f>
        <v>846.15</v>
      </c>
      <c r="G472" s="42" t="s">
        <v>3</v>
      </c>
      <c r="H472" s="36">
        <f>ROUND(Source!AC193*Source!I193, 2)+ROUND(Source!AD193*Source!I193, 2)+ROUND(Source!AF193*Source!I193, 2)</f>
        <v>81230.399999999994</v>
      </c>
      <c r="I472" s="37"/>
      <c r="J472" s="37">
        <f>IF(Source!BC193&lt;&gt; 0, Source!BC193, 1)</f>
        <v>6.53</v>
      </c>
      <c r="K472" s="36">
        <f>Source!O193</f>
        <v>530434.51</v>
      </c>
      <c r="L472" s="43"/>
      <c r="S472">
        <f>ROUND((Source!FX193/100)*((ROUND(Source!AF193*Source!I193, 2)+ROUND(Source!AE193*Source!I193, 2))), 2)</f>
        <v>0</v>
      </c>
      <c r="T472">
        <f>Source!X193</f>
        <v>0</v>
      </c>
      <c r="U472">
        <f>ROUND((Source!FY193/100)*((ROUND(Source!AF193*Source!I193, 2)+ROUND(Source!AE193*Source!I193, 2))), 2)</f>
        <v>0</v>
      </c>
      <c r="V472">
        <f>Source!Y193</f>
        <v>0</v>
      </c>
      <c r="W472">
        <f>IF(Source!BI193&lt;=1,H472, 0)</f>
        <v>0</v>
      </c>
      <c r="X472">
        <f>IF(Source!BI193=2,H472, 0)</f>
        <v>81230.399999999994</v>
      </c>
      <c r="Y472">
        <f>IF(Source!BI193=3,H472, 0)</f>
        <v>0</v>
      </c>
      <c r="Z472">
        <f>IF(Source!BI193=4,H472, 0)</f>
        <v>0</v>
      </c>
    </row>
    <row r="473" spans="1:26" ht="15" x14ac:dyDescent="0.25">
      <c r="G473" s="65">
        <f>H465+H466+H468+H469+H470+SUM(H472:H472)</f>
        <v>87713.51</v>
      </c>
      <c r="H473" s="65"/>
      <c r="J473" s="65">
        <f>K465+K466+K468+K469+K470+SUM(K472:K472)</f>
        <v>572769.25</v>
      </c>
      <c r="K473" s="65"/>
      <c r="L473" s="39">
        <f>Source!U192</f>
        <v>205.05599999999998</v>
      </c>
      <c r="O473" s="24">
        <f>G473</f>
        <v>87713.51</v>
      </c>
      <c r="P473" s="24">
        <f>J473</f>
        <v>572769.25</v>
      </c>
      <c r="Q473" s="24">
        <f>L473</f>
        <v>205.05599999999998</v>
      </c>
      <c r="W473">
        <f>IF(Source!BI192&lt;=1,H465+H466+H468+H469+H470, 0)</f>
        <v>0</v>
      </c>
      <c r="X473">
        <f>IF(Source!BI192=2,H465+H466+H468+H469+H470, 0)</f>
        <v>6483.1100000000006</v>
      </c>
      <c r="Y473">
        <f>IF(Source!BI192=3,H465+H466+H468+H469+H470, 0)</f>
        <v>0</v>
      </c>
      <c r="Z473">
        <f>IF(Source!BI192=4,H465+H466+H468+H469+H470, 0)</f>
        <v>0</v>
      </c>
    </row>
    <row r="474" spans="1:26" ht="114" x14ac:dyDescent="0.2">
      <c r="A474" s="45" t="str">
        <f>Source!E194</f>
        <v>48</v>
      </c>
      <c r="B474" s="46" t="str">
        <f>Source!F194</f>
        <v>п01-11-028-01</v>
      </c>
      <c r="C474" s="46" t="str">
        <f>Source!G194</f>
        <v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v>
      </c>
      <c r="D474" s="29" t="str">
        <f>Source!H194</f>
        <v>ШТ</v>
      </c>
      <c r="E474" s="11">
        <f>Source!I194</f>
        <v>44</v>
      </c>
      <c r="F474" s="30">
        <f>Source!AL194+Source!AM194+Source!AO194</f>
        <v>4.0999999999999996</v>
      </c>
      <c r="G474" s="31"/>
      <c r="H474" s="30"/>
      <c r="I474" s="31" t="str">
        <f>Source!BO194</f>
        <v/>
      </c>
      <c r="J474" s="31"/>
      <c r="K474" s="30"/>
      <c r="L474" s="32"/>
      <c r="S474">
        <f>ROUND((Source!FX194/100)*((ROUND(Source!AF194*Source!I194, 2)+ROUND(Source!AE194*Source!I194, 2))), 2)</f>
        <v>93.81</v>
      </c>
      <c r="T474">
        <f>Source!X194</f>
        <v>1768.28</v>
      </c>
      <c r="U474">
        <f>ROUND((Source!FY194/100)*((ROUND(Source!AF194*Source!I194, 2)+ROUND(Source!AE194*Source!I194, 2))), 2)</f>
        <v>57.73</v>
      </c>
      <c r="V474">
        <f>Source!Y194</f>
        <v>1088.17</v>
      </c>
    </row>
    <row r="475" spans="1:26" ht="14.25" x14ac:dyDescent="0.2">
      <c r="A475" s="45"/>
      <c r="B475" s="46"/>
      <c r="C475" s="46" t="s">
        <v>965</v>
      </c>
      <c r="D475" s="29"/>
      <c r="E475" s="11"/>
      <c r="F475" s="30">
        <f>Source!AO194</f>
        <v>4.0999999999999996</v>
      </c>
      <c r="G475" s="31" t="str">
        <f>Source!DG194</f>
        <v>)*0,8</v>
      </c>
      <c r="H475" s="30">
        <f>ROUND(Source!AF194*Source!I194, 2)</f>
        <v>144.32</v>
      </c>
      <c r="I475" s="31"/>
      <c r="J475" s="31">
        <f>IF(Source!BA194&lt;&gt; 0, Source!BA194, 1)</f>
        <v>18.850000000000001</v>
      </c>
      <c r="K475" s="30">
        <f>Source!S194</f>
        <v>2720.43</v>
      </c>
      <c r="L475" s="32"/>
      <c r="R475">
        <f>H475</f>
        <v>144.32</v>
      </c>
    </row>
    <row r="476" spans="1:26" ht="14.25" x14ac:dyDescent="0.2">
      <c r="A476" s="45"/>
      <c r="B476" s="46"/>
      <c r="C476" s="46" t="s">
        <v>966</v>
      </c>
      <c r="D476" s="29" t="s">
        <v>967</v>
      </c>
      <c r="E476" s="11">
        <f>Source!BZ194</f>
        <v>65</v>
      </c>
      <c r="F476" s="49"/>
      <c r="G476" s="31"/>
      <c r="H476" s="30">
        <f>SUM(S474:S478)</f>
        <v>93.81</v>
      </c>
      <c r="I476" s="33"/>
      <c r="J476" s="27">
        <f>Source!AT194</f>
        <v>65</v>
      </c>
      <c r="K476" s="30">
        <f>SUM(T474:T478)</f>
        <v>1768.28</v>
      </c>
      <c r="L476" s="32"/>
    </row>
    <row r="477" spans="1:26" ht="14.25" x14ac:dyDescent="0.2">
      <c r="A477" s="45"/>
      <c r="B477" s="46"/>
      <c r="C477" s="46" t="s">
        <v>968</v>
      </c>
      <c r="D477" s="29" t="s">
        <v>967</v>
      </c>
      <c r="E477" s="11">
        <f>Source!CA194</f>
        <v>40</v>
      </c>
      <c r="F477" s="49"/>
      <c r="G477" s="31"/>
      <c r="H477" s="30">
        <f>SUM(U474:U478)</f>
        <v>57.73</v>
      </c>
      <c r="I477" s="33"/>
      <c r="J477" s="27">
        <f>Source!AU194</f>
        <v>40</v>
      </c>
      <c r="K477" s="30">
        <f>SUM(V474:V478)</f>
        <v>1088.17</v>
      </c>
      <c r="L477" s="32"/>
    </row>
    <row r="478" spans="1:26" ht="14.25" x14ac:dyDescent="0.2">
      <c r="A478" s="47"/>
      <c r="B478" s="48"/>
      <c r="C478" s="48" t="s">
        <v>969</v>
      </c>
      <c r="D478" s="34" t="s">
        <v>970</v>
      </c>
      <c r="E478" s="35">
        <f>Source!AQ194</f>
        <v>0.32</v>
      </c>
      <c r="F478" s="36"/>
      <c r="G478" s="37" t="str">
        <f>Source!DI194</f>
        <v>)*0,8</v>
      </c>
      <c r="H478" s="36"/>
      <c r="I478" s="37"/>
      <c r="J478" s="37"/>
      <c r="K478" s="36"/>
      <c r="L478" s="38">
        <f>Source!U194</f>
        <v>11.263999999999999</v>
      </c>
    </row>
    <row r="479" spans="1:26" ht="15" x14ac:dyDescent="0.25">
      <c r="G479" s="65">
        <f>H475+H476+H477</f>
        <v>295.86</v>
      </c>
      <c r="H479" s="65"/>
      <c r="J479" s="65">
        <f>K475+K476+K477</f>
        <v>5576.88</v>
      </c>
      <c r="K479" s="65"/>
      <c r="L479" s="39">
        <f>Source!U194</f>
        <v>11.263999999999999</v>
      </c>
      <c r="O479" s="24">
        <f>G479</f>
        <v>295.86</v>
      </c>
      <c r="P479" s="24">
        <f>J479</f>
        <v>5576.88</v>
      </c>
      <c r="Q479" s="24">
        <f>L479</f>
        <v>11.263999999999999</v>
      </c>
      <c r="W479">
        <f>IF(Source!BI194&lt;=1,H475+H476+H477, 0)</f>
        <v>0</v>
      </c>
      <c r="X479">
        <f>IF(Source!BI194=2,H475+H476+H477, 0)</f>
        <v>0</v>
      </c>
      <c r="Y479">
        <f>IF(Source!BI194=3,H475+H476+H477, 0)</f>
        <v>0</v>
      </c>
      <c r="Z479">
        <f>IF(Source!BI194=4,H475+H476+H477, 0)</f>
        <v>295.86</v>
      </c>
    </row>
    <row r="480" spans="1:26" ht="42.75" x14ac:dyDescent="0.2">
      <c r="A480" s="45" t="str">
        <f>Source!E195</f>
        <v>49</v>
      </c>
      <c r="B480" s="46" t="str">
        <f>Source!F195</f>
        <v>п01-11-011-01</v>
      </c>
      <c r="C480" s="46" t="str">
        <f>Source!G195</f>
        <v>Проверка наличия цепи между заземлителями и заземленными элементами</v>
      </c>
      <c r="D480" s="29" t="str">
        <f>Source!H195</f>
        <v>100 измерений</v>
      </c>
      <c r="E480" s="11">
        <f>Source!I195</f>
        <v>7.0000000000000007E-2</v>
      </c>
      <c r="F480" s="30">
        <f>Source!AL195+Source!AM195+Source!AO195</f>
        <v>165.95</v>
      </c>
      <c r="G480" s="31"/>
      <c r="H480" s="30"/>
      <c r="I480" s="31" t="str">
        <f>Source!BO195</f>
        <v/>
      </c>
      <c r="J480" s="31"/>
      <c r="K480" s="30"/>
      <c r="L480" s="32"/>
      <c r="S480">
        <f>ROUND((Source!FX195/100)*((ROUND(Source!AF195*Source!I195, 2)+ROUND(Source!AE195*Source!I195, 2))), 2)</f>
        <v>6.04</v>
      </c>
      <c r="T480">
        <f>Source!X195</f>
        <v>113.87</v>
      </c>
      <c r="U480">
        <f>ROUND((Source!FY195/100)*((ROUND(Source!AF195*Source!I195, 2)+ROUND(Source!AE195*Source!I195, 2))), 2)</f>
        <v>3.72</v>
      </c>
      <c r="V480">
        <f>Source!Y195</f>
        <v>70.069999999999993</v>
      </c>
    </row>
    <row r="481" spans="1:26" ht="14.25" x14ac:dyDescent="0.2">
      <c r="A481" s="45"/>
      <c r="B481" s="46"/>
      <c r="C481" s="46" t="s">
        <v>965</v>
      </c>
      <c r="D481" s="29"/>
      <c r="E481" s="11"/>
      <c r="F481" s="30">
        <f>Source!AO195</f>
        <v>165.95</v>
      </c>
      <c r="G481" s="31" t="str">
        <f>Source!DG195</f>
        <v>)*0,8</v>
      </c>
      <c r="H481" s="30">
        <f>ROUND(Source!AF195*Source!I195, 2)</f>
        <v>9.2899999999999991</v>
      </c>
      <c r="I481" s="31"/>
      <c r="J481" s="31">
        <f>IF(Source!BA195&lt;&gt; 0, Source!BA195, 1)</f>
        <v>18.850000000000001</v>
      </c>
      <c r="K481" s="30">
        <f>Source!S195</f>
        <v>175.18</v>
      </c>
      <c r="L481" s="32"/>
      <c r="R481">
        <f>H481</f>
        <v>9.2899999999999991</v>
      </c>
    </row>
    <row r="482" spans="1:26" ht="14.25" x14ac:dyDescent="0.2">
      <c r="A482" s="45"/>
      <c r="B482" s="46"/>
      <c r="C482" s="46" t="s">
        <v>966</v>
      </c>
      <c r="D482" s="29" t="s">
        <v>967</v>
      </c>
      <c r="E482" s="11">
        <f>Source!BZ195</f>
        <v>65</v>
      </c>
      <c r="F482" s="49"/>
      <c r="G482" s="31"/>
      <c r="H482" s="30">
        <f>SUM(S480:S484)</f>
        <v>6.04</v>
      </c>
      <c r="I482" s="33"/>
      <c r="J482" s="27">
        <f>Source!AT195</f>
        <v>65</v>
      </c>
      <c r="K482" s="30">
        <f>SUM(T480:T484)</f>
        <v>113.87</v>
      </c>
      <c r="L482" s="32"/>
    </row>
    <row r="483" spans="1:26" ht="14.25" x14ac:dyDescent="0.2">
      <c r="A483" s="45"/>
      <c r="B483" s="46"/>
      <c r="C483" s="46" t="s">
        <v>968</v>
      </c>
      <c r="D483" s="29" t="s">
        <v>967</v>
      </c>
      <c r="E483" s="11">
        <f>Source!CA195</f>
        <v>40</v>
      </c>
      <c r="F483" s="49"/>
      <c r="G483" s="31"/>
      <c r="H483" s="30">
        <f>SUM(U480:U484)</f>
        <v>3.72</v>
      </c>
      <c r="I483" s="33"/>
      <c r="J483" s="27">
        <f>Source!AU195</f>
        <v>40</v>
      </c>
      <c r="K483" s="30">
        <f>SUM(V480:V484)</f>
        <v>70.069999999999993</v>
      </c>
      <c r="L483" s="32"/>
    </row>
    <row r="484" spans="1:26" ht="14.25" x14ac:dyDescent="0.2">
      <c r="A484" s="47"/>
      <c r="B484" s="48"/>
      <c r="C484" s="48" t="s">
        <v>969</v>
      </c>
      <c r="D484" s="34" t="s">
        <v>970</v>
      </c>
      <c r="E484" s="35">
        <f>Source!AQ195</f>
        <v>12.96</v>
      </c>
      <c r="F484" s="36"/>
      <c r="G484" s="37" t="str">
        <f>Source!DI195</f>
        <v>)*0,8</v>
      </c>
      <c r="H484" s="36"/>
      <c r="I484" s="37"/>
      <c r="J484" s="37"/>
      <c r="K484" s="36"/>
      <c r="L484" s="38">
        <f>Source!U195</f>
        <v>0.72576000000000018</v>
      </c>
    </row>
    <row r="485" spans="1:26" ht="15" x14ac:dyDescent="0.25">
      <c r="G485" s="65">
        <f>H481+H482+H483</f>
        <v>19.049999999999997</v>
      </c>
      <c r="H485" s="65"/>
      <c r="J485" s="65">
        <f>K481+K482+K483</f>
        <v>359.12</v>
      </c>
      <c r="K485" s="65"/>
      <c r="L485" s="39">
        <f>Source!U195</f>
        <v>0.72576000000000018</v>
      </c>
      <c r="O485" s="24">
        <f>G485</f>
        <v>19.049999999999997</v>
      </c>
      <c r="P485" s="24">
        <f>J485</f>
        <v>359.12</v>
      </c>
      <c r="Q485" s="24">
        <f>L485</f>
        <v>0.72576000000000018</v>
      </c>
      <c r="W485">
        <f>IF(Source!BI195&lt;=1,H481+H482+H483, 0)</f>
        <v>0</v>
      </c>
      <c r="X485">
        <f>IF(Source!BI195=2,H481+H482+H483, 0)</f>
        <v>0</v>
      </c>
      <c r="Y485">
        <f>IF(Source!BI195=3,H481+H482+H483, 0)</f>
        <v>0</v>
      </c>
      <c r="Z485">
        <f>IF(Source!BI195=4,H481+H482+H483, 0)</f>
        <v>19.049999999999997</v>
      </c>
    </row>
    <row r="486" spans="1:26" ht="28.5" x14ac:dyDescent="0.2">
      <c r="A486" s="45" t="str">
        <f>Source!E196</f>
        <v>50</v>
      </c>
      <c r="B486" s="46" t="str">
        <f>Source!F196</f>
        <v>п01-11-013-01</v>
      </c>
      <c r="C486" s="46" t="str">
        <f>Source!G196</f>
        <v>Замер полного сопротивления цепи "фаза-нуль"</v>
      </c>
      <c r="D486" s="29" t="str">
        <f>Source!H196</f>
        <v>ШТ</v>
      </c>
      <c r="E486" s="11">
        <f>Source!I196</f>
        <v>39</v>
      </c>
      <c r="F486" s="30">
        <f>Source!AL196+Source!AM196+Source!AO196</f>
        <v>15.62</v>
      </c>
      <c r="G486" s="31"/>
      <c r="H486" s="30"/>
      <c r="I486" s="31" t="str">
        <f>Source!BO196</f>
        <v/>
      </c>
      <c r="J486" s="31"/>
      <c r="K486" s="30"/>
      <c r="L486" s="32"/>
      <c r="S486">
        <f>ROUND((Source!FX196/100)*((ROUND(Source!AF196*Source!I196, 2)+ROUND(Source!AE196*Source!I196, 2))), 2)</f>
        <v>316.88</v>
      </c>
      <c r="T486">
        <f>Source!X196</f>
        <v>5973.1</v>
      </c>
      <c r="U486">
        <f>ROUND((Source!FY196/100)*((ROUND(Source!AF196*Source!I196, 2)+ROUND(Source!AE196*Source!I196, 2))), 2)</f>
        <v>195</v>
      </c>
      <c r="V486">
        <f>Source!Y196</f>
        <v>3675.75</v>
      </c>
    </row>
    <row r="487" spans="1:26" ht="14.25" x14ac:dyDescent="0.2">
      <c r="A487" s="45"/>
      <c r="B487" s="46"/>
      <c r="C487" s="46" t="s">
        <v>965</v>
      </c>
      <c r="D487" s="29"/>
      <c r="E487" s="11"/>
      <c r="F487" s="30">
        <f>Source!AO196</f>
        <v>15.62</v>
      </c>
      <c r="G487" s="31" t="str">
        <f>Source!DG196</f>
        <v>)*0,8</v>
      </c>
      <c r="H487" s="30">
        <f>ROUND(Source!AF196*Source!I196, 2)</f>
        <v>487.5</v>
      </c>
      <c r="I487" s="31"/>
      <c r="J487" s="31">
        <f>IF(Source!BA196&lt;&gt; 0, Source!BA196, 1)</f>
        <v>18.850000000000001</v>
      </c>
      <c r="K487" s="30">
        <f>Source!S196</f>
        <v>9189.3799999999992</v>
      </c>
      <c r="L487" s="32"/>
      <c r="R487">
        <f>H487</f>
        <v>487.5</v>
      </c>
    </row>
    <row r="488" spans="1:26" ht="14.25" x14ac:dyDescent="0.2">
      <c r="A488" s="45"/>
      <c r="B488" s="46"/>
      <c r="C488" s="46" t="s">
        <v>966</v>
      </c>
      <c r="D488" s="29" t="s">
        <v>967</v>
      </c>
      <c r="E488" s="11">
        <f>Source!BZ196</f>
        <v>65</v>
      </c>
      <c r="F488" s="49"/>
      <c r="G488" s="31"/>
      <c r="H488" s="30">
        <f>SUM(S486:S490)</f>
        <v>316.88</v>
      </c>
      <c r="I488" s="33"/>
      <c r="J488" s="27">
        <f>Source!AT196</f>
        <v>65</v>
      </c>
      <c r="K488" s="30">
        <f>SUM(T486:T490)</f>
        <v>5973.1</v>
      </c>
      <c r="L488" s="32"/>
    </row>
    <row r="489" spans="1:26" ht="14.25" x14ac:dyDescent="0.2">
      <c r="A489" s="45"/>
      <c r="B489" s="46"/>
      <c r="C489" s="46" t="s">
        <v>968</v>
      </c>
      <c r="D489" s="29" t="s">
        <v>967</v>
      </c>
      <c r="E489" s="11">
        <f>Source!CA196</f>
        <v>40</v>
      </c>
      <c r="F489" s="49"/>
      <c r="G489" s="31"/>
      <c r="H489" s="30">
        <f>SUM(U486:U490)</f>
        <v>195</v>
      </c>
      <c r="I489" s="33"/>
      <c r="J489" s="27">
        <f>Source!AU196</f>
        <v>40</v>
      </c>
      <c r="K489" s="30">
        <f>SUM(V486:V490)</f>
        <v>3675.75</v>
      </c>
      <c r="L489" s="32"/>
    </row>
    <row r="490" spans="1:26" ht="14.25" x14ac:dyDescent="0.2">
      <c r="A490" s="47"/>
      <c r="B490" s="48"/>
      <c r="C490" s="48" t="s">
        <v>969</v>
      </c>
      <c r="D490" s="34" t="s">
        <v>970</v>
      </c>
      <c r="E490" s="35">
        <f>Source!AQ196</f>
        <v>1.22</v>
      </c>
      <c r="F490" s="36"/>
      <c r="G490" s="37" t="str">
        <f>Source!DI196</f>
        <v>)*0,8</v>
      </c>
      <c r="H490" s="36"/>
      <c r="I490" s="37"/>
      <c r="J490" s="37"/>
      <c r="K490" s="36"/>
      <c r="L490" s="38">
        <f>Source!U196</f>
        <v>38.064</v>
      </c>
    </row>
    <row r="491" spans="1:26" ht="15" x14ac:dyDescent="0.25">
      <c r="G491" s="65">
        <f>H487+H488+H489</f>
        <v>999.38</v>
      </c>
      <c r="H491" s="65"/>
      <c r="J491" s="65">
        <f>K487+K488+K489</f>
        <v>18838.23</v>
      </c>
      <c r="K491" s="65"/>
      <c r="L491" s="39">
        <f>Source!U196</f>
        <v>38.064</v>
      </c>
      <c r="O491" s="24">
        <f>G491</f>
        <v>999.38</v>
      </c>
      <c r="P491" s="24">
        <f>J491</f>
        <v>18838.23</v>
      </c>
      <c r="Q491" s="24">
        <f>L491</f>
        <v>38.064</v>
      </c>
      <c r="W491">
        <f>IF(Source!BI196&lt;=1,H487+H488+H489, 0)</f>
        <v>0</v>
      </c>
      <c r="X491">
        <f>IF(Source!BI196=2,H487+H488+H489, 0)</f>
        <v>0</v>
      </c>
      <c r="Y491">
        <f>IF(Source!BI196=3,H487+H488+H489, 0)</f>
        <v>0</v>
      </c>
      <c r="Z491">
        <f>IF(Source!BI196=4,H487+H488+H489, 0)</f>
        <v>999.38</v>
      </c>
    </row>
    <row r="492" spans="1:26" ht="57" x14ac:dyDescent="0.2">
      <c r="A492" s="45" t="str">
        <f>Source!E197</f>
        <v>51</v>
      </c>
      <c r="B492" s="46" t="str">
        <f>Source!F197</f>
        <v>п01-12-021-02</v>
      </c>
      <c r="C492" s="46" t="str">
        <f>Source!G197</f>
        <v>Испытание аппарата коммутационного напряжением до 35 кВ (Автоматические выключатели до 1000 В)</v>
      </c>
      <c r="D492" s="29" t="str">
        <f>Source!H197</f>
        <v>испытание</v>
      </c>
      <c r="E492" s="11">
        <f>Source!I197</f>
        <v>44</v>
      </c>
      <c r="F492" s="30">
        <f>Source!AL197+Source!AM197+Source!AO197</f>
        <v>34.31</v>
      </c>
      <c r="G492" s="31"/>
      <c r="H492" s="30"/>
      <c r="I492" s="31" t="str">
        <f>Source!BO197</f>
        <v/>
      </c>
      <c r="J492" s="31"/>
      <c r="K492" s="30"/>
      <c r="L492" s="32"/>
      <c r="S492">
        <f>ROUND((Source!FX197/100)*((ROUND(Source!AF197*Source!I197, 2)+ROUND(Source!AE197*Source!I197, 2))), 2)</f>
        <v>785.07</v>
      </c>
      <c r="T492">
        <f>Source!X197</f>
        <v>14798.57</v>
      </c>
      <c r="U492">
        <f>ROUND((Source!FY197/100)*((ROUND(Source!AF197*Source!I197, 2)+ROUND(Source!AE197*Source!I197, 2))), 2)</f>
        <v>483.12</v>
      </c>
      <c r="V492">
        <f>Source!Y197</f>
        <v>9106.81</v>
      </c>
    </row>
    <row r="493" spans="1:26" ht="14.25" x14ac:dyDescent="0.2">
      <c r="A493" s="45"/>
      <c r="B493" s="46"/>
      <c r="C493" s="46" t="s">
        <v>965</v>
      </c>
      <c r="D493" s="29"/>
      <c r="E493" s="11"/>
      <c r="F493" s="30">
        <f>Source!AO197</f>
        <v>34.31</v>
      </c>
      <c r="G493" s="31" t="str">
        <f>Source!DG197</f>
        <v>)*0,8</v>
      </c>
      <c r="H493" s="30">
        <f>ROUND(Source!AF197*Source!I197, 2)</f>
        <v>1207.8</v>
      </c>
      <c r="I493" s="31"/>
      <c r="J493" s="31">
        <f>IF(Source!BA197&lt;&gt; 0, Source!BA197, 1)</f>
        <v>18.850000000000001</v>
      </c>
      <c r="K493" s="30">
        <f>Source!S197</f>
        <v>22767.03</v>
      </c>
      <c r="L493" s="32"/>
      <c r="R493">
        <f>H493</f>
        <v>1207.8</v>
      </c>
    </row>
    <row r="494" spans="1:26" ht="14.25" x14ac:dyDescent="0.2">
      <c r="A494" s="45"/>
      <c r="B494" s="46"/>
      <c r="C494" s="46" t="s">
        <v>966</v>
      </c>
      <c r="D494" s="29" t="s">
        <v>967</v>
      </c>
      <c r="E494" s="11">
        <f>Source!BZ197</f>
        <v>65</v>
      </c>
      <c r="F494" s="49"/>
      <c r="G494" s="31"/>
      <c r="H494" s="30">
        <f>SUM(S492:S496)</f>
        <v>785.07</v>
      </c>
      <c r="I494" s="33"/>
      <c r="J494" s="27">
        <f>Source!AT197</f>
        <v>65</v>
      </c>
      <c r="K494" s="30">
        <f>SUM(T492:T496)</f>
        <v>14798.57</v>
      </c>
      <c r="L494" s="32"/>
    </row>
    <row r="495" spans="1:26" ht="14.25" x14ac:dyDescent="0.2">
      <c r="A495" s="45"/>
      <c r="B495" s="46"/>
      <c r="C495" s="46" t="s">
        <v>968</v>
      </c>
      <c r="D495" s="29" t="s">
        <v>967</v>
      </c>
      <c r="E495" s="11">
        <f>Source!CA197</f>
        <v>40</v>
      </c>
      <c r="F495" s="49"/>
      <c r="G495" s="31"/>
      <c r="H495" s="30">
        <f>SUM(U492:U496)</f>
        <v>483.12</v>
      </c>
      <c r="I495" s="33"/>
      <c r="J495" s="27">
        <f>Source!AU197</f>
        <v>40</v>
      </c>
      <c r="K495" s="30">
        <f>SUM(V492:V496)</f>
        <v>9106.81</v>
      </c>
      <c r="L495" s="32"/>
    </row>
    <row r="496" spans="1:26" ht="14.25" x14ac:dyDescent="0.2">
      <c r="A496" s="47"/>
      <c r="B496" s="48"/>
      <c r="C496" s="48" t="s">
        <v>969</v>
      </c>
      <c r="D496" s="34" t="s">
        <v>970</v>
      </c>
      <c r="E496" s="35">
        <f>Source!AQ197</f>
        <v>2.83</v>
      </c>
      <c r="F496" s="36"/>
      <c r="G496" s="37" t="str">
        <f>Source!DI197</f>
        <v>)*0,8</v>
      </c>
      <c r="H496" s="36"/>
      <c r="I496" s="37"/>
      <c r="J496" s="37"/>
      <c r="K496" s="36"/>
      <c r="L496" s="38">
        <f>Source!U197</f>
        <v>99.616000000000014</v>
      </c>
    </row>
    <row r="497" spans="1:26" ht="15" x14ac:dyDescent="0.25">
      <c r="G497" s="65">
        <f>H493+H494+H495</f>
        <v>2475.9899999999998</v>
      </c>
      <c r="H497" s="65"/>
      <c r="J497" s="65">
        <f>K493+K494+K495</f>
        <v>46672.409999999996</v>
      </c>
      <c r="K497" s="65"/>
      <c r="L497" s="39">
        <f>Source!U197</f>
        <v>99.616000000000014</v>
      </c>
      <c r="O497" s="24">
        <f>G497</f>
        <v>2475.9899999999998</v>
      </c>
      <c r="P497" s="24">
        <f>J497</f>
        <v>46672.409999999996</v>
      </c>
      <c r="Q497" s="24">
        <f>L497</f>
        <v>99.616000000000014</v>
      </c>
      <c r="W497">
        <f>IF(Source!BI197&lt;=1,H493+H494+H495, 0)</f>
        <v>0</v>
      </c>
      <c r="X497">
        <f>IF(Source!BI197=2,H493+H494+H495, 0)</f>
        <v>0</v>
      </c>
      <c r="Y497">
        <f>IF(Source!BI197=3,H493+H494+H495, 0)</f>
        <v>0</v>
      </c>
      <c r="Z497">
        <f>IF(Source!BI197=4,H493+H494+H495, 0)</f>
        <v>2475.9899999999998</v>
      </c>
    </row>
    <row r="499" spans="1:26" ht="15" x14ac:dyDescent="0.25">
      <c r="A499" s="64" t="str">
        <f>CONCATENATE("Итого по разделу: ",IF(Source!G199&lt;&gt;"Новый раздел", Source!G199, ""))</f>
        <v>Итого по разделу: 3 Электромонтажные работы</v>
      </c>
      <c r="B499" s="64"/>
      <c r="C499" s="64"/>
      <c r="D499" s="64"/>
      <c r="E499" s="64"/>
      <c r="F499" s="64"/>
      <c r="G499" s="63">
        <f>SUM(O305:O498)</f>
        <v>115522.68000000001</v>
      </c>
      <c r="H499" s="63"/>
      <c r="I499" s="26"/>
      <c r="J499" s="63">
        <f>SUM(P305:P498)</f>
        <v>801058.98</v>
      </c>
      <c r="K499" s="63"/>
      <c r="L499" s="39">
        <f>SUM(Q305:Q498)</f>
        <v>677.7841699999999</v>
      </c>
    </row>
    <row r="501" spans="1:26" ht="16.5" x14ac:dyDescent="0.25">
      <c r="A501" s="66" t="str">
        <f>CONCATENATE("Раздел: ",IF(Source!G231&lt;&gt;"Новый раздел", Source!G231, ""))</f>
        <v>Раздел: 4 АПС</v>
      </c>
      <c r="B501" s="66"/>
      <c r="C501" s="66"/>
      <c r="D501" s="66"/>
      <c r="E501" s="66"/>
      <c r="F501" s="66"/>
      <c r="G501" s="66"/>
      <c r="H501" s="66"/>
      <c r="I501" s="66"/>
      <c r="J501" s="66"/>
      <c r="K501" s="66"/>
      <c r="L501" s="66"/>
    </row>
    <row r="502" spans="1:26" ht="57" x14ac:dyDescent="0.2">
      <c r="A502" s="45" t="str">
        <f>Source!E235</f>
        <v>52</v>
      </c>
      <c r="B502" s="46" t="str">
        <f>Source!F235</f>
        <v>м10-08-002-01</v>
      </c>
      <c r="C502" s="46" t="str">
        <f>Source!G235</f>
        <v>Демонтаж:Монтаж извещателя ПС автоматического теплового электро-контактный, магнитоконтактный в нормальном исполнении</v>
      </c>
      <c r="D502" s="29" t="str">
        <f>Source!H235</f>
        <v>ШТ</v>
      </c>
      <c r="E502" s="11">
        <f>Source!I235</f>
        <v>23</v>
      </c>
      <c r="F502" s="30">
        <f>Source!AL235+Source!AM235+Source!AO235</f>
        <v>9.36</v>
      </c>
      <c r="G502" s="31"/>
      <c r="H502" s="30"/>
      <c r="I502" s="31" t="str">
        <f>Source!BO235</f>
        <v/>
      </c>
      <c r="J502" s="31"/>
      <c r="K502" s="30"/>
      <c r="L502" s="32"/>
      <c r="S502">
        <f>ROUND((Source!FX235/100)*((ROUND(Source!AF235*Source!I235, 2)+ROUND(Source!AE235*Source!I235, 2))), 2)</f>
        <v>44.53</v>
      </c>
      <c r="T502">
        <f>Source!X235</f>
        <v>290.77</v>
      </c>
      <c r="U502">
        <f>ROUND((Source!FY235/100)*((ROUND(Source!AF235*Source!I235, 2)+ROUND(Source!AE235*Source!I235, 2))), 2)</f>
        <v>33.4</v>
      </c>
      <c r="V502">
        <f>Source!Y235</f>
        <v>218.08</v>
      </c>
    </row>
    <row r="503" spans="1:26" ht="14.25" x14ac:dyDescent="0.2">
      <c r="A503" s="45"/>
      <c r="B503" s="46"/>
      <c r="C503" s="46" t="s">
        <v>965</v>
      </c>
      <c r="D503" s="29"/>
      <c r="E503" s="11"/>
      <c r="F503" s="30">
        <f>Source!AO235</f>
        <v>8.08</v>
      </c>
      <c r="G503" s="31" t="str">
        <f>Source!DG235</f>
        <v>)*0,3</v>
      </c>
      <c r="H503" s="30">
        <f>ROUND(Source!AF235*Source!I235, 2)</f>
        <v>55.66</v>
      </c>
      <c r="I503" s="31"/>
      <c r="J503" s="31">
        <f>IF(Source!BA235&lt;&gt; 0, Source!BA235, 1)</f>
        <v>6.53</v>
      </c>
      <c r="K503" s="30">
        <f>Source!S235</f>
        <v>363.46</v>
      </c>
      <c r="L503" s="32"/>
      <c r="R503">
        <f>H503</f>
        <v>55.66</v>
      </c>
    </row>
    <row r="504" spans="1:26" ht="14.25" x14ac:dyDescent="0.2">
      <c r="A504" s="45"/>
      <c r="B504" s="46"/>
      <c r="C504" s="46" t="s">
        <v>966</v>
      </c>
      <c r="D504" s="29" t="s">
        <v>967</v>
      </c>
      <c r="E504" s="11">
        <f>Source!BZ235</f>
        <v>80</v>
      </c>
      <c r="F504" s="49"/>
      <c r="G504" s="31"/>
      <c r="H504" s="30">
        <f>SUM(S502:S506)</f>
        <v>44.53</v>
      </c>
      <c r="I504" s="33"/>
      <c r="J504" s="27">
        <f>Source!AT235</f>
        <v>80</v>
      </c>
      <c r="K504" s="30">
        <f>SUM(T502:T506)</f>
        <v>290.77</v>
      </c>
      <c r="L504" s="32"/>
    </row>
    <row r="505" spans="1:26" ht="14.25" x14ac:dyDescent="0.2">
      <c r="A505" s="45"/>
      <c r="B505" s="46"/>
      <c r="C505" s="46" t="s">
        <v>968</v>
      </c>
      <c r="D505" s="29" t="s">
        <v>967</v>
      </c>
      <c r="E505" s="11">
        <f>Source!CA235</f>
        <v>60</v>
      </c>
      <c r="F505" s="49"/>
      <c r="G505" s="31"/>
      <c r="H505" s="30">
        <f>SUM(U502:U506)</f>
        <v>33.4</v>
      </c>
      <c r="I505" s="33"/>
      <c r="J505" s="27">
        <f>Source!AU235</f>
        <v>60</v>
      </c>
      <c r="K505" s="30">
        <f>SUM(V502:V506)</f>
        <v>218.08</v>
      </c>
      <c r="L505" s="32"/>
    </row>
    <row r="506" spans="1:26" ht="14.25" x14ac:dyDescent="0.2">
      <c r="A506" s="47"/>
      <c r="B506" s="48"/>
      <c r="C506" s="48" t="s">
        <v>969</v>
      </c>
      <c r="D506" s="34" t="s">
        <v>970</v>
      </c>
      <c r="E506" s="35">
        <f>Source!AQ235</f>
        <v>0.84</v>
      </c>
      <c r="F506" s="36"/>
      <c r="G506" s="37" t="str">
        <f>Source!DI235</f>
        <v>)*0,3</v>
      </c>
      <c r="H506" s="36"/>
      <c r="I506" s="37"/>
      <c r="J506" s="37"/>
      <c r="K506" s="36"/>
      <c r="L506" s="38">
        <f>Source!U235</f>
        <v>5.7960000000000003</v>
      </c>
    </row>
    <row r="507" spans="1:26" ht="15" x14ac:dyDescent="0.25">
      <c r="G507" s="65">
        <f>H503+H504+H505</f>
        <v>133.59</v>
      </c>
      <c r="H507" s="65"/>
      <c r="J507" s="65">
        <f>K503+K504+K505</f>
        <v>872.31000000000006</v>
      </c>
      <c r="K507" s="65"/>
      <c r="L507" s="39">
        <f>Source!U235</f>
        <v>5.7960000000000003</v>
      </c>
      <c r="O507" s="24">
        <f>G507</f>
        <v>133.59</v>
      </c>
      <c r="P507" s="24">
        <f>J507</f>
        <v>872.31000000000006</v>
      </c>
      <c r="Q507" s="24">
        <f>L507</f>
        <v>5.7960000000000003</v>
      </c>
      <c r="W507">
        <f>IF(Source!BI235&lt;=1,H503+H504+H505, 0)</f>
        <v>0</v>
      </c>
      <c r="X507">
        <f>IF(Source!BI235=2,H503+H504+H505, 0)</f>
        <v>133.59</v>
      </c>
      <c r="Y507">
        <f>IF(Source!BI235=3,H503+H504+H505, 0)</f>
        <v>0</v>
      </c>
      <c r="Z507">
        <f>IF(Source!BI235=4,H503+H504+H505, 0)</f>
        <v>0</v>
      </c>
    </row>
    <row r="508" spans="1:26" ht="57" x14ac:dyDescent="0.2">
      <c r="A508" s="45" t="str">
        <f>Source!E236</f>
        <v>53</v>
      </c>
      <c r="B508" s="46" t="str">
        <f>Source!F236</f>
        <v>м10-08-002-01</v>
      </c>
      <c r="C508" s="46" t="str">
        <f>Source!G236</f>
        <v>Монтаж извещателя ПС автоматического теплового электро-контактный, магнитоконтактный в нормальном исполнении</v>
      </c>
      <c r="D508" s="29" t="str">
        <f>Source!H236</f>
        <v>ШТ</v>
      </c>
      <c r="E508" s="11">
        <f>Source!I236</f>
        <v>46</v>
      </c>
      <c r="F508" s="30">
        <f>Source!AL236+Source!AM236+Source!AO236</f>
        <v>9.36</v>
      </c>
      <c r="G508" s="31"/>
      <c r="H508" s="30"/>
      <c r="I508" s="31" t="str">
        <f>Source!BO236</f>
        <v/>
      </c>
      <c r="J508" s="31"/>
      <c r="K508" s="30"/>
      <c r="L508" s="32"/>
      <c r="S508">
        <f>ROUND((Source!FX236/100)*((ROUND(Source!AF236*Source!I236, 2)+ROUND(Source!AE236*Source!I236, 2))), 2)</f>
        <v>297.33999999999997</v>
      </c>
      <c r="T508">
        <f>Source!X236</f>
        <v>1941.66</v>
      </c>
      <c r="U508">
        <f>ROUND((Source!FY236/100)*((ROUND(Source!AF236*Source!I236, 2)+ROUND(Source!AE236*Source!I236, 2))), 2)</f>
        <v>223.01</v>
      </c>
      <c r="V508">
        <f>Source!Y236</f>
        <v>1456.24</v>
      </c>
    </row>
    <row r="509" spans="1:26" ht="14.25" x14ac:dyDescent="0.2">
      <c r="A509" s="45"/>
      <c r="B509" s="46"/>
      <c r="C509" s="46" t="s">
        <v>965</v>
      </c>
      <c r="D509" s="29"/>
      <c r="E509" s="11"/>
      <c r="F509" s="30">
        <f>Source!AO236</f>
        <v>8.08</v>
      </c>
      <c r="G509" s="31" t="str">
        <f>Source!DG236</f>
        <v/>
      </c>
      <c r="H509" s="30">
        <f>ROUND(Source!AF236*Source!I236, 2)</f>
        <v>371.68</v>
      </c>
      <c r="I509" s="31"/>
      <c r="J509" s="31">
        <f>IF(Source!BA236&lt;&gt; 0, Source!BA236, 1)</f>
        <v>6.53</v>
      </c>
      <c r="K509" s="30">
        <f>Source!S236</f>
        <v>2427.0700000000002</v>
      </c>
      <c r="L509" s="32"/>
      <c r="R509">
        <f>H509</f>
        <v>371.68</v>
      </c>
    </row>
    <row r="510" spans="1:26" ht="14.25" x14ac:dyDescent="0.2">
      <c r="A510" s="45"/>
      <c r="B510" s="46"/>
      <c r="C510" s="46" t="s">
        <v>972</v>
      </c>
      <c r="D510" s="29"/>
      <c r="E510" s="11"/>
      <c r="F510" s="30">
        <f>Source!AL236</f>
        <v>1.28</v>
      </c>
      <c r="G510" s="31" t="str">
        <f>Source!DD236</f>
        <v/>
      </c>
      <c r="H510" s="30">
        <f>ROUND(Source!AC236*Source!I236, 2)</f>
        <v>58.88</v>
      </c>
      <c r="I510" s="31"/>
      <c r="J510" s="31">
        <f>IF(Source!BC236&lt;&gt; 0, Source!BC236, 1)</f>
        <v>6.53</v>
      </c>
      <c r="K510" s="30">
        <f>Source!P236</f>
        <v>384.49</v>
      </c>
      <c r="L510" s="32"/>
    </row>
    <row r="511" spans="1:26" ht="14.25" x14ac:dyDescent="0.2">
      <c r="A511" s="45"/>
      <c r="B511" s="46"/>
      <c r="C511" s="46" t="s">
        <v>966</v>
      </c>
      <c r="D511" s="29" t="s">
        <v>967</v>
      </c>
      <c r="E511" s="11">
        <f>Source!BZ236</f>
        <v>80</v>
      </c>
      <c r="F511" s="49"/>
      <c r="G511" s="31"/>
      <c r="H511" s="30">
        <f>SUM(S508:S514)</f>
        <v>297.33999999999997</v>
      </c>
      <c r="I511" s="33"/>
      <c r="J511" s="27">
        <f>Source!AT236</f>
        <v>80</v>
      </c>
      <c r="K511" s="30">
        <f>SUM(T508:T514)</f>
        <v>1941.66</v>
      </c>
      <c r="L511" s="32"/>
    </row>
    <row r="512" spans="1:26" ht="14.25" x14ac:dyDescent="0.2">
      <c r="A512" s="45"/>
      <c r="B512" s="46"/>
      <c r="C512" s="46" t="s">
        <v>968</v>
      </c>
      <c r="D512" s="29" t="s">
        <v>967</v>
      </c>
      <c r="E512" s="11">
        <f>Source!CA236</f>
        <v>60</v>
      </c>
      <c r="F512" s="49"/>
      <c r="G512" s="31"/>
      <c r="H512" s="30">
        <f>SUM(U508:U514)</f>
        <v>223.01</v>
      </c>
      <c r="I512" s="33"/>
      <c r="J512" s="27">
        <f>Source!AU236</f>
        <v>60</v>
      </c>
      <c r="K512" s="30">
        <f>SUM(V508:V514)</f>
        <v>1456.24</v>
      </c>
      <c r="L512" s="32"/>
    </row>
    <row r="513" spans="1:26" ht="14.25" x14ac:dyDescent="0.2">
      <c r="A513" s="45"/>
      <c r="B513" s="46"/>
      <c r="C513" s="46" t="s">
        <v>969</v>
      </c>
      <c r="D513" s="29" t="s">
        <v>970</v>
      </c>
      <c r="E513" s="11">
        <f>Source!AQ236</f>
        <v>0.84</v>
      </c>
      <c r="F513" s="30"/>
      <c r="G513" s="31" t="str">
        <f>Source!DI236</f>
        <v/>
      </c>
      <c r="H513" s="30"/>
      <c r="I513" s="31"/>
      <c r="J513" s="31"/>
      <c r="K513" s="30"/>
      <c r="L513" s="41">
        <f>Source!U236</f>
        <v>38.64</v>
      </c>
    </row>
    <row r="514" spans="1:26" ht="28.5" x14ac:dyDescent="0.2">
      <c r="A514" s="47" t="str">
        <f>Source!E237</f>
        <v>53,1</v>
      </c>
      <c r="B514" s="48" t="str">
        <f>Source!F237</f>
        <v>61.2.02.01-0072</v>
      </c>
      <c r="C514" s="48" t="str">
        <f>Source!G237</f>
        <v>Извещатель пожарный дымовой ИП 212-41М (ДИП-41М) прим.</v>
      </c>
      <c r="D514" s="34" t="str">
        <f>Source!H237</f>
        <v>10 шт.</v>
      </c>
      <c r="E514" s="35">
        <f>Source!I237</f>
        <v>4.5999999999999996</v>
      </c>
      <c r="F514" s="36">
        <f>Source!AL237+Source!AM237+Source!AO237</f>
        <v>287.27999999999997</v>
      </c>
      <c r="G514" s="42" t="s">
        <v>3</v>
      </c>
      <c r="H514" s="36">
        <f>ROUND(Source!AC237*Source!I237, 2)+ROUND(Source!AD237*Source!I237, 2)+ROUND(Source!AF237*Source!I237, 2)</f>
        <v>1321.49</v>
      </c>
      <c r="I514" s="37"/>
      <c r="J514" s="37">
        <f>IF(Source!BC237&lt;&gt; 0, Source!BC237, 1)</f>
        <v>6.53</v>
      </c>
      <c r="K514" s="36">
        <f>Source!O237</f>
        <v>8629.32</v>
      </c>
      <c r="L514" s="43"/>
      <c r="S514">
        <f>ROUND((Source!FX237/100)*((ROUND(Source!AF237*Source!I237, 2)+ROUND(Source!AE237*Source!I237, 2))), 2)</f>
        <v>0</v>
      </c>
      <c r="T514">
        <f>Source!X237</f>
        <v>0</v>
      </c>
      <c r="U514">
        <f>ROUND((Source!FY237/100)*((ROUND(Source!AF237*Source!I237, 2)+ROUND(Source!AE237*Source!I237, 2))), 2)</f>
        <v>0</v>
      </c>
      <c r="V514">
        <f>Source!Y237</f>
        <v>0</v>
      </c>
      <c r="W514">
        <f>IF(Source!BI237&lt;=1,H514, 0)</f>
        <v>0</v>
      </c>
      <c r="X514">
        <f>IF(Source!BI237=2,H514, 0)</f>
        <v>1321.49</v>
      </c>
      <c r="Y514">
        <f>IF(Source!BI237=3,H514, 0)</f>
        <v>0</v>
      </c>
      <c r="Z514">
        <f>IF(Source!BI237=4,H514, 0)</f>
        <v>0</v>
      </c>
    </row>
    <row r="515" spans="1:26" ht="15" x14ac:dyDescent="0.25">
      <c r="G515" s="65">
        <f>H509+H510+H511+H512+SUM(H514:H514)</f>
        <v>2272.4</v>
      </c>
      <c r="H515" s="65"/>
      <c r="J515" s="65">
        <f>K509+K510+K511+K512+SUM(K514:K514)</f>
        <v>14838.779999999999</v>
      </c>
      <c r="K515" s="65"/>
      <c r="L515" s="39">
        <f>Source!U236</f>
        <v>38.64</v>
      </c>
      <c r="O515" s="24">
        <f>G515</f>
        <v>2272.4</v>
      </c>
      <c r="P515" s="24">
        <f>J515</f>
        <v>14838.779999999999</v>
      </c>
      <c r="Q515" s="24">
        <f>L515</f>
        <v>38.64</v>
      </c>
      <c r="W515">
        <f>IF(Source!BI236&lt;=1,H509+H510+H511+H512, 0)</f>
        <v>0</v>
      </c>
      <c r="X515">
        <f>IF(Source!BI236=2,H509+H510+H511+H512, 0)</f>
        <v>950.91</v>
      </c>
      <c r="Y515">
        <f>IF(Source!BI236=3,H509+H510+H511+H512, 0)</f>
        <v>0</v>
      </c>
      <c r="Z515">
        <f>IF(Source!BI236=4,H509+H510+H511+H512, 0)</f>
        <v>0</v>
      </c>
    </row>
    <row r="516" spans="1:26" ht="42.75" x14ac:dyDescent="0.2">
      <c r="A516" s="45" t="str">
        <f>Source!E238</f>
        <v>54</v>
      </c>
      <c r="B516" s="46" t="str">
        <f>Source!F238</f>
        <v>м10-08-001-03</v>
      </c>
      <c r="C516" s="46" t="str">
        <f>Source!G238</f>
        <v>Приборы ПС приемно-контрольные, пусковые, концентратор блок линейный</v>
      </c>
      <c r="D516" s="29" t="str">
        <f>Source!H238</f>
        <v>10 лучей</v>
      </c>
      <c r="E516" s="11">
        <f>Source!I238</f>
        <v>2.2999999999999998</v>
      </c>
      <c r="F516" s="30">
        <f>Source!AL238+Source!AM238+Source!AO238</f>
        <v>66.180000000000007</v>
      </c>
      <c r="G516" s="31"/>
      <c r="H516" s="30"/>
      <c r="I516" s="31" t="str">
        <f>Source!BO238</f>
        <v/>
      </c>
      <c r="J516" s="31"/>
      <c r="K516" s="30"/>
      <c r="L516" s="32"/>
      <c r="S516">
        <f>ROUND((Source!FX238/100)*((ROUND(Source!AF238*Source!I238, 2)+ROUND(Source!AE238*Source!I238, 2))), 2)</f>
        <v>98.57</v>
      </c>
      <c r="T516">
        <f>Source!X238</f>
        <v>643.66</v>
      </c>
      <c r="U516">
        <f>ROUND((Source!FY238/100)*((ROUND(Source!AF238*Source!I238, 2)+ROUND(Source!AE238*Source!I238, 2))), 2)</f>
        <v>73.930000000000007</v>
      </c>
      <c r="V516">
        <f>Source!Y238</f>
        <v>482.74</v>
      </c>
    </row>
    <row r="517" spans="1:26" x14ac:dyDescent="0.2">
      <c r="C517" s="25" t="str">
        <f>"Объем: "&amp;Source!I238&amp;"=23/"&amp;"10"</f>
        <v>Объем: 2,3=23/10</v>
      </c>
    </row>
    <row r="518" spans="1:26" ht="14.25" x14ac:dyDescent="0.2">
      <c r="A518" s="45"/>
      <c r="B518" s="46"/>
      <c r="C518" s="46" t="s">
        <v>965</v>
      </c>
      <c r="D518" s="29"/>
      <c r="E518" s="11"/>
      <c r="F518" s="30">
        <f>Source!AO238</f>
        <v>53.57</v>
      </c>
      <c r="G518" s="31" t="str">
        <f>Source!DG238</f>
        <v/>
      </c>
      <c r="H518" s="30">
        <f>ROUND(Source!AF238*Source!I238, 2)</f>
        <v>123.21</v>
      </c>
      <c r="I518" s="31"/>
      <c r="J518" s="31">
        <f>IF(Source!BA238&lt;&gt; 0, Source!BA238, 1)</f>
        <v>6.53</v>
      </c>
      <c r="K518" s="30">
        <f>Source!S238</f>
        <v>804.57</v>
      </c>
      <c r="L518" s="32"/>
      <c r="R518">
        <f>H518</f>
        <v>123.21</v>
      </c>
    </row>
    <row r="519" spans="1:26" ht="14.25" x14ac:dyDescent="0.2">
      <c r="A519" s="45"/>
      <c r="B519" s="46"/>
      <c r="C519" s="46" t="s">
        <v>972</v>
      </c>
      <c r="D519" s="29"/>
      <c r="E519" s="11"/>
      <c r="F519" s="30">
        <f>Source!AL238</f>
        <v>12.61</v>
      </c>
      <c r="G519" s="31" t="str">
        <f>Source!DD238</f>
        <v/>
      </c>
      <c r="H519" s="30">
        <f>ROUND(Source!AC238*Source!I238, 2)</f>
        <v>29</v>
      </c>
      <c r="I519" s="31"/>
      <c r="J519" s="31">
        <f>IF(Source!BC238&lt;&gt; 0, Source!BC238, 1)</f>
        <v>6.53</v>
      </c>
      <c r="K519" s="30">
        <f>Source!P238</f>
        <v>189.39</v>
      </c>
      <c r="L519" s="32"/>
    </row>
    <row r="520" spans="1:26" ht="14.25" x14ac:dyDescent="0.2">
      <c r="A520" s="45"/>
      <c r="B520" s="46"/>
      <c r="C520" s="46" t="s">
        <v>966</v>
      </c>
      <c r="D520" s="29" t="s">
        <v>967</v>
      </c>
      <c r="E520" s="11">
        <f>Source!BZ238</f>
        <v>80</v>
      </c>
      <c r="F520" s="49"/>
      <c r="G520" s="31"/>
      <c r="H520" s="30">
        <f>SUM(S516:S523)</f>
        <v>98.57</v>
      </c>
      <c r="I520" s="33"/>
      <c r="J520" s="27">
        <f>Source!AT238</f>
        <v>80</v>
      </c>
      <c r="K520" s="30">
        <f>SUM(T516:T523)</f>
        <v>643.66</v>
      </c>
      <c r="L520" s="32"/>
    </row>
    <row r="521" spans="1:26" ht="14.25" x14ac:dyDescent="0.2">
      <c r="A521" s="45"/>
      <c r="B521" s="46"/>
      <c r="C521" s="46" t="s">
        <v>968</v>
      </c>
      <c r="D521" s="29" t="s">
        <v>967</v>
      </c>
      <c r="E521" s="11">
        <f>Source!CA238</f>
        <v>60</v>
      </c>
      <c r="F521" s="49"/>
      <c r="G521" s="31"/>
      <c r="H521" s="30">
        <f>SUM(U516:U523)</f>
        <v>73.930000000000007</v>
      </c>
      <c r="I521" s="33"/>
      <c r="J521" s="27">
        <f>Source!AU238</f>
        <v>60</v>
      </c>
      <c r="K521" s="30">
        <f>SUM(V516:V523)</f>
        <v>482.74</v>
      </c>
      <c r="L521" s="32"/>
    </row>
    <row r="522" spans="1:26" ht="14.25" x14ac:dyDescent="0.2">
      <c r="A522" s="45"/>
      <c r="B522" s="46"/>
      <c r="C522" s="46" t="s">
        <v>969</v>
      </c>
      <c r="D522" s="29" t="s">
        <v>970</v>
      </c>
      <c r="E522" s="11">
        <f>Source!AQ238</f>
        <v>5.4</v>
      </c>
      <c r="F522" s="30"/>
      <c r="G522" s="31" t="str">
        <f>Source!DI238</f>
        <v/>
      </c>
      <c r="H522" s="30"/>
      <c r="I522" s="31"/>
      <c r="J522" s="31"/>
      <c r="K522" s="30"/>
      <c r="L522" s="41">
        <f>Source!U238</f>
        <v>12.42</v>
      </c>
    </row>
    <row r="523" spans="1:26" ht="28.5" x14ac:dyDescent="0.2">
      <c r="A523" s="47" t="str">
        <f>Source!E239</f>
        <v>54,1</v>
      </c>
      <c r="B523" s="48" t="str">
        <f>Source!F239</f>
        <v>61.2.07.04-0051</v>
      </c>
      <c r="C523" s="48" t="str">
        <f>Source!G239</f>
        <v>Устройство контроля шлейфа УШК-01 прим.</v>
      </c>
      <c r="D523" s="34" t="str">
        <f>Source!H239</f>
        <v>шт.</v>
      </c>
      <c r="E523" s="35">
        <f>Source!I239</f>
        <v>23</v>
      </c>
      <c r="F523" s="36">
        <f>Source!AL239+Source!AM239+Source!AO239</f>
        <v>57.92</v>
      </c>
      <c r="G523" s="42" t="s">
        <v>3</v>
      </c>
      <c r="H523" s="36">
        <f>ROUND(Source!AC239*Source!I239, 2)+ROUND(Source!AD239*Source!I239, 2)+ROUND(Source!AF239*Source!I239, 2)</f>
        <v>1332.16</v>
      </c>
      <c r="I523" s="37"/>
      <c r="J523" s="37">
        <f>IF(Source!BC239&lt;&gt; 0, Source!BC239, 1)</f>
        <v>6.53</v>
      </c>
      <c r="K523" s="36">
        <f>Source!O239</f>
        <v>8699</v>
      </c>
      <c r="L523" s="43"/>
      <c r="S523">
        <f>ROUND((Source!FX239/100)*((ROUND(Source!AF239*Source!I239, 2)+ROUND(Source!AE239*Source!I239, 2))), 2)</f>
        <v>0</v>
      </c>
      <c r="T523">
        <f>Source!X239</f>
        <v>0</v>
      </c>
      <c r="U523">
        <f>ROUND((Source!FY239/100)*((ROUND(Source!AF239*Source!I239, 2)+ROUND(Source!AE239*Source!I239, 2))), 2)</f>
        <v>0</v>
      </c>
      <c r="V523">
        <f>Source!Y239</f>
        <v>0</v>
      </c>
      <c r="W523">
        <f>IF(Source!BI239&lt;=1,H523, 0)</f>
        <v>0</v>
      </c>
      <c r="X523">
        <f>IF(Source!BI239=2,H523, 0)</f>
        <v>1332.16</v>
      </c>
      <c r="Y523">
        <f>IF(Source!BI239=3,H523, 0)</f>
        <v>0</v>
      </c>
      <c r="Z523">
        <f>IF(Source!BI239=4,H523, 0)</f>
        <v>0</v>
      </c>
    </row>
    <row r="524" spans="1:26" ht="15" x14ac:dyDescent="0.25">
      <c r="G524" s="65">
        <f>H518+H519+H520+H521+SUM(H523:H523)</f>
        <v>1656.8700000000001</v>
      </c>
      <c r="H524" s="65"/>
      <c r="J524" s="65">
        <f>K518+K519+K520+K521+SUM(K523:K523)</f>
        <v>10819.36</v>
      </c>
      <c r="K524" s="65"/>
      <c r="L524" s="39">
        <f>Source!U238</f>
        <v>12.42</v>
      </c>
      <c r="O524" s="24">
        <f>G524</f>
        <v>1656.8700000000001</v>
      </c>
      <c r="P524" s="24">
        <f>J524</f>
        <v>10819.36</v>
      </c>
      <c r="Q524" s="24">
        <f>L524</f>
        <v>12.42</v>
      </c>
      <c r="W524">
        <f>IF(Source!BI238&lt;=1,H518+H519+H520+H521, 0)</f>
        <v>0</v>
      </c>
      <c r="X524">
        <f>IF(Source!BI238=2,H518+H519+H520+H521, 0)</f>
        <v>324.70999999999998</v>
      </c>
      <c r="Y524">
        <f>IF(Source!BI238=3,H518+H519+H520+H521, 0)</f>
        <v>0</v>
      </c>
      <c r="Z524">
        <f>IF(Source!BI238=4,H518+H519+H520+H521, 0)</f>
        <v>0</v>
      </c>
    </row>
    <row r="525" spans="1:26" ht="28.5" x14ac:dyDescent="0.2">
      <c r="A525" s="45" t="str">
        <f>Source!E240</f>
        <v>55</v>
      </c>
      <c r="B525" s="46" t="str">
        <f>Source!F240</f>
        <v>м08-10-010-01</v>
      </c>
      <c r="C525" s="46" t="str">
        <f>Source!G240</f>
        <v>Прокладка труб гофрированных ПВХ для защиты проводов и кабелей</v>
      </c>
      <c r="D525" s="29" t="str">
        <f>Source!H240</f>
        <v>100 м</v>
      </c>
      <c r="E525" s="11">
        <f>Source!I240</f>
        <v>0.48</v>
      </c>
      <c r="F525" s="30">
        <f>Source!AL240+Source!AM240+Source!AO240</f>
        <v>156.32999999999998</v>
      </c>
      <c r="G525" s="31"/>
      <c r="H525" s="30"/>
      <c r="I525" s="31" t="str">
        <f>Source!BO240</f>
        <v/>
      </c>
      <c r="J525" s="31"/>
      <c r="K525" s="30"/>
      <c r="L525" s="32"/>
      <c r="S525">
        <f>ROUND((Source!FX240/100)*((ROUND(Source!AF240*Source!I240, 2)+ROUND(Source!AE240*Source!I240, 2))), 2)</f>
        <v>63.63</v>
      </c>
      <c r="T525">
        <f>Source!X240</f>
        <v>415.5</v>
      </c>
      <c r="U525">
        <f>ROUND((Source!FY240/100)*((ROUND(Source!AF240*Source!I240, 2)+ROUND(Source!AE240*Source!I240, 2))), 2)</f>
        <v>43.54</v>
      </c>
      <c r="V525">
        <f>Source!Y240</f>
        <v>284.29000000000002</v>
      </c>
    </row>
    <row r="526" spans="1:26" ht="14.25" x14ac:dyDescent="0.2">
      <c r="A526" s="45"/>
      <c r="B526" s="46"/>
      <c r="C526" s="46" t="s">
        <v>965</v>
      </c>
      <c r="D526" s="29"/>
      <c r="E526" s="11"/>
      <c r="F526" s="30">
        <f>Source!AO240</f>
        <v>139.54</v>
      </c>
      <c r="G526" s="31" t="str">
        <f>Source!DG240</f>
        <v/>
      </c>
      <c r="H526" s="30">
        <f>ROUND(Source!AF240*Source!I240, 2)</f>
        <v>66.98</v>
      </c>
      <c r="I526" s="31"/>
      <c r="J526" s="31">
        <f>IF(Source!BA240&lt;&gt; 0, Source!BA240, 1)</f>
        <v>6.53</v>
      </c>
      <c r="K526" s="30">
        <f>Source!S240</f>
        <v>437.37</v>
      </c>
      <c r="L526" s="32"/>
      <c r="R526">
        <f>H526</f>
        <v>66.98</v>
      </c>
    </row>
    <row r="527" spans="1:26" ht="14.25" x14ac:dyDescent="0.2">
      <c r="A527" s="45"/>
      <c r="B527" s="46"/>
      <c r="C527" s="46" t="s">
        <v>972</v>
      </c>
      <c r="D527" s="29"/>
      <c r="E527" s="11"/>
      <c r="F527" s="30">
        <f>Source!AL240</f>
        <v>16.79</v>
      </c>
      <c r="G527" s="31" t="str">
        <f>Source!DD240</f>
        <v/>
      </c>
      <c r="H527" s="30">
        <f>ROUND(Source!AC240*Source!I240, 2)</f>
        <v>8.06</v>
      </c>
      <c r="I527" s="31"/>
      <c r="J527" s="31">
        <f>IF(Source!BC240&lt;&gt; 0, Source!BC240, 1)</f>
        <v>6.53</v>
      </c>
      <c r="K527" s="30">
        <f>Source!P240</f>
        <v>52.63</v>
      </c>
      <c r="L527" s="32"/>
    </row>
    <row r="528" spans="1:26" ht="14.25" x14ac:dyDescent="0.2">
      <c r="A528" s="45"/>
      <c r="B528" s="46"/>
      <c r="C528" s="46" t="s">
        <v>966</v>
      </c>
      <c r="D528" s="29" t="s">
        <v>967</v>
      </c>
      <c r="E528" s="11">
        <f>Source!BZ240</f>
        <v>95</v>
      </c>
      <c r="F528" s="49"/>
      <c r="G528" s="31"/>
      <c r="H528" s="30">
        <f>SUM(S525:S531)</f>
        <v>63.63</v>
      </c>
      <c r="I528" s="33"/>
      <c r="J528" s="27">
        <f>Source!AT240</f>
        <v>95</v>
      </c>
      <c r="K528" s="30">
        <f>SUM(T525:T531)</f>
        <v>415.5</v>
      </c>
      <c r="L528" s="32"/>
    </row>
    <row r="529" spans="1:26" ht="14.25" x14ac:dyDescent="0.2">
      <c r="A529" s="45"/>
      <c r="B529" s="46"/>
      <c r="C529" s="46" t="s">
        <v>968</v>
      </c>
      <c r="D529" s="29" t="s">
        <v>967</v>
      </c>
      <c r="E529" s="11">
        <f>Source!CA240</f>
        <v>65</v>
      </c>
      <c r="F529" s="49"/>
      <c r="G529" s="31"/>
      <c r="H529" s="30">
        <f>SUM(U525:U531)</f>
        <v>43.54</v>
      </c>
      <c r="I529" s="33"/>
      <c r="J529" s="27">
        <f>Source!AU240</f>
        <v>65</v>
      </c>
      <c r="K529" s="30">
        <f>SUM(V525:V531)</f>
        <v>284.29000000000002</v>
      </c>
      <c r="L529" s="32"/>
    </row>
    <row r="530" spans="1:26" ht="14.25" x14ac:dyDescent="0.2">
      <c r="A530" s="45"/>
      <c r="B530" s="46"/>
      <c r="C530" s="46" t="s">
        <v>969</v>
      </c>
      <c r="D530" s="29" t="s">
        <v>970</v>
      </c>
      <c r="E530" s="11">
        <f>Source!AQ240</f>
        <v>15.2</v>
      </c>
      <c r="F530" s="30"/>
      <c r="G530" s="31" t="str">
        <f>Source!DI240</f>
        <v/>
      </c>
      <c r="H530" s="30"/>
      <c r="I530" s="31"/>
      <c r="J530" s="31"/>
      <c r="K530" s="30"/>
      <c r="L530" s="41">
        <f>Source!U240</f>
        <v>7.2959999999999994</v>
      </c>
    </row>
    <row r="531" spans="1:26" ht="42.75" x14ac:dyDescent="0.2">
      <c r="A531" s="47" t="str">
        <f>Source!E241</f>
        <v>55,1</v>
      </c>
      <c r="B531" s="48" t="str">
        <f>Source!F241</f>
        <v>24.3.03.05-0011</v>
      </c>
      <c r="C531" s="48" t="str">
        <f>Source!G241</f>
        <v>Трубы гибкие гофрированные легкие из ПНД, серии BL, с зондом, диаметром 16 мм</v>
      </c>
      <c r="D531" s="34" t="str">
        <f>Source!H241</f>
        <v>10 м</v>
      </c>
      <c r="E531" s="35">
        <f>Source!I241</f>
        <v>4.8</v>
      </c>
      <c r="F531" s="36">
        <f>Source!AL241+Source!AM241+Source!AO241</f>
        <v>24.54</v>
      </c>
      <c r="G531" s="42" t="s">
        <v>3</v>
      </c>
      <c r="H531" s="36">
        <f>ROUND(Source!AC241*Source!I241, 2)+ROUND(Source!AD241*Source!I241, 2)+ROUND(Source!AF241*Source!I241, 2)</f>
        <v>117.79</v>
      </c>
      <c r="I531" s="37"/>
      <c r="J531" s="37">
        <f>IF(Source!BC241&lt;&gt; 0, Source!BC241, 1)</f>
        <v>6.53</v>
      </c>
      <c r="K531" s="36">
        <f>Source!O241</f>
        <v>769.18</v>
      </c>
      <c r="L531" s="43"/>
      <c r="S531">
        <f>ROUND((Source!FX241/100)*((ROUND(Source!AF241*Source!I241, 2)+ROUND(Source!AE241*Source!I241, 2))), 2)</f>
        <v>0</v>
      </c>
      <c r="T531">
        <f>Source!X241</f>
        <v>0</v>
      </c>
      <c r="U531">
        <f>ROUND((Source!FY241/100)*((ROUND(Source!AF241*Source!I241, 2)+ROUND(Source!AE241*Source!I241, 2))), 2)</f>
        <v>0</v>
      </c>
      <c r="V531">
        <f>Source!Y241</f>
        <v>0</v>
      </c>
      <c r="W531">
        <f>IF(Source!BI241&lt;=1,H531, 0)</f>
        <v>0</v>
      </c>
      <c r="X531">
        <f>IF(Source!BI241=2,H531, 0)</f>
        <v>117.79</v>
      </c>
      <c r="Y531">
        <f>IF(Source!BI241=3,H531, 0)</f>
        <v>0</v>
      </c>
      <c r="Z531">
        <f>IF(Source!BI241=4,H531, 0)</f>
        <v>0</v>
      </c>
    </row>
    <row r="532" spans="1:26" ht="15" x14ac:dyDescent="0.25">
      <c r="G532" s="65">
        <f>H526+H527+H528+H529+SUM(H531:H531)</f>
        <v>300</v>
      </c>
      <c r="H532" s="65"/>
      <c r="J532" s="65">
        <f>K526+K527+K528+K529+SUM(K531:K531)</f>
        <v>1958.9699999999998</v>
      </c>
      <c r="K532" s="65"/>
      <c r="L532" s="39">
        <f>Source!U240</f>
        <v>7.2959999999999994</v>
      </c>
      <c r="O532" s="24">
        <f>G532</f>
        <v>300</v>
      </c>
      <c r="P532" s="24">
        <f>J532</f>
        <v>1958.9699999999998</v>
      </c>
      <c r="Q532" s="24">
        <f>L532</f>
        <v>7.2959999999999994</v>
      </c>
      <c r="W532">
        <f>IF(Source!BI240&lt;=1,H526+H527+H528+H529, 0)</f>
        <v>0</v>
      </c>
      <c r="X532">
        <f>IF(Source!BI240=2,H526+H527+H528+H529, 0)</f>
        <v>182.21</v>
      </c>
      <c r="Y532">
        <f>IF(Source!BI240=3,H526+H527+H528+H529, 0)</f>
        <v>0</v>
      </c>
      <c r="Z532">
        <f>IF(Source!BI240=4,H526+H527+H528+H529, 0)</f>
        <v>0</v>
      </c>
    </row>
    <row r="533" spans="1:26" ht="71.25" x14ac:dyDescent="0.2">
      <c r="A533" s="45" t="str">
        <f>Source!E242</f>
        <v>56</v>
      </c>
      <c r="B533" s="46" t="str">
        <f>Source!F242</f>
        <v>м08-02-412-02</v>
      </c>
      <c r="C533" s="46" t="str">
        <f>Source!G242</f>
        <v>Затягивание провода в проложенные трубы и металлические рукава первого одножильного или многожильного в общей оплетке, суммарное сечение до 6 мм2</v>
      </c>
      <c r="D533" s="29" t="str">
        <f>Source!H242</f>
        <v>100 м</v>
      </c>
      <c r="E533" s="11">
        <f>Source!I242</f>
        <v>0.64</v>
      </c>
      <c r="F533" s="30">
        <f>Source!AL242+Source!AM242+Source!AO242</f>
        <v>68.7</v>
      </c>
      <c r="G533" s="31"/>
      <c r="H533" s="30"/>
      <c r="I533" s="31" t="str">
        <f>Source!BO242</f>
        <v/>
      </c>
      <c r="J533" s="31"/>
      <c r="K533" s="30"/>
      <c r="L533" s="32"/>
      <c r="S533">
        <f>ROUND((Source!FX242/100)*((ROUND(Source!AF242*Source!I242, 2)+ROUND(Source!AE242*Source!I242, 2))), 2)</f>
        <v>31.11</v>
      </c>
      <c r="T533">
        <f>Source!X242</f>
        <v>203.16</v>
      </c>
      <c r="U533">
        <f>ROUND((Source!FY242/100)*((ROUND(Source!AF242*Source!I242, 2)+ROUND(Source!AE242*Source!I242, 2))), 2)</f>
        <v>21.29</v>
      </c>
      <c r="V533">
        <f>Source!Y242</f>
        <v>139</v>
      </c>
    </row>
    <row r="534" spans="1:26" x14ac:dyDescent="0.2">
      <c r="C534" s="25" t="str">
        <f>"Объем: "&amp;Source!I242&amp;"=64/"&amp;"100"</f>
        <v>Объем: 0,64=64/100</v>
      </c>
    </row>
    <row r="535" spans="1:26" ht="14.25" x14ac:dyDescent="0.2">
      <c r="A535" s="45"/>
      <c r="B535" s="46"/>
      <c r="C535" s="46" t="s">
        <v>965</v>
      </c>
      <c r="D535" s="29"/>
      <c r="E535" s="11"/>
      <c r="F535" s="30">
        <f>Source!AO242</f>
        <v>50.67</v>
      </c>
      <c r="G535" s="31" t="str">
        <f>Source!DG242</f>
        <v/>
      </c>
      <c r="H535" s="30">
        <f>ROUND(Source!AF242*Source!I242, 2)</f>
        <v>32.43</v>
      </c>
      <c r="I535" s="31"/>
      <c r="J535" s="31">
        <f>IF(Source!BA242&lt;&gt; 0, Source!BA242, 1)</f>
        <v>6.53</v>
      </c>
      <c r="K535" s="30">
        <f>Source!S242</f>
        <v>211.76</v>
      </c>
      <c r="L535" s="32"/>
      <c r="R535">
        <f>H535</f>
        <v>32.43</v>
      </c>
    </row>
    <row r="536" spans="1:26" ht="14.25" x14ac:dyDescent="0.2">
      <c r="A536" s="45"/>
      <c r="B536" s="46"/>
      <c r="C536" s="46" t="s">
        <v>284</v>
      </c>
      <c r="D536" s="29"/>
      <c r="E536" s="11"/>
      <c r="F536" s="30">
        <f>Source!AM242</f>
        <v>3.55</v>
      </c>
      <c r="G536" s="31" t="str">
        <f>Source!DE242</f>
        <v/>
      </c>
      <c r="H536" s="30">
        <f>ROUND(Source!AD242*Source!I242, 2)</f>
        <v>2.27</v>
      </c>
      <c r="I536" s="31"/>
      <c r="J536" s="31">
        <f>IF(Source!BB242&lt;&gt; 0, Source!BB242, 1)</f>
        <v>6.53</v>
      </c>
      <c r="K536" s="30">
        <f>Source!Q242</f>
        <v>14.84</v>
      </c>
      <c r="L536" s="32"/>
    </row>
    <row r="537" spans="1:26" ht="14.25" x14ac:dyDescent="0.2">
      <c r="A537" s="45"/>
      <c r="B537" s="46"/>
      <c r="C537" s="46" t="s">
        <v>971</v>
      </c>
      <c r="D537" s="29"/>
      <c r="E537" s="11"/>
      <c r="F537" s="30">
        <f>Source!AN242</f>
        <v>0.5</v>
      </c>
      <c r="G537" s="31" t="str">
        <f>Source!DF242</f>
        <v/>
      </c>
      <c r="H537" s="40">
        <f>ROUND(Source!AE242*Source!I242, 2)</f>
        <v>0.32</v>
      </c>
      <c r="I537" s="31"/>
      <c r="J537" s="31">
        <f>IF(Source!BS242&lt;&gt; 0, Source!BS242, 1)</f>
        <v>6.53</v>
      </c>
      <c r="K537" s="40">
        <f>Source!R242</f>
        <v>2.09</v>
      </c>
      <c r="L537" s="32"/>
      <c r="R537">
        <f>H537</f>
        <v>0.32</v>
      </c>
    </row>
    <row r="538" spans="1:26" ht="14.25" x14ac:dyDescent="0.2">
      <c r="A538" s="45"/>
      <c r="B538" s="46"/>
      <c r="C538" s="46" t="s">
        <v>972</v>
      </c>
      <c r="D538" s="29"/>
      <c r="E538" s="11"/>
      <c r="F538" s="30">
        <f>Source!AL242</f>
        <v>14.48</v>
      </c>
      <c r="G538" s="31" t="str">
        <f>Source!DD242</f>
        <v/>
      </c>
      <c r="H538" s="30">
        <f>ROUND(Source!AC242*Source!I242, 2)</f>
        <v>9.27</v>
      </c>
      <c r="I538" s="31"/>
      <c r="J538" s="31">
        <f>IF(Source!BC242&lt;&gt; 0, Source!BC242, 1)</f>
        <v>6.53</v>
      </c>
      <c r="K538" s="30">
        <f>Source!P242</f>
        <v>60.51</v>
      </c>
      <c r="L538" s="32"/>
    </row>
    <row r="539" spans="1:26" ht="14.25" x14ac:dyDescent="0.2">
      <c r="A539" s="45"/>
      <c r="B539" s="46"/>
      <c r="C539" s="46" t="s">
        <v>966</v>
      </c>
      <c r="D539" s="29" t="s">
        <v>967</v>
      </c>
      <c r="E539" s="11">
        <f>Source!BZ242</f>
        <v>95</v>
      </c>
      <c r="F539" s="49"/>
      <c r="G539" s="31"/>
      <c r="H539" s="30">
        <f>SUM(S533:S542)</f>
        <v>31.11</v>
      </c>
      <c r="I539" s="33"/>
      <c r="J539" s="27">
        <f>Source!AT242</f>
        <v>95</v>
      </c>
      <c r="K539" s="30">
        <f>SUM(T533:T542)</f>
        <v>203.16</v>
      </c>
      <c r="L539" s="32"/>
    </row>
    <row r="540" spans="1:26" ht="14.25" x14ac:dyDescent="0.2">
      <c r="A540" s="45"/>
      <c r="B540" s="46"/>
      <c r="C540" s="46" t="s">
        <v>968</v>
      </c>
      <c r="D540" s="29" t="s">
        <v>967</v>
      </c>
      <c r="E540" s="11">
        <f>Source!CA242</f>
        <v>65</v>
      </c>
      <c r="F540" s="49"/>
      <c r="G540" s="31"/>
      <c r="H540" s="30">
        <f>SUM(U533:U542)</f>
        <v>21.29</v>
      </c>
      <c r="I540" s="33"/>
      <c r="J540" s="27">
        <f>Source!AU242</f>
        <v>65</v>
      </c>
      <c r="K540" s="30">
        <f>SUM(V533:V542)</f>
        <v>139</v>
      </c>
      <c r="L540" s="32"/>
    </row>
    <row r="541" spans="1:26" ht="14.25" x14ac:dyDescent="0.2">
      <c r="A541" s="45"/>
      <c r="B541" s="46"/>
      <c r="C541" s="46" t="s">
        <v>969</v>
      </c>
      <c r="D541" s="29" t="s">
        <v>970</v>
      </c>
      <c r="E541" s="11">
        <f>Source!AQ242</f>
        <v>5.39</v>
      </c>
      <c r="F541" s="30"/>
      <c r="G541" s="31" t="str">
        <f>Source!DI242</f>
        <v/>
      </c>
      <c r="H541" s="30"/>
      <c r="I541" s="31"/>
      <c r="J541" s="31"/>
      <c r="K541" s="30"/>
      <c r="L541" s="41">
        <f>Source!U242</f>
        <v>3.4495999999999998</v>
      </c>
    </row>
    <row r="542" spans="1:26" ht="128.25" x14ac:dyDescent="0.2">
      <c r="A542" s="47" t="str">
        <f>Source!E243</f>
        <v>56,1</v>
      </c>
      <c r="B542" s="48" t="str">
        <f>Source!F243</f>
        <v>21.1.08.01-0151</v>
      </c>
      <c r="C542" s="48" t="str">
        <f>Source!G243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ПВХ, не распространяющий горение, с низким дымо- и газовыделением, с экраном из алюмолавсановой ленты, марки КПСЭнг-FRLS 1х2х0,75</v>
      </c>
      <c r="D542" s="34" t="str">
        <f>Source!H243</f>
        <v>1000 м</v>
      </c>
      <c r="E542" s="35">
        <f>Source!I243</f>
        <v>6.4000000000000001E-2</v>
      </c>
      <c r="F542" s="36">
        <f>Source!AL243+Source!AM243+Source!AO243</f>
        <v>4284.0200000000004</v>
      </c>
      <c r="G542" s="42" t="s">
        <v>3</v>
      </c>
      <c r="H542" s="36">
        <f>ROUND(Source!AC243*Source!I243, 2)+ROUND(Source!AD243*Source!I243, 2)+ROUND(Source!AF243*Source!I243, 2)</f>
        <v>274.18</v>
      </c>
      <c r="I542" s="37"/>
      <c r="J542" s="37">
        <f>IF(Source!BC243&lt;&gt; 0, Source!BC243, 1)</f>
        <v>6.53</v>
      </c>
      <c r="K542" s="36">
        <f>Source!O243</f>
        <v>1790.38</v>
      </c>
      <c r="L542" s="43"/>
      <c r="S542">
        <f>ROUND((Source!FX243/100)*((ROUND(Source!AF243*Source!I243, 2)+ROUND(Source!AE243*Source!I243, 2))), 2)</f>
        <v>0</v>
      </c>
      <c r="T542">
        <f>Source!X243</f>
        <v>0</v>
      </c>
      <c r="U542">
        <f>ROUND((Source!FY243/100)*((ROUND(Source!AF243*Source!I243, 2)+ROUND(Source!AE243*Source!I243, 2))), 2)</f>
        <v>0</v>
      </c>
      <c r="V542">
        <f>Source!Y243</f>
        <v>0</v>
      </c>
      <c r="W542">
        <f>IF(Source!BI243&lt;=1,H542, 0)</f>
        <v>0</v>
      </c>
      <c r="X542">
        <f>IF(Source!BI243=2,H542, 0)</f>
        <v>274.18</v>
      </c>
      <c r="Y542">
        <f>IF(Source!BI243=3,H542, 0)</f>
        <v>0</v>
      </c>
      <c r="Z542">
        <f>IF(Source!BI243=4,H542, 0)</f>
        <v>0</v>
      </c>
    </row>
    <row r="543" spans="1:26" ht="15" x14ac:dyDescent="0.25">
      <c r="G543" s="65">
        <f>H535+H536+H538+H539+H540+SUM(H542:H542)</f>
        <v>370.55</v>
      </c>
      <c r="H543" s="65"/>
      <c r="J543" s="65">
        <f>K535+K536+K538+K539+K540+SUM(K542:K542)</f>
        <v>2419.65</v>
      </c>
      <c r="K543" s="65"/>
      <c r="L543" s="39">
        <f>Source!U242</f>
        <v>3.4495999999999998</v>
      </c>
      <c r="O543" s="24">
        <f>G543</f>
        <v>370.55</v>
      </c>
      <c r="P543" s="24">
        <f>J543</f>
        <v>2419.65</v>
      </c>
      <c r="Q543" s="24">
        <f>L543</f>
        <v>3.4495999999999998</v>
      </c>
      <c r="W543">
        <f>IF(Source!BI242&lt;=1,H535+H536+H538+H539+H540, 0)</f>
        <v>0</v>
      </c>
      <c r="X543">
        <f>IF(Source!BI242=2,H535+H536+H538+H539+H540, 0)</f>
        <v>96.37</v>
      </c>
      <c r="Y543">
        <f>IF(Source!BI242=3,H535+H536+H538+H539+H540, 0)</f>
        <v>0</v>
      </c>
      <c r="Z543">
        <f>IF(Source!BI242=4,H535+H536+H538+H539+H540, 0)</f>
        <v>0</v>
      </c>
    </row>
    <row r="544" spans="1:26" ht="28.5" x14ac:dyDescent="0.2">
      <c r="A544" s="45" t="str">
        <f>Source!E244</f>
        <v>57</v>
      </c>
      <c r="B544" s="46" t="str">
        <f>Source!F244</f>
        <v>м10-02-054-06</v>
      </c>
      <c r="C544" s="46" t="str">
        <f>Source!G244</f>
        <v>Электрическая проверка и настройка оборудования</v>
      </c>
      <c r="D544" s="29" t="str">
        <f>Source!H244</f>
        <v>КОМПЛ</v>
      </c>
      <c r="E544" s="11">
        <f>Source!I244</f>
        <v>1</v>
      </c>
      <c r="F544" s="30">
        <f>Source!AL244+Source!AM244+Source!AO244</f>
        <v>4.53</v>
      </c>
      <c r="G544" s="31"/>
      <c r="H544" s="30"/>
      <c r="I544" s="31" t="str">
        <f>Source!BO244</f>
        <v/>
      </c>
      <c r="J544" s="31"/>
      <c r="K544" s="30"/>
      <c r="L544" s="32"/>
      <c r="S544">
        <f>ROUND((Source!FX244/100)*((ROUND(Source!AF244*Source!I244, 2)+ROUND(Source!AE244*Source!I244, 2))), 2)</f>
        <v>3.55</v>
      </c>
      <c r="T544">
        <f>Source!X244</f>
        <v>23.19</v>
      </c>
      <c r="U544">
        <f>ROUND((Source!FY244/100)*((ROUND(Source!AF244*Source!I244, 2)+ROUND(Source!AE244*Source!I244, 2))), 2)</f>
        <v>2.66</v>
      </c>
      <c r="V544">
        <f>Source!Y244</f>
        <v>17.39</v>
      </c>
    </row>
    <row r="545" spans="1:26" ht="14.25" x14ac:dyDescent="0.2">
      <c r="A545" s="45"/>
      <c r="B545" s="46"/>
      <c r="C545" s="46" t="s">
        <v>965</v>
      </c>
      <c r="D545" s="29"/>
      <c r="E545" s="11"/>
      <c r="F545" s="30">
        <f>Source!AO244</f>
        <v>4.4400000000000004</v>
      </c>
      <c r="G545" s="31" t="str">
        <f>Source!DG244</f>
        <v/>
      </c>
      <c r="H545" s="30">
        <f>ROUND(Source!AF244*Source!I244, 2)</f>
        <v>4.4400000000000004</v>
      </c>
      <c r="I545" s="31"/>
      <c r="J545" s="31">
        <f>IF(Source!BA244&lt;&gt; 0, Source!BA244, 1)</f>
        <v>6.53</v>
      </c>
      <c r="K545" s="30">
        <f>Source!S244</f>
        <v>28.99</v>
      </c>
      <c r="L545" s="32"/>
      <c r="R545">
        <f>H545</f>
        <v>4.4400000000000004</v>
      </c>
    </row>
    <row r="546" spans="1:26" ht="14.25" x14ac:dyDescent="0.2">
      <c r="A546" s="45"/>
      <c r="B546" s="46"/>
      <c r="C546" s="46" t="s">
        <v>972</v>
      </c>
      <c r="D546" s="29"/>
      <c r="E546" s="11"/>
      <c r="F546" s="30">
        <f>Source!AL244</f>
        <v>0.09</v>
      </c>
      <c r="G546" s="31" t="str">
        <f>Source!DD244</f>
        <v/>
      </c>
      <c r="H546" s="30">
        <f>ROUND(Source!AC244*Source!I244, 2)</f>
        <v>0.09</v>
      </c>
      <c r="I546" s="31"/>
      <c r="J546" s="31">
        <f>IF(Source!BC244&lt;&gt; 0, Source!BC244, 1)</f>
        <v>6.53</v>
      </c>
      <c r="K546" s="30">
        <f>Source!P244</f>
        <v>0.59</v>
      </c>
      <c r="L546" s="32"/>
    </row>
    <row r="547" spans="1:26" ht="14.25" x14ac:dyDescent="0.2">
      <c r="A547" s="45"/>
      <c r="B547" s="46"/>
      <c r="C547" s="46" t="s">
        <v>966</v>
      </c>
      <c r="D547" s="29" t="s">
        <v>967</v>
      </c>
      <c r="E547" s="11">
        <f>Source!BZ244</f>
        <v>80</v>
      </c>
      <c r="F547" s="49"/>
      <c r="G547" s="31"/>
      <c r="H547" s="30">
        <f>SUM(S544:S549)</f>
        <v>3.55</v>
      </c>
      <c r="I547" s="33"/>
      <c r="J547" s="27">
        <f>Source!AT244</f>
        <v>80</v>
      </c>
      <c r="K547" s="30">
        <f>SUM(T544:T549)</f>
        <v>23.19</v>
      </c>
      <c r="L547" s="32"/>
    </row>
    <row r="548" spans="1:26" ht="14.25" x14ac:dyDescent="0.2">
      <c r="A548" s="45"/>
      <c r="B548" s="46"/>
      <c r="C548" s="46" t="s">
        <v>968</v>
      </c>
      <c r="D548" s="29" t="s">
        <v>967</v>
      </c>
      <c r="E548" s="11">
        <f>Source!CA244</f>
        <v>60</v>
      </c>
      <c r="F548" s="49"/>
      <c r="G548" s="31"/>
      <c r="H548" s="30">
        <f>SUM(U544:U549)</f>
        <v>2.66</v>
      </c>
      <c r="I548" s="33"/>
      <c r="J548" s="27">
        <f>Source!AU244</f>
        <v>60</v>
      </c>
      <c r="K548" s="30">
        <f>SUM(V544:V549)</f>
        <v>17.39</v>
      </c>
      <c r="L548" s="32"/>
    </row>
    <row r="549" spans="1:26" ht="14.25" x14ac:dyDescent="0.2">
      <c r="A549" s="47"/>
      <c r="B549" s="48"/>
      <c r="C549" s="48" t="s">
        <v>969</v>
      </c>
      <c r="D549" s="34" t="s">
        <v>970</v>
      </c>
      <c r="E549" s="35">
        <f>Source!AQ244</f>
        <v>0.4</v>
      </c>
      <c r="F549" s="36"/>
      <c r="G549" s="37" t="str">
        <f>Source!DI244</f>
        <v/>
      </c>
      <c r="H549" s="36"/>
      <c r="I549" s="37"/>
      <c r="J549" s="37"/>
      <c r="K549" s="36"/>
      <c r="L549" s="38">
        <f>Source!U244</f>
        <v>0.4</v>
      </c>
    </row>
    <row r="550" spans="1:26" ht="15" x14ac:dyDescent="0.25">
      <c r="G550" s="65">
        <f>H545+H546+H547+H548</f>
        <v>10.74</v>
      </c>
      <c r="H550" s="65"/>
      <c r="J550" s="65">
        <f>K545+K546+K547+K548</f>
        <v>70.16</v>
      </c>
      <c r="K550" s="65"/>
      <c r="L550" s="39">
        <f>Source!U244</f>
        <v>0.4</v>
      </c>
      <c r="O550" s="24">
        <f>G550</f>
        <v>10.74</v>
      </c>
      <c r="P550" s="24">
        <f>J550</f>
        <v>70.16</v>
      </c>
      <c r="Q550" s="24">
        <f>L550</f>
        <v>0.4</v>
      </c>
      <c r="W550">
        <f>IF(Source!BI244&lt;=1,H545+H546+H547+H548, 0)</f>
        <v>0</v>
      </c>
      <c r="X550">
        <f>IF(Source!BI244=2,H545+H546+H547+H548, 0)</f>
        <v>10.74</v>
      </c>
      <c r="Y550">
        <f>IF(Source!BI244=3,H545+H546+H547+H548, 0)</f>
        <v>0</v>
      </c>
      <c r="Z550">
        <f>IF(Source!BI244=4,H545+H546+H547+H548, 0)</f>
        <v>0</v>
      </c>
    </row>
    <row r="552" spans="1:26" ht="15" x14ac:dyDescent="0.25">
      <c r="A552" s="64" t="str">
        <f>CONCATENATE("Итого по разделу: ",IF(Source!G246&lt;&gt;"Новый раздел", Source!G246, ""))</f>
        <v>Итого по разделу: 4 АПС</v>
      </c>
      <c r="B552" s="64"/>
      <c r="C552" s="64"/>
      <c r="D552" s="64"/>
      <c r="E552" s="64"/>
      <c r="F552" s="64"/>
      <c r="G552" s="63">
        <f>SUM(O501:O551)</f>
        <v>4744.1500000000005</v>
      </c>
      <c r="H552" s="63"/>
      <c r="I552" s="26"/>
      <c r="J552" s="63">
        <f>SUM(P501:P551)</f>
        <v>30979.23</v>
      </c>
      <c r="K552" s="63"/>
      <c r="L552" s="39">
        <f>SUM(Q501:Q551)</f>
        <v>68.00160000000001</v>
      </c>
    </row>
    <row r="553" spans="1:26" ht="15" x14ac:dyDescent="0.25">
      <c r="C553" s="64" t="str">
        <f>Source!H303</f>
        <v>Итого</v>
      </c>
      <c r="D553" s="64"/>
      <c r="E553" s="64"/>
      <c r="F553" s="64"/>
      <c r="G553" s="64"/>
      <c r="H553" s="64"/>
      <c r="I553" s="64"/>
      <c r="J553" s="63">
        <f>IF(Source!F303=0, "", Source!F303)</f>
        <v>2204929.04</v>
      </c>
      <c r="K553" s="63"/>
    </row>
    <row r="554" spans="1:26" ht="15" x14ac:dyDescent="0.25">
      <c r="C554" s="64" t="str">
        <f>Source!H304</f>
        <v>НДС 18%</v>
      </c>
      <c r="D554" s="64"/>
      <c r="E554" s="64"/>
      <c r="F554" s="64"/>
      <c r="G554" s="64"/>
      <c r="H554" s="64"/>
      <c r="I554" s="64"/>
      <c r="J554" s="63">
        <f>IF(Source!F304=0, "", Source!F304)</f>
        <v>396887.23</v>
      </c>
      <c r="K554" s="63"/>
    </row>
    <row r="555" spans="1:26" ht="15" x14ac:dyDescent="0.25">
      <c r="C555" s="64" t="str">
        <f>Source!H305</f>
        <v>Всего</v>
      </c>
      <c r="D555" s="64"/>
      <c r="E555" s="64"/>
      <c r="F555" s="64"/>
      <c r="G555" s="64"/>
      <c r="H555" s="64"/>
      <c r="I555" s="64"/>
      <c r="J555" s="63">
        <f>IF(Source!F305=0, "", Source!F305)</f>
        <v>2601816.27</v>
      </c>
      <c r="K555" s="63"/>
    </row>
  </sheetData>
  <mergeCells count="208">
    <mergeCell ref="B3:K3"/>
    <mergeCell ref="C16:F16"/>
    <mergeCell ref="G16:H16"/>
    <mergeCell ref="I16:J16"/>
    <mergeCell ref="K16:L16"/>
    <mergeCell ref="C17:F17"/>
    <mergeCell ref="G17:H17"/>
    <mergeCell ref="I17:J17"/>
    <mergeCell ref="K17:L17"/>
    <mergeCell ref="B6:K6"/>
    <mergeCell ref="B8:K8"/>
    <mergeCell ref="B10:K10"/>
    <mergeCell ref="B11:K11"/>
    <mergeCell ref="G15:H15"/>
    <mergeCell ref="I15:J15"/>
    <mergeCell ref="C20:F20"/>
    <mergeCell ref="G20:H20"/>
    <mergeCell ref="I20:J20"/>
    <mergeCell ref="K20:L20"/>
    <mergeCell ref="C21:F21"/>
    <mergeCell ref="G21:H21"/>
    <mergeCell ref="I21:J21"/>
    <mergeCell ref="K21:L21"/>
    <mergeCell ref="C18:F18"/>
    <mergeCell ref="G18:H18"/>
    <mergeCell ref="I18:J18"/>
    <mergeCell ref="K18:L18"/>
    <mergeCell ref="C19:F19"/>
    <mergeCell ref="G19:H19"/>
    <mergeCell ref="I19:J19"/>
    <mergeCell ref="K19:L19"/>
    <mergeCell ref="C553:I553"/>
    <mergeCell ref="J553:K553"/>
    <mergeCell ref="G532:H532"/>
    <mergeCell ref="J524:K524"/>
    <mergeCell ref="G524:H524"/>
    <mergeCell ref="J515:K515"/>
    <mergeCell ref="C22:F22"/>
    <mergeCell ref="G22:H22"/>
    <mergeCell ref="I22:J22"/>
    <mergeCell ref="K22:L22"/>
    <mergeCell ref="A24:L24"/>
    <mergeCell ref="J95:K95"/>
    <mergeCell ref="G95:H95"/>
    <mergeCell ref="F93:G93"/>
    <mergeCell ref="G86:H86"/>
    <mergeCell ref="F84:G84"/>
    <mergeCell ref="F83:G83"/>
    <mergeCell ref="J77:K77"/>
    <mergeCell ref="G77:H77"/>
    <mergeCell ref="C554:I554"/>
    <mergeCell ref="J554:K554"/>
    <mergeCell ref="C555:I555"/>
    <mergeCell ref="J555:K555"/>
    <mergeCell ref="J34:K34"/>
    <mergeCell ref="G34:H34"/>
    <mergeCell ref="A28:L28"/>
    <mergeCell ref="G169:H169"/>
    <mergeCell ref="J158:K158"/>
    <mergeCell ref="G158:H158"/>
    <mergeCell ref="F156:G156"/>
    <mergeCell ref="F155:G155"/>
    <mergeCell ref="J149:K149"/>
    <mergeCell ref="G149:H149"/>
    <mergeCell ref="F56:G56"/>
    <mergeCell ref="F55:G55"/>
    <mergeCell ref="J52:K52"/>
    <mergeCell ref="G52:H52"/>
    <mergeCell ref="J42:K42"/>
    <mergeCell ref="G42:H42"/>
    <mergeCell ref="F75:G75"/>
    <mergeCell ref="F74:G74"/>
    <mergeCell ref="J68:K68"/>
    <mergeCell ref="G68:H68"/>
    <mergeCell ref="J58:K58"/>
    <mergeCell ref="G58:H58"/>
    <mergeCell ref="F92:G92"/>
    <mergeCell ref="J86:K86"/>
    <mergeCell ref="F102:G102"/>
    <mergeCell ref="F101:G101"/>
    <mergeCell ref="J216:K216"/>
    <mergeCell ref="G216:H216"/>
    <mergeCell ref="F214:G214"/>
    <mergeCell ref="F213:G213"/>
    <mergeCell ref="J209:K209"/>
    <mergeCell ref="G209:H209"/>
    <mergeCell ref="F207:G207"/>
    <mergeCell ref="F206:G206"/>
    <mergeCell ref="J129:K129"/>
    <mergeCell ref="G129:H129"/>
    <mergeCell ref="F115:G115"/>
    <mergeCell ref="F114:G114"/>
    <mergeCell ref="J108:K108"/>
    <mergeCell ref="G108:H108"/>
    <mergeCell ref="F147:G147"/>
    <mergeCell ref="F146:G146"/>
    <mergeCell ref="J140:K140"/>
    <mergeCell ref="G140:H140"/>
    <mergeCell ref="F135:G135"/>
    <mergeCell ref="F134:G134"/>
    <mergeCell ref="J169:K169"/>
    <mergeCell ref="F278:G278"/>
    <mergeCell ref="F277:G277"/>
    <mergeCell ref="F187:G187"/>
    <mergeCell ref="F186:G186"/>
    <mergeCell ref="J180:K180"/>
    <mergeCell ref="G180:H180"/>
    <mergeCell ref="F176:G176"/>
    <mergeCell ref="F175:G175"/>
    <mergeCell ref="J200:K200"/>
    <mergeCell ref="G200:H200"/>
    <mergeCell ref="F198:G198"/>
    <mergeCell ref="F197:G197"/>
    <mergeCell ref="J191:K191"/>
    <mergeCell ref="G191:H191"/>
    <mergeCell ref="F267:G267"/>
    <mergeCell ref="F266:G266"/>
    <mergeCell ref="J260:K260"/>
    <mergeCell ref="G260:H260"/>
    <mergeCell ref="A252:L252"/>
    <mergeCell ref="G248:H248"/>
    <mergeCell ref="J248:K248"/>
    <mergeCell ref="A248:F248"/>
    <mergeCell ref="J246:K246"/>
    <mergeCell ref="J352:K352"/>
    <mergeCell ref="G352:H352"/>
    <mergeCell ref="J225:K225"/>
    <mergeCell ref="G225:H225"/>
    <mergeCell ref="F222:G222"/>
    <mergeCell ref="F221:G221"/>
    <mergeCell ref="G331:H331"/>
    <mergeCell ref="J322:K322"/>
    <mergeCell ref="G322:H322"/>
    <mergeCell ref="J313:K313"/>
    <mergeCell ref="G313:H313"/>
    <mergeCell ref="A305:L305"/>
    <mergeCell ref="G246:H246"/>
    <mergeCell ref="J244:K244"/>
    <mergeCell ref="G244:H244"/>
    <mergeCell ref="J242:K242"/>
    <mergeCell ref="G242:H242"/>
    <mergeCell ref="J235:K235"/>
    <mergeCell ref="G235:H235"/>
    <mergeCell ref="J271:K271"/>
    <mergeCell ref="G271:H271"/>
    <mergeCell ref="F288:G288"/>
    <mergeCell ref="J282:K282"/>
    <mergeCell ref="G282:H282"/>
    <mergeCell ref="F289:G289"/>
    <mergeCell ref="G301:H301"/>
    <mergeCell ref="J301:K301"/>
    <mergeCell ref="A301:F301"/>
    <mergeCell ref="J299:K299"/>
    <mergeCell ref="G299:H299"/>
    <mergeCell ref="J292:K292"/>
    <mergeCell ref="G292:H292"/>
    <mergeCell ref="J346:K346"/>
    <mergeCell ref="G346:H346"/>
    <mergeCell ref="J338:K338"/>
    <mergeCell ref="G338:H338"/>
    <mergeCell ref="J331:K331"/>
    <mergeCell ref="G497:H497"/>
    <mergeCell ref="J491:K491"/>
    <mergeCell ref="G491:H491"/>
    <mergeCell ref="J485:K485"/>
    <mergeCell ref="G485:H485"/>
    <mergeCell ref="J369:K369"/>
    <mergeCell ref="G369:H369"/>
    <mergeCell ref="J358:K358"/>
    <mergeCell ref="G358:H358"/>
    <mergeCell ref="J416:K416"/>
    <mergeCell ref="G416:H416"/>
    <mergeCell ref="J439:K439"/>
    <mergeCell ref="G439:H439"/>
    <mergeCell ref="J427:K427"/>
    <mergeCell ref="G427:H427"/>
    <mergeCell ref="J406:K406"/>
    <mergeCell ref="G406:H406"/>
    <mergeCell ref="J396:K396"/>
    <mergeCell ref="G396:H396"/>
    <mergeCell ref="J388:K388"/>
    <mergeCell ref="G388:H388"/>
    <mergeCell ref="J377:K377"/>
    <mergeCell ref="G377:H377"/>
    <mergeCell ref="G552:H552"/>
    <mergeCell ref="J552:K552"/>
    <mergeCell ref="A552:F552"/>
    <mergeCell ref="J550:K550"/>
    <mergeCell ref="G550:H550"/>
    <mergeCell ref="J543:K543"/>
    <mergeCell ref="G543:H543"/>
    <mergeCell ref="J532:K532"/>
    <mergeCell ref="J449:K449"/>
    <mergeCell ref="G449:H449"/>
    <mergeCell ref="J479:K479"/>
    <mergeCell ref="G479:H479"/>
    <mergeCell ref="J473:K473"/>
    <mergeCell ref="G473:H473"/>
    <mergeCell ref="J462:K462"/>
    <mergeCell ref="G462:H462"/>
    <mergeCell ref="J497:K497"/>
    <mergeCell ref="G515:H515"/>
    <mergeCell ref="J507:K507"/>
    <mergeCell ref="G507:H507"/>
    <mergeCell ref="A501:L501"/>
    <mergeCell ref="G499:H499"/>
    <mergeCell ref="J499:K499"/>
    <mergeCell ref="A499:F499"/>
  </mergeCells>
  <pageMargins left="0.4" right="0.2" top="0.2" bottom="0.4" header="0.2" footer="0.2"/>
  <pageSetup paperSize="9" scale="59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58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7" width="0" hidden="1" customWidth="1"/>
  </cols>
  <sheetData>
    <row r="1" spans="1:31" x14ac:dyDescent="0.2">
      <c r="A1" s="10" t="str">
        <f>Source!B1</f>
        <v>Smeta.RU  (495) 974-1589</v>
      </c>
    </row>
    <row r="2" spans="1:31" ht="15" x14ac:dyDescent="0.25">
      <c r="A2" s="26"/>
      <c r="B2" s="26"/>
      <c r="C2" s="26"/>
      <c r="D2" s="26"/>
      <c r="E2" s="103" t="s">
        <v>973</v>
      </c>
      <c r="F2" s="103"/>
      <c r="G2" s="103"/>
      <c r="H2" s="103"/>
    </row>
    <row r="3" spans="1:31" ht="14.25" x14ac:dyDescent="0.2">
      <c r="A3" s="12"/>
      <c r="B3" s="12"/>
      <c r="C3" s="12"/>
      <c r="D3" s="12"/>
      <c r="E3" s="103" t="s">
        <v>974</v>
      </c>
      <c r="F3" s="103"/>
      <c r="G3" s="103"/>
      <c r="H3" s="103"/>
    </row>
    <row r="4" spans="1:31" ht="14.25" x14ac:dyDescent="0.2">
      <c r="A4" s="12"/>
      <c r="B4" s="12"/>
      <c r="C4" s="12"/>
      <c r="D4" s="12"/>
      <c r="E4" s="103" t="s">
        <v>975</v>
      </c>
      <c r="F4" s="103"/>
      <c r="G4" s="103"/>
      <c r="H4" s="103"/>
    </row>
    <row r="5" spans="1:31" ht="14.25" x14ac:dyDescent="0.2">
      <c r="A5" s="12"/>
      <c r="B5" s="12"/>
      <c r="C5" s="12"/>
      <c r="D5" s="12"/>
      <c r="E5" s="12"/>
      <c r="F5" s="12"/>
      <c r="G5" s="12"/>
      <c r="H5" s="12"/>
    </row>
    <row r="6" spans="1:31" ht="14.25" x14ac:dyDescent="0.2">
      <c r="A6" s="12"/>
      <c r="B6" s="12"/>
      <c r="C6" s="12"/>
      <c r="D6" s="12"/>
      <c r="E6" s="12"/>
      <c r="F6" s="12"/>
      <c r="G6" s="87" t="s">
        <v>976</v>
      </c>
      <c r="H6" s="88"/>
    </row>
    <row r="7" spans="1:31" ht="14.25" x14ac:dyDescent="0.2">
      <c r="A7" s="12"/>
      <c r="B7" s="12"/>
      <c r="C7" s="12"/>
      <c r="D7" s="12"/>
      <c r="E7" s="12"/>
      <c r="F7" s="11" t="s">
        <v>977</v>
      </c>
      <c r="G7" s="104" t="s">
        <v>978</v>
      </c>
      <c r="H7" s="88"/>
    </row>
    <row r="8" spans="1:31" ht="14.25" x14ac:dyDescent="0.2">
      <c r="A8" s="12"/>
      <c r="B8" s="12"/>
      <c r="C8" s="12"/>
      <c r="D8" s="12"/>
      <c r="E8" s="12"/>
      <c r="F8" s="12"/>
      <c r="G8" s="87" t="str">
        <f>IF(Source!AT15 &lt;&gt; "", Source!AT15, "")</f>
        <v/>
      </c>
      <c r="H8" s="88"/>
    </row>
    <row r="9" spans="1:31" ht="14.25" x14ac:dyDescent="0.2">
      <c r="A9" s="12" t="s">
        <v>979</v>
      </c>
      <c r="B9" s="12"/>
      <c r="C9" s="100" t="str">
        <f>IF(Source!BA15 &lt;&gt; "", Source!BA15, IF(Source!AU15 &lt;&gt; "", Source!AU15, ""))</f>
        <v/>
      </c>
      <c r="D9" s="100"/>
      <c r="E9" s="100"/>
      <c r="F9" s="11" t="s">
        <v>980</v>
      </c>
      <c r="G9" s="98"/>
      <c r="H9" s="99"/>
    </row>
    <row r="10" spans="1:31" ht="14.25" x14ac:dyDescent="0.2">
      <c r="A10" s="12"/>
      <c r="B10" s="12"/>
      <c r="C10" s="85" t="s">
        <v>981</v>
      </c>
      <c r="D10" s="85"/>
      <c r="E10" s="85"/>
      <c r="F10" s="12"/>
      <c r="G10" s="87" t="str">
        <f>IF(Source!AK15 &lt;&gt; "", Source!AK15, "")</f>
        <v/>
      </c>
      <c r="H10" s="88"/>
    </row>
    <row r="11" spans="1:31" ht="14.25" x14ac:dyDescent="0.2">
      <c r="A11" s="12" t="s">
        <v>982</v>
      </c>
      <c r="B11" s="12"/>
      <c r="C11" s="100" t="str">
        <f>IF(Source!AX12&lt;&gt; "", Source!AX12, IF(Source!AJ12 &lt;&gt; "", Source!AJ12, ""))</f>
        <v/>
      </c>
      <c r="D11" s="100"/>
      <c r="E11" s="100"/>
      <c r="F11" s="11" t="s">
        <v>980</v>
      </c>
      <c r="G11" s="98"/>
      <c r="H11" s="99"/>
    </row>
    <row r="12" spans="1:31" ht="14.25" x14ac:dyDescent="0.2">
      <c r="A12" s="12"/>
      <c r="B12" s="12"/>
      <c r="C12" s="85" t="s">
        <v>981</v>
      </c>
      <c r="D12" s="85"/>
      <c r="E12" s="85"/>
      <c r="F12" s="12"/>
      <c r="G12" s="87" t="str">
        <f>IF(Source!AO15 &lt;&gt; "", Source!AO15, "")</f>
        <v/>
      </c>
      <c r="H12" s="88"/>
    </row>
    <row r="13" spans="1:31" ht="14.25" x14ac:dyDescent="0.2">
      <c r="A13" s="12" t="s">
        <v>983</v>
      </c>
      <c r="B13" s="12"/>
      <c r="C13" s="100" t="str">
        <f>IF(Source!AY12&lt;&gt; "", Source!AY12, IF(Source!AN12 &lt;&gt; "", Source!AN12, ""))</f>
        <v/>
      </c>
      <c r="D13" s="100"/>
      <c r="E13" s="100"/>
      <c r="F13" s="11" t="s">
        <v>980</v>
      </c>
      <c r="G13" s="98"/>
      <c r="H13" s="99"/>
    </row>
    <row r="14" spans="1:31" ht="14.25" x14ac:dyDescent="0.2">
      <c r="A14" s="12"/>
      <c r="B14" s="12"/>
      <c r="C14" s="85" t="s">
        <v>981</v>
      </c>
      <c r="D14" s="85"/>
      <c r="E14" s="85"/>
      <c r="F14" s="12"/>
      <c r="G14" s="87" t="str">
        <f>IF(Source!CO15 &lt;&gt; "", Source!CO15, "")</f>
        <v/>
      </c>
      <c r="H14" s="88"/>
    </row>
    <row r="15" spans="1:31" ht="42.75" x14ac:dyDescent="0.2">
      <c r="A15" s="12" t="s">
        <v>984</v>
      </c>
      <c r="B15" s="12"/>
      <c r="C15" s="100" t="s">
        <v>5</v>
      </c>
      <c r="D15" s="100"/>
      <c r="E15" s="100"/>
      <c r="F15" s="12"/>
      <c r="G15" s="98"/>
      <c r="H15" s="99"/>
      <c r="AE15" s="28" t="s">
        <v>5</v>
      </c>
    </row>
    <row r="16" spans="1:31" ht="14.25" x14ac:dyDescent="0.2">
      <c r="A16" s="12"/>
      <c r="B16" s="12"/>
      <c r="C16" s="85" t="s">
        <v>985</v>
      </c>
      <c r="D16" s="85"/>
      <c r="E16" s="85"/>
      <c r="F16" s="12"/>
      <c r="G16" s="87" t="str">
        <f>IF(Source!CP15 &lt;&gt; "", Source!CP15, "")</f>
        <v/>
      </c>
      <c r="H16" s="88"/>
    </row>
    <row r="17" spans="1:31" ht="42.75" x14ac:dyDescent="0.2">
      <c r="A17" s="12" t="s">
        <v>986</v>
      </c>
      <c r="B17" s="12"/>
      <c r="C17" s="100" t="str">
        <f>IF(Source!G12&lt;&gt;"Новый объект", Source!G12, "")</f>
        <v>на капитальный ремонт  учебных аудиторий  4-го этажа учебно-научного корпуса "К" НИЯУ МИФИ по адресу: г. Москва, Каширское шоссе, д.31, стр.46</v>
      </c>
      <c r="D17" s="100"/>
      <c r="E17" s="100"/>
      <c r="F17" s="12"/>
      <c r="G17" s="101"/>
      <c r="H17" s="102"/>
      <c r="AE17" s="28" t="str">
        <f>IF(Source!G12&lt;&gt;"Новый объект", Source!G12, "")</f>
        <v>на капитальный ремонт  учебных аудиторий  4-го этажа учебно-научного корпуса "К" НИЯУ МИФИ по адресу: г. Москва, Каширское шоссе, д.31, стр.46</v>
      </c>
    </row>
    <row r="18" spans="1:31" ht="14.25" x14ac:dyDescent="0.2">
      <c r="A18" s="12"/>
      <c r="B18" s="12"/>
      <c r="C18" s="85" t="s">
        <v>987</v>
      </c>
      <c r="D18" s="85"/>
      <c r="E18" s="85"/>
      <c r="F18" s="12"/>
      <c r="G18" s="12"/>
      <c r="H18" s="12"/>
    </row>
    <row r="19" spans="1:31" ht="14.25" x14ac:dyDescent="0.2">
      <c r="A19" s="12"/>
      <c r="B19" s="12"/>
      <c r="C19" s="12"/>
      <c r="D19" s="73" t="s">
        <v>988</v>
      </c>
      <c r="E19" s="73"/>
      <c r="F19" s="86"/>
      <c r="G19" s="87" t="str">
        <f>IF(Source!CQ15 &lt;&gt; "", Source!CQ15, "")</f>
        <v/>
      </c>
      <c r="H19" s="88"/>
    </row>
    <row r="20" spans="1:31" ht="14.25" x14ac:dyDescent="0.2">
      <c r="A20" s="12"/>
      <c r="B20" s="12"/>
      <c r="C20" s="12"/>
      <c r="D20" s="73" t="s">
        <v>989</v>
      </c>
      <c r="E20" s="86"/>
      <c r="F20" s="51" t="s">
        <v>990</v>
      </c>
      <c r="G20" s="87" t="str">
        <f>IF(Source!CR15 &lt;&gt; "", Source!CR15, "")</f>
        <v/>
      </c>
      <c r="H20" s="88"/>
    </row>
    <row r="21" spans="1:31" ht="14.25" x14ac:dyDescent="0.2">
      <c r="A21" s="12"/>
      <c r="B21" s="12"/>
      <c r="C21" s="12"/>
      <c r="D21" s="12"/>
      <c r="E21" s="12"/>
      <c r="F21" s="21" t="s">
        <v>991</v>
      </c>
      <c r="G21" s="89" t="str">
        <f>IF(Source!CS15 &lt;&gt; 0, Source!CS15, "")</f>
        <v/>
      </c>
      <c r="H21" s="90"/>
    </row>
    <row r="22" spans="1:31" ht="14.25" x14ac:dyDescent="0.2">
      <c r="A22" s="12"/>
      <c r="B22" s="12"/>
      <c r="C22" s="12"/>
      <c r="D22" s="12"/>
      <c r="E22" s="12"/>
      <c r="F22" s="11" t="s">
        <v>992</v>
      </c>
      <c r="G22" s="91" t="str">
        <f>IF(Source!CT15 &lt;&gt; "", Source!CT15, "")</f>
        <v/>
      </c>
      <c r="H22" s="92"/>
    </row>
    <row r="23" spans="1:31" ht="14.25" x14ac:dyDescent="0.2">
      <c r="A23" s="12"/>
      <c r="B23" s="12"/>
      <c r="C23" s="12"/>
      <c r="D23" s="12"/>
      <c r="E23" s="12"/>
      <c r="F23" s="12"/>
      <c r="G23" s="12"/>
      <c r="H23" s="12"/>
    </row>
    <row r="24" spans="1:31" ht="14.25" x14ac:dyDescent="0.2">
      <c r="A24" s="12"/>
      <c r="B24" s="12"/>
      <c r="C24" s="12"/>
      <c r="D24" s="93" t="s">
        <v>993</v>
      </c>
      <c r="E24" s="95" t="s">
        <v>994</v>
      </c>
      <c r="F24" s="95" t="s">
        <v>995</v>
      </c>
      <c r="G24" s="97"/>
      <c r="H24" s="12"/>
    </row>
    <row r="25" spans="1:31" ht="14.25" x14ac:dyDescent="0.2">
      <c r="A25" s="12"/>
      <c r="B25" s="12"/>
      <c r="C25" s="12"/>
      <c r="D25" s="94"/>
      <c r="E25" s="96"/>
      <c r="F25" s="52" t="s">
        <v>996</v>
      </c>
      <c r="G25" s="53" t="s">
        <v>997</v>
      </c>
      <c r="H25" s="12"/>
    </row>
    <row r="26" spans="1:31" ht="14.25" x14ac:dyDescent="0.2">
      <c r="A26" s="12"/>
      <c r="B26" s="12"/>
      <c r="C26" s="12"/>
      <c r="D26" s="54" t="str">
        <f>IF(Source!CN15 &lt;&gt; "", Source!CN15, "")</f>
        <v/>
      </c>
      <c r="E26" s="55">
        <v>43266.503148148149</v>
      </c>
      <c r="F26" s="54"/>
      <c r="G26" s="56"/>
      <c r="H26" s="12"/>
    </row>
    <row r="27" spans="1:31" ht="14.25" x14ac:dyDescent="0.2">
      <c r="A27" s="12"/>
      <c r="B27" s="12"/>
      <c r="C27" s="12"/>
      <c r="D27" s="12"/>
      <c r="E27" s="12"/>
      <c r="F27" s="12"/>
      <c r="G27" s="12"/>
      <c r="H27" s="12"/>
    </row>
    <row r="28" spans="1:31" ht="18" x14ac:dyDescent="0.25">
      <c r="A28" s="84" t="s">
        <v>998</v>
      </c>
      <c r="B28" s="84"/>
      <c r="C28" s="84"/>
      <c r="D28" s="84"/>
      <c r="E28" s="84"/>
      <c r="F28" s="84"/>
      <c r="G28" s="84"/>
      <c r="H28" s="84"/>
    </row>
    <row r="29" spans="1:31" ht="18" x14ac:dyDescent="0.25">
      <c r="A29" s="84" t="s">
        <v>999</v>
      </c>
      <c r="B29" s="84"/>
      <c r="C29" s="84"/>
      <c r="D29" s="84"/>
      <c r="E29" s="84"/>
      <c r="F29" s="84"/>
      <c r="G29" s="84"/>
      <c r="H29" s="84"/>
    </row>
    <row r="30" spans="1:31" ht="14.25" x14ac:dyDescent="0.2">
      <c r="A30" s="12"/>
      <c r="B30" s="12"/>
      <c r="C30" s="12"/>
      <c r="D30" s="12"/>
      <c r="E30" s="12"/>
      <c r="F30" s="12"/>
      <c r="G30" s="12"/>
      <c r="H30" s="12"/>
    </row>
    <row r="31" spans="1:31" ht="15" x14ac:dyDescent="0.25">
      <c r="A31" s="9" t="s">
        <v>1000</v>
      </c>
      <c r="B31" s="12"/>
      <c r="C31" s="12"/>
      <c r="D31" s="12"/>
      <c r="E31" s="12"/>
      <c r="F31" s="82">
        <f>(Source!F305/1000)</f>
        <v>2601.8162699999998</v>
      </c>
      <c r="G31" s="82"/>
      <c r="H31" s="12" t="s">
        <v>1001</v>
      </c>
    </row>
    <row r="32" spans="1:31" ht="14.25" x14ac:dyDescent="0.2">
      <c r="A32" s="12"/>
      <c r="B32" s="12"/>
      <c r="C32" s="12"/>
      <c r="D32" s="12"/>
      <c r="E32" s="12"/>
      <c r="F32" s="12"/>
      <c r="G32" s="12"/>
      <c r="H32" s="12"/>
    </row>
    <row r="33" spans="1:28" ht="14.25" x14ac:dyDescent="0.2">
      <c r="A33" s="83" t="s">
        <v>1002</v>
      </c>
      <c r="B33" s="83"/>
      <c r="C33" s="83" t="s">
        <v>1003</v>
      </c>
      <c r="D33" s="83" t="s">
        <v>1004</v>
      </c>
      <c r="E33" s="83" t="s">
        <v>1005</v>
      </c>
      <c r="F33" s="83" t="s">
        <v>1006</v>
      </c>
      <c r="G33" s="83"/>
      <c r="H33" s="83"/>
    </row>
    <row r="34" spans="1:28" ht="57" x14ac:dyDescent="0.2">
      <c r="A34" s="20" t="s">
        <v>1007</v>
      </c>
      <c r="B34" s="20" t="s">
        <v>1008</v>
      </c>
      <c r="C34" s="83"/>
      <c r="D34" s="83"/>
      <c r="E34" s="83"/>
      <c r="F34" s="20" t="s">
        <v>1009</v>
      </c>
      <c r="G34" s="20" t="s">
        <v>1010</v>
      </c>
      <c r="H34" s="20" t="s">
        <v>1011</v>
      </c>
    </row>
    <row r="35" spans="1:28" ht="14.25" x14ac:dyDescent="0.2">
      <c r="A35" s="20">
        <v>1</v>
      </c>
      <c r="B35" s="20">
        <v>2</v>
      </c>
      <c r="C35" s="20">
        <v>3</v>
      </c>
      <c r="D35" s="20">
        <v>4</v>
      </c>
      <c r="E35" s="20">
        <v>5</v>
      </c>
      <c r="F35" s="20">
        <v>6</v>
      </c>
      <c r="G35" s="20">
        <v>7</v>
      </c>
      <c r="H35" s="20">
        <v>8</v>
      </c>
    </row>
    <row r="37" spans="1:28" ht="16.5" x14ac:dyDescent="0.25">
      <c r="A37" s="66" t="str">
        <f>CONCATENATE("Раздел: ",IF(Source!G24&lt;&gt;"Новый раздел", Source!G24, ""))</f>
        <v>Раздел: 1 Общестроительные работы</v>
      </c>
      <c r="B37" s="66"/>
      <c r="C37" s="66"/>
      <c r="D37" s="66"/>
      <c r="E37" s="66"/>
      <c r="F37" s="66"/>
      <c r="G37" s="66"/>
      <c r="H37" s="66"/>
    </row>
    <row r="38" spans="1:28" ht="14.25" x14ac:dyDescent="0.2">
      <c r="A38" s="46">
        <v>1</v>
      </c>
      <c r="B38" s="46" t="str">
        <f>Source!E28</f>
        <v>1</v>
      </c>
      <c r="C38" s="46" t="str">
        <f>Source!G28</f>
        <v>Разборка плинтусов деревянных</v>
      </c>
      <c r="D38" s="46" t="str">
        <f>Source!F28</f>
        <v>57-3-1</v>
      </c>
      <c r="E38" s="31" t="str">
        <f>Source!H28</f>
        <v>100 м</v>
      </c>
      <c r="F38" s="12">
        <f>Source!I28</f>
        <v>1.7048000000000001</v>
      </c>
      <c r="G38" s="23">
        <f>Source!AB28</f>
        <v>29.41</v>
      </c>
      <c r="H38" s="23">
        <f>Source!O28</f>
        <v>327.39999999999998</v>
      </c>
      <c r="T38">
        <f>Source!O28+Source!X28+Source!Y28</f>
        <v>811.94999999999993</v>
      </c>
      <c r="U38">
        <f>Source!P28</f>
        <v>0</v>
      </c>
      <c r="V38">
        <f>Source!S28</f>
        <v>327.39999999999998</v>
      </c>
      <c r="W38">
        <f>Source!Q28</f>
        <v>0</v>
      </c>
      <c r="X38">
        <f>Source!R28</f>
        <v>0</v>
      </c>
      <c r="Y38">
        <f>Source!U28</f>
        <v>6.4270960000000006</v>
      </c>
      <c r="Z38">
        <f>Source!V28</f>
        <v>0</v>
      </c>
      <c r="AA38">
        <f>Source!X28</f>
        <v>261.92</v>
      </c>
      <c r="AB38">
        <f>Source!Y28</f>
        <v>222.63</v>
      </c>
    </row>
    <row r="39" spans="1:28" ht="14.25" x14ac:dyDescent="0.2">
      <c r="C39" s="25" t="s">
        <v>1012</v>
      </c>
      <c r="D39" s="25">
        <f>Source!BA28</f>
        <v>6.53</v>
      </c>
      <c r="F39" s="12"/>
      <c r="G39" s="12"/>
      <c r="H39" s="12"/>
    </row>
    <row r="40" spans="1:28" x14ac:dyDescent="0.2">
      <c r="C40" s="25" t="s">
        <v>1013</v>
      </c>
      <c r="D40" s="25">
        <f>Source!BB28</f>
        <v>6.53</v>
      </c>
    </row>
    <row r="41" spans="1:28" x14ac:dyDescent="0.2">
      <c r="C41" s="25" t="s">
        <v>1014</v>
      </c>
      <c r="D41" s="25">
        <f>Source!BC28</f>
        <v>6.53</v>
      </c>
    </row>
    <row r="42" spans="1:28" x14ac:dyDescent="0.2">
      <c r="C42" s="25" t="s">
        <v>1015</v>
      </c>
      <c r="D42" s="25">
        <f>Source!BS28</f>
        <v>6.53</v>
      </c>
    </row>
    <row r="43" spans="1:28" x14ac:dyDescent="0.2">
      <c r="C43" s="9" t="s">
        <v>1016</v>
      </c>
      <c r="D43" s="33"/>
      <c r="E43" s="33"/>
      <c r="F43" s="33">
        <f>Source!BZ28</f>
        <v>80</v>
      </c>
      <c r="G43" s="57">
        <f>(Source!AF28+Source!AE28)*Source!FX28/100</f>
        <v>23.528000000000002</v>
      </c>
      <c r="H43" s="57">
        <f>Source!X28</f>
        <v>261.92</v>
      </c>
    </row>
    <row r="44" spans="1:28" x14ac:dyDescent="0.2">
      <c r="C44" s="9" t="s">
        <v>1017</v>
      </c>
      <c r="D44" s="33"/>
      <c r="E44" s="33"/>
      <c r="F44" s="33">
        <f>Source!CA28</f>
        <v>68</v>
      </c>
      <c r="G44" s="57">
        <f>(Source!AF28+Source!AE28)*Source!FY28/100</f>
        <v>19.998800000000003</v>
      </c>
      <c r="H44" s="57">
        <f>Source!Y28</f>
        <v>222.63</v>
      </c>
    </row>
    <row r="45" spans="1:28" x14ac:dyDescent="0.2">
      <c r="C45" s="9" t="s">
        <v>1018</v>
      </c>
      <c r="D45" s="33"/>
      <c r="E45" s="33"/>
      <c r="F45" s="33"/>
      <c r="G45" s="57">
        <f>((Source!AF28+Source!AE28)*Source!FX28/100)+((Source!AF28+Source!AE28)*Source!FY28/100)+Source!AB28</f>
        <v>72.936800000000005</v>
      </c>
      <c r="H45" s="57">
        <f>Source!O28+Source!X28+Source!Y28</f>
        <v>811.94999999999993</v>
      </c>
    </row>
    <row r="46" spans="1:28" ht="28.5" x14ac:dyDescent="0.2">
      <c r="A46" s="46">
        <v>2</v>
      </c>
      <c r="B46" s="46" t="str">
        <f>Source!E29</f>
        <v>2</v>
      </c>
      <c r="C46" s="46" t="str">
        <f>Source!G29</f>
        <v>Разборка покрытий полов из линолеума</v>
      </c>
      <c r="D46" s="46" t="str">
        <f>Source!F29</f>
        <v>57-2-1</v>
      </c>
      <c r="E46" s="31" t="str">
        <f>Source!H29</f>
        <v>100 м2</v>
      </c>
      <c r="F46" s="12">
        <f>Source!I29</f>
        <v>2.7930000000000001</v>
      </c>
      <c r="G46" s="23">
        <f>Source!AB29</f>
        <v>92.9</v>
      </c>
      <c r="H46" s="23">
        <f>Source!O29</f>
        <v>1694.34</v>
      </c>
      <c r="T46">
        <f>Source!O29+Source!X29+Source!Y29</f>
        <v>4139.88</v>
      </c>
      <c r="U46">
        <f>Source!P29</f>
        <v>0</v>
      </c>
      <c r="V46">
        <f>Source!S29</f>
        <v>1620.29</v>
      </c>
      <c r="W46">
        <f>Source!Q29</f>
        <v>74.05</v>
      </c>
      <c r="X46">
        <f>Source!R29</f>
        <v>32.1</v>
      </c>
      <c r="Y46">
        <f>Source!U29</f>
        <v>31.812270000000002</v>
      </c>
      <c r="Z46">
        <f>Source!V29</f>
        <v>0.36309000000000002</v>
      </c>
      <c r="AA46">
        <f>Source!X29</f>
        <v>1321.91</v>
      </c>
      <c r="AB46">
        <f>Source!Y29</f>
        <v>1123.6300000000001</v>
      </c>
    </row>
    <row r="47" spans="1:28" ht="14.25" x14ac:dyDescent="0.2">
      <c r="C47" s="25" t="s">
        <v>1012</v>
      </c>
      <c r="D47" s="25">
        <f>Source!BA29</f>
        <v>6.53</v>
      </c>
      <c r="F47" s="12"/>
      <c r="G47" s="12"/>
      <c r="H47" s="12"/>
    </row>
    <row r="48" spans="1:28" x14ac:dyDescent="0.2">
      <c r="C48" s="25" t="s">
        <v>1013</v>
      </c>
      <c r="D48" s="25">
        <f>Source!BB29</f>
        <v>6.53</v>
      </c>
    </row>
    <row r="49" spans="1:28" x14ac:dyDescent="0.2">
      <c r="C49" s="25" t="s">
        <v>1014</v>
      </c>
      <c r="D49" s="25">
        <f>Source!BC29</f>
        <v>6.53</v>
      </c>
    </row>
    <row r="50" spans="1:28" x14ac:dyDescent="0.2">
      <c r="C50" s="25" t="s">
        <v>1015</v>
      </c>
      <c r="D50" s="25">
        <f>Source!BS29</f>
        <v>6.53</v>
      </c>
    </row>
    <row r="51" spans="1:28" x14ac:dyDescent="0.2">
      <c r="C51" s="9" t="s">
        <v>1016</v>
      </c>
      <c r="D51" s="33"/>
      <c r="E51" s="33"/>
      <c r="F51" s="33">
        <f>Source!BZ29</f>
        <v>80</v>
      </c>
      <c r="G51" s="57">
        <f>(Source!AF29+Source!AE29)*Source!FX29/100</f>
        <v>72.48</v>
      </c>
      <c r="H51" s="57">
        <f>Source!X29</f>
        <v>1321.91</v>
      </c>
    </row>
    <row r="52" spans="1:28" x14ac:dyDescent="0.2">
      <c r="C52" s="9" t="s">
        <v>1017</v>
      </c>
      <c r="D52" s="33"/>
      <c r="E52" s="33"/>
      <c r="F52" s="33">
        <f>Source!CA29</f>
        <v>68</v>
      </c>
      <c r="G52" s="57">
        <f>(Source!AF29+Source!AE29)*Source!FY29/100</f>
        <v>61.608000000000004</v>
      </c>
      <c r="H52" s="57">
        <f>Source!Y29</f>
        <v>1123.6300000000001</v>
      </c>
    </row>
    <row r="53" spans="1:28" x14ac:dyDescent="0.2">
      <c r="C53" s="9" t="s">
        <v>1018</v>
      </c>
      <c r="D53" s="33"/>
      <c r="E53" s="33"/>
      <c r="F53" s="33"/>
      <c r="G53" s="57">
        <f>((Source!AF29+Source!AE29)*Source!FX29/100)+((Source!AF29+Source!AE29)*Source!FY29/100)+Source!AB29</f>
        <v>226.98800000000003</v>
      </c>
      <c r="H53" s="57">
        <f>Source!O29+Source!X29+Source!Y29</f>
        <v>4139.88</v>
      </c>
    </row>
    <row r="54" spans="1:28" ht="14.25" x14ac:dyDescent="0.2">
      <c r="A54" s="46">
        <v>3</v>
      </c>
      <c r="B54" s="46" t="str">
        <f>Source!E30</f>
        <v>3</v>
      </c>
      <c r="C54" s="46" t="str">
        <f>Source!G30</f>
        <v>Смена жалюзийных решеток</v>
      </c>
      <c r="D54" s="46" t="str">
        <f>Source!F30</f>
        <v>65-33-1</v>
      </c>
      <c r="E54" s="31" t="str">
        <f>Source!H30</f>
        <v>100 ШТ</v>
      </c>
      <c r="F54" s="12">
        <f>Source!I30</f>
        <v>0.13</v>
      </c>
      <c r="G54" s="23">
        <f>Source!AB30</f>
        <v>430.86</v>
      </c>
      <c r="H54" s="23">
        <f>Source!O30</f>
        <v>365.76</v>
      </c>
      <c r="T54">
        <f>Source!O30+Source!X30+Source!Y30</f>
        <v>911.14</v>
      </c>
      <c r="U54">
        <f>Source!P30</f>
        <v>31.03</v>
      </c>
      <c r="V54">
        <f>Source!S30</f>
        <v>334.47</v>
      </c>
      <c r="W54">
        <f>Source!Q30</f>
        <v>0.26</v>
      </c>
      <c r="X54">
        <f>Source!R30</f>
        <v>0.12</v>
      </c>
      <c r="Y54">
        <f>Source!U30</f>
        <v>6.0046999999999997</v>
      </c>
      <c r="Z54">
        <f>Source!V30</f>
        <v>1.3000000000000002E-3</v>
      </c>
      <c r="AA54">
        <f>Source!X30</f>
        <v>344.63</v>
      </c>
      <c r="AB54">
        <f>Source!Y30</f>
        <v>200.75</v>
      </c>
    </row>
    <row r="55" spans="1:28" ht="14.25" x14ac:dyDescent="0.2">
      <c r="C55" s="25" t="s">
        <v>1012</v>
      </c>
      <c r="D55" s="25">
        <f>Source!BA30</f>
        <v>6.53</v>
      </c>
      <c r="F55" s="12"/>
      <c r="G55" s="12"/>
      <c r="H55" s="12"/>
    </row>
    <row r="56" spans="1:28" x14ac:dyDescent="0.2">
      <c r="C56" s="25" t="s">
        <v>1013</v>
      </c>
      <c r="D56" s="25">
        <f>Source!BB30</f>
        <v>6.53</v>
      </c>
    </row>
    <row r="57" spans="1:28" x14ac:dyDescent="0.2">
      <c r="C57" s="25" t="s">
        <v>1014</v>
      </c>
      <c r="D57" s="25">
        <f>Source!BC30</f>
        <v>6.53</v>
      </c>
    </row>
    <row r="58" spans="1:28" x14ac:dyDescent="0.2">
      <c r="C58" s="25" t="s">
        <v>1015</v>
      </c>
      <c r="D58" s="25">
        <f>Source!BS30</f>
        <v>6.53</v>
      </c>
    </row>
    <row r="59" spans="1:28" x14ac:dyDescent="0.2">
      <c r="C59" s="9" t="s">
        <v>1016</v>
      </c>
      <c r="D59" s="33"/>
      <c r="E59" s="33"/>
      <c r="F59" s="33">
        <f>Source!BZ30</f>
        <v>103</v>
      </c>
      <c r="G59" s="57">
        <f>(Source!AF30+Source!AE30)*Source!FX30/100</f>
        <v>405.96420000000001</v>
      </c>
      <c r="H59" s="57">
        <f>Source!X30</f>
        <v>344.63</v>
      </c>
    </row>
    <row r="60" spans="1:28" x14ac:dyDescent="0.2">
      <c r="C60" s="9" t="s">
        <v>1017</v>
      </c>
      <c r="D60" s="33"/>
      <c r="E60" s="33"/>
      <c r="F60" s="33">
        <f>Source!CA30</f>
        <v>60</v>
      </c>
      <c r="G60" s="57">
        <f>(Source!AF30+Source!AE30)*Source!FY30/100</f>
        <v>236.48399999999998</v>
      </c>
      <c r="H60" s="57">
        <f>Source!Y30</f>
        <v>200.75</v>
      </c>
    </row>
    <row r="61" spans="1:28" x14ac:dyDescent="0.2">
      <c r="C61" s="9" t="s">
        <v>1018</v>
      </c>
      <c r="D61" s="33"/>
      <c r="E61" s="33"/>
      <c r="F61" s="33"/>
      <c r="G61" s="57">
        <f>((Source!AF30+Source!AE30)*Source!FX30/100)+((Source!AF30+Source!AE30)*Source!FY30/100)+Source!AB30</f>
        <v>1073.3081999999999</v>
      </c>
      <c r="H61" s="57">
        <f>Source!O30+Source!X30+Source!Y30</f>
        <v>911.14</v>
      </c>
    </row>
    <row r="62" spans="1:28" ht="42.75" x14ac:dyDescent="0.2">
      <c r="A62" s="46">
        <v>4</v>
      </c>
      <c r="B62" s="46" t="str">
        <f>Source!E31</f>
        <v>3,1</v>
      </c>
      <c r="C62" s="46" t="str">
        <f>Source!G31</f>
        <v>Решетки пластиковые вентиляционные прим.(согласно тех.заданию)</v>
      </c>
      <c r="D62" s="46" t="str">
        <f>Source!F31</f>
        <v>19.2.03.07-0028</v>
      </c>
      <c r="E62" s="31" t="str">
        <f>Source!H31</f>
        <v>шт.</v>
      </c>
      <c r="F62" s="12">
        <f>Source!I31</f>
        <v>13</v>
      </c>
      <c r="G62" s="23">
        <f>Source!AB31</f>
        <v>956.29</v>
      </c>
      <c r="H62" s="23">
        <f>Source!O31</f>
        <v>81179.460000000006</v>
      </c>
      <c r="T62">
        <f>Source!O31+Source!X31+Source!Y31</f>
        <v>81179.460000000006</v>
      </c>
      <c r="U62">
        <f>Source!P31</f>
        <v>81179.460000000006</v>
      </c>
      <c r="V62">
        <f>Source!S31</f>
        <v>0</v>
      </c>
      <c r="W62">
        <f>Source!Q31</f>
        <v>0</v>
      </c>
      <c r="X62">
        <f>Source!R31</f>
        <v>0</v>
      </c>
      <c r="Y62">
        <f>Source!U31</f>
        <v>0</v>
      </c>
      <c r="Z62">
        <f>Source!V31</f>
        <v>0</v>
      </c>
      <c r="AA62">
        <f>Source!X31</f>
        <v>0</v>
      </c>
      <c r="AB62">
        <f>Source!Y31</f>
        <v>0</v>
      </c>
    </row>
    <row r="63" spans="1:28" ht="14.25" x14ac:dyDescent="0.2">
      <c r="C63" s="25" t="s">
        <v>1014</v>
      </c>
      <c r="D63" s="25">
        <f>Source!BC31</f>
        <v>6.53</v>
      </c>
      <c r="F63" s="12"/>
      <c r="G63" s="12"/>
      <c r="H63" s="12"/>
    </row>
    <row r="64" spans="1:28" ht="28.5" x14ac:dyDescent="0.2">
      <c r="A64" s="46">
        <v>5</v>
      </c>
      <c r="B64" s="46" t="str">
        <f>Source!E32</f>
        <v>4</v>
      </c>
      <c r="C64" s="46" t="str">
        <f>Source!G32</f>
        <v>Отбивка штукатурки с поверхностей стен</v>
      </c>
      <c r="D64" s="46" t="str">
        <f>Source!F32</f>
        <v>46-02-009-02</v>
      </c>
      <c r="E64" s="31" t="str">
        <f>Source!H32</f>
        <v>100 м2</v>
      </c>
      <c r="F64" s="12">
        <f>Source!I32</f>
        <v>1.5465</v>
      </c>
      <c r="G64" s="23">
        <f>Source!AB32</f>
        <v>178</v>
      </c>
      <c r="H64" s="23">
        <f>Source!O32</f>
        <v>1797.56</v>
      </c>
      <c r="T64">
        <f>Source!O32+Source!X32+Source!Y32</f>
        <v>4655.68</v>
      </c>
      <c r="U64">
        <f>Source!P32</f>
        <v>0</v>
      </c>
      <c r="V64">
        <f>Source!S32</f>
        <v>1797.56</v>
      </c>
      <c r="W64">
        <f>Source!Q32</f>
        <v>0</v>
      </c>
      <c r="X64">
        <f>Source!R32</f>
        <v>0</v>
      </c>
      <c r="Y64">
        <f>Source!U32</f>
        <v>35.291130000000003</v>
      </c>
      <c r="Z64">
        <f>Source!V32</f>
        <v>0</v>
      </c>
      <c r="AA64">
        <f>Source!X32</f>
        <v>1779.58</v>
      </c>
      <c r="AB64">
        <f>Source!Y32</f>
        <v>1078.54</v>
      </c>
    </row>
    <row r="65" spans="1:28" ht="14.25" x14ac:dyDescent="0.2">
      <c r="C65" s="25" t="s">
        <v>1012</v>
      </c>
      <c r="D65" s="25">
        <f>Source!BA32</f>
        <v>6.53</v>
      </c>
      <c r="F65" s="12"/>
      <c r="G65" s="12"/>
      <c r="H65" s="12"/>
    </row>
    <row r="66" spans="1:28" x14ac:dyDescent="0.2">
      <c r="C66" s="25" t="s">
        <v>1013</v>
      </c>
      <c r="D66" s="25">
        <f>Source!BB32</f>
        <v>6.53</v>
      </c>
    </row>
    <row r="67" spans="1:28" x14ac:dyDescent="0.2">
      <c r="C67" s="25" t="s">
        <v>1014</v>
      </c>
      <c r="D67" s="25">
        <f>Source!BC32</f>
        <v>6.53</v>
      </c>
    </row>
    <row r="68" spans="1:28" x14ac:dyDescent="0.2">
      <c r="C68" s="25" t="s">
        <v>1015</v>
      </c>
      <c r="D68" s="25">
        <f>Source!BS32</f>
        <v>6.53</v>
      </c>
    </row>
    <row r="69" spans="1:28" x14ac:dyDescent="0.2">
      <c r="C69" s="9" t="s">
        <v>1016</v>
      </c>
      <c r="D69" s="33"/>
      <c r="E69" s="33"/>
      <c r="F69" s="33">
        <f>Source!BZ32</f>
        <v>110</v>
      </c>
      <c r="G69" s="57">
        <f>(Source!AF32+Source!AE32)*Source!FX32/100</f>
        <v>176.22</v>
      </c>
      <c r="H69" s="57">
        <f>Source!X32</f>
        <v>1779.58</v>
      </c>
    </row>
    <row r="70" spans="1:28" x14ac:dyDescent="0.2">
      <c r="C70" s="9" t="s">
        <v>1019</v>
      </c>
      <c r="D70" s="33"/>
      <c r="E70" s="33"/>
      <c r="F70" s="33"/>
      <c r="G70" s="33" t="str">
        <f>CONCATENATE(Source!DL32,Source!FT32, "=", Source!FX32, "%")</f>
        <v>*0,9=99%</v>
      </c>
      <c r="H70" s="33" t="str">
        <f>CONCATENATE(Source!AT32)</f>
        <v>99</v>
      </c>
    </row>
    <row r="71" spans="1:28" x14ac:dyDescent="0.2">
      <c r="C71" s="9" t="s">
        <v>1017</v>
      </c>
      <c r="D71" s="33"/>
      <c r="E71" s="33"/>
      <c r="F71" s="33">
        <f>Source!CA32</f>
        <v>70</v>
      </c>
      <c r="G71" s="57">
        <f>(Source!AF32+Source!AE32)*Source!FY32/100</f>
        <v>105.91</v>
      </c>
      <c r="H71" s="57">
        <f>Source!Y32</f>
        <v>1078.54</v>
      </c>
    </row>
    <row r="72" spans="1:28" x14ac:dyDescent="0.2">
      <c r="C72" s="9" t="s">
        <v>1020</v>
      </c>
      <c r="D72" s="33"/>
      <c r="E72" s="33"/>
      <c r="F72" s="33"/>
      <c r="G72" s="33" t="str">
        <f>CONCATENATE(Source!DM32,Source!FU32, "=", Source!FY32, "%")</f>
        <v>*0,85=59,5%</v>
      </c>
      <c r="H72" s="33" t="str">
        <f>CONCATENATE(Source!AU32)</f>
        <v>60</v>
      </c>
    </row>
    <row r="73" spans="1:28" x14ac:dyDescent="0.2">
      <c r="C73" s="9" t="s">
        <v>1018</v>
      </c>
      <c r="D73" s="33"/>
      <c r="E73" s="33"/>
      <c r="F73" s="33"/>
      <c r="G73" s="57">
        <f>((Source!AF32+Source!AE32)*Source!FX32/100)+((Source!AF32+Source!AE32)*Source!FY32/100)+Source!AB32</f>
        <v>460.13</v>
      </c>
      <c r="H73" s="57">
        <f>Source!O32+Source!X32+Source!Y32</f>
        <v>4655.68</v>
      </c>
    </row>
    <row r="74" spans="1:28" ht="28.5" x14ac:dyDescent="0.2">
      <c r="A74" s="46">
        <v>6</v>
      </c>
      <c r="B74" s="46" t="str">
        <f>Source!E33</f>
        <v>5</v>
      </c>
      <c r="C74" s="46" t="str">
        <f>Source!G33</f>
        <v>Заделка выбоин в полах цементных площадью до 1,0 м2</v>
      </c>
      <c r="D74" s="46" t="str">
        <f>Source!F33</f>
        <v>57-10-3</v>
      </c>
      <c r="E74" s="31" t="str">
        <f>Source!H33</f>
        <v>100 мест</v>
      </c>
      <c r="F74" s="12">
        <f>Source!I33</f>
        <v>0.43</v>
      </c>
      <c r="G74" s="23">
        <f>Source!AB33</f>
        <v>1106.8800000000001</v>
      </c>
      <c r="H74" s="23">
        <f>Source!O33</f>
        <v>3108.01</v>
      </c>
      <c r="T74">
        <f>Source!O33+Source!X33+Source!Y33</f>
        <v>7511.72</v>
      </c>
      <c r="U74">
        <f>Source!P33</f>
        <v>0.67</v>
      </c>
      <c r="V74">
        <f>Source!S33</f>
        <v>2975.48</v>
      </c>
      <c r="W74">
        <f>Source!Q33</f>
        <v>131.86000000000001</v>
      </c>
      <c r="X74">
        <f>Source!R33</f>
        <v>0</v>
      </c>
      <c r="Y74">
        <f>Source!U33</f>
        <v>53.418900000000001</v>
      </c>
      <c r="Z74">
        <f>Source!V33</f>
        <v>0</v>
      </c>
      <c r="AA74">
        <f>Source!X33</f>
        <v>2380.38</v>
      </c>
      <c r="AB74">
        <f>Source!Y33</f>
        <v>2023.33</v>
      </c>
    </row>
    <row r="75" spans="1:28" ht="14.25" x14ac:dyDescent="0.2">
      <c r="C75" s="25" t="s">
        <v>1012</v>
      </c>
      <c r="D75" s="25">
        <f>Source!BA33</f>
        <v>6.53</v>
      </c>
      <c r="F75" s="12"/>
      <c r="G75" s="12"/>
      <c r="H75" s="12"/>
    </row>
    <row r="76" spans="1:28" x14ac:dyDescent="0.2">
      <c r="C76" s="25" t="s">
        <v>1013</v>
      </c>
      <c r="D76" s="25">
        <f>Source!BB33</f>
        <v>6.53</v>
      </c>
    </row>
    <row r="77" spans="1:28" x14ac:dyDescent="0.2">
      <c r="C77" s="25" t="s">
        <v>1014</v>
      </c>
      <c r="D77" s="25">
        <f>Source!BC33</f>
        <v>6.53</v>
      </c>
    </row>
    <row r="78" spans="1:28" x14ac:dyDescent="0.2">
      <c r="C78" s="25" t="s">
        <v>1015</v>
      </c>
      <c r="D78" s="25">
        <f>Source!BS33</f>
        <v>6.53</v>
      </c>
    </row>
    <row r="79" spans="1:28" x14ac:dyDescent="0.2">
      <c r="C79" s="9" t="s">
        <v>1016</v>
      </c>
      <c r="D79" s="33"/>
      <c r="E79" s="33"/>
      <c r="F79" s="33">
        <f>Source!BZ33</f>
        <v>80</v>
      </c>
      <c r="G79" s="57">
        <f>(Source!AF33+Source!AE33)*Source!FX33/100</f>
        <v>847.74400000000014</v>
      </c>
      <c r="H79" s="57">
        <f>Source!X33</f>
        <v>2380.38</v>
      </c>
    </row>
    <row r="80" spans="1:28" x14ac:dyDescent="0.2">
      <c r="C80" s="9" t="s">
        <v>1017</v>
      </c>
      <c r="D80" s="33"/>
      <c r="E80" s="33"/>
      <c r="F80" s="33">
        <f>Source!CA33</f>
        <v>68</v>
      </c>
      <c r="G80" s="57">
        <f>(Source!AF33+Source!AE33)*Source!FY33/100</f>
        <v>720.58240000000001</v>
      </c>
      <c r="H80" s="57">
        <f>Source!Y33</f>
        <v>2023.33</v>
      </c>
    </row>
    <row r="81" spans="1:28" x14ac:dyDescent="0.2">
      <c r="C81" s="9" t="s">
        <v>1018</v>
      </c>
      <c r="D81" s="33"/>
      <c r="E81" s="33"/>
      <c r="F81" s="33"/>
      <c r="G81" s="57">
        <f>((Source!AF33+Source!AE33)*Source!FX33/100)+((Source!AF33+Source!AE33)*Source!FY33/100)+Source!AB33</f>
        <v>2675.2064</v>
      </c>
      <c r="H81" s="57">
        <f>Source!O33+Source!X33+Source!Y33</f>
        <v>7511.72</v>
      </c>
    </row>
    <row r="82" spans="1:28" ht="28.5" x14ac:dyDescent="0.2">
      <c r="A82" s="46">
        <v>7</v>
      </c>
      <c r="B82" s="46" t="str">
        <f>Source!E34</f>
        <v>5,1</v>
      </c>
      <c r="C82" s="46" t="str">
        <f>Source!G34</f>
        <v>Раствор готовый кладочный тяжелый цементный</v>
      </c>
      <c r="D82" s="46" t="str">
        <f>Source!F34</f>
        <v>04.3.01.09</v>
      </c>
      <c r="E82" s="31" t="str">
        <f>Source!H34</f>
        <v>м3</v>
      </c>
      <c r="F82" s="12">
        <f>Source!I34</f>
        <v>0.92020000000000002</v>
      </c>
      <c r="G82" s="23">
        <f>Source!AB34</f>
        <v>0</v>
      </c>
      <c r="H82" s="23">
        <f>Source!O34</f>
        <v>0</v>
      </c>
      <c r="T82">
        <f>Source!O34+Source!X34+Source!Y34</f>
        <v>0</v>
      </c>
      <c r="U82">
        <f>Source!P34</f>
        <v>0</v>
      </c>
      <c r="V82">
        <f>Source!S34</f>
        <v>0</v>
      </c>
      <c r="W82">
        <f>Source!Q34</f>
        <v>0</v>
      </c>
      <c r="X82">
        <f>Source!R34</f>
        <v>0</v>
      </c>
      <c r="Y82">
        <f>Source!U34</f>
        <v>0</v>
      </c>
      <c r="Z82">
        <f>Source!V34</f>
        <v>0</v>
      </c>
      <c r="AA82">
        <f>Source!X34</f>
        <v>0</v>
      </c>
      <c r="AB82">
        <f>Source!Y34</f>
        <v>0</v>
      </c>
    </row>
    <row r="83" spans="1:28" ht="14.25" x14ac:dyDescent="0.2">
      <c r="C83" s="25" t="s">
        <v>1014</v>
      </c>
      <c r="D83" s="25">
        <f>Source!BC34</f>
        <v>6.53</v>
      </c>
      <c r="F83" s="12"/>
      <c r="G83" s="12"/>
      <c r="H83" s="12"/>
    </row>
    <row r="84" spans="1:28" ht="28.5" x14ac:dyDescent="0.2">
      <c r="A84" s="46">
        <v>8</v>
      </c>
      <c r="B84" s="46" t="str">
        <f>Source!E35</f>
        <v>5,2</v>
      </c>
      <c r="C84" s="46" t="str">
        <f>Source!G35</f>
        <v>Раствор готовый кладочный цементный марки 150</v>
      </c>
      <c r="D84" s="46" t="str">
        <f>Source!F35</f>
        <v>04.3.01.09-0015</v>
      </c>
      <c r="E84" s="31" t="str">
        <f>Source!H35</f>
        <v>м3</v>
      </c>
      <c r="F84" s="12">
        <f>Source!I35</f>
        <v>0.92020000000000002</v>
      </c>
      <c r="G84" s="23">
        <f>Source!AB35</f>
        <v>548.29999999999995</v>
      </c>
      <c r="H84" s="23">
        <f>Source!O35</f>
        <v>3294.68</v>
      </c>
      <c r="T84">
        <f>Source!O35+Source!X35+Source!Y35</f>
        <v>3294.68</v>
      </c>
      <c r="U84">
        <f>Source!P35</f>
        <v>3294.68</v>
      </c>
      <c r="V84">
        <f>Source!S35</f>
        <v>0</v>
      </c>
      <c r="W84">
        <f>Source!Q35</f>
        <v>0</v>
      </c>
      <c r="X84">
        <f>Source!R35</f>
        <v>0</v>
      </c>
      <c r="Y84">
        <f>Source!U35</f>
        <v>0</v>
      </c>
      <c r="Z84">
        <f>Source!V35</f>
        <v>0</v>
      </c>
      <c r="AA84">
        <f>Source!X35</f>
        <v>0</v>
      </c>
      <c r="AB84">
        <f>Source!Y35</f>
        <v>0</v>
      </c>
    </row>
    <row r="85" spans="1:28" ht="14.25" x14ac:dyDescent="0.2">
      <c r="C85" s="25" t="s">
        <v>1014</v>
      </c>
      <c r="D85" s="25">
        <f>Source!BC35</f>
        <v>6.53</v>
      </c>
      <c r="F85" s="12"/>
      <c r="G85" s="12"/>
      <c r="H85" s="12"/>
    </row>
    <row r="86" spans="1:28" ht="42.75" x14ac:dyDescent="0.2">
      <c r="A86" s="46">
        <v>9</v>
      </c>
      <c r="B86" s="46" t="str">
        <f>Source!E36</f>
        <v>6</v>
      </c>
      <c r="C86" s="46" t="str">
        <f>Source!G36</f>
        <v>Устройство стяжек из выравнивающей смеси типа "Ветонит" 5000, толщиной 5 мм</v>
      </c>
      <c r="D86" s="46" t="str">
        <f>Source!F36</f>
        <v>11-01-011-08</v>
      </c>
      <c r="E86" s="31" t="str">
        <f>Source!H36</f>
        <v>100 м2</v>
      </c>
      <c r="F86" s="12">
        <f>Source!I36</f>
        <v>2.7930000000000001</v>
      </c>
      <c r="G86" s="23">
        <f>Source!AB36</f>
        <v>11078.65</v>
      </c>
      <c r="H86" s="23">
        <f>Source!O36</f>
        <v>202055.64</v>
      </c>
      <c r="T86">
        <f>Source!O36+Source!X36+Source!Y36</f>
        <v>213928.46000000002</v>
      </c>
      <c r="U86">
        <f>Source!P36</f>
        <v>195173.96</v>
      </c>
      <c r="V86">
        <f>Source!S36</f>
        <v>6739.6</v>
      </c>
      <c r="W86">
        <f>Source!Q36</f>
        <v>142.08000000000001</v>
      </c>
      <c r="X86">
        <f>Source!R36</f>
        <v>44.87</v>
      </c>
      <c r="Y86">
        <f>Source!U36</f>
        <v>120.99415649999999</v>
      </c>
      <c r="Z86">
        <f>Source!V36</f>
        <v>0.59351250000000011</v>
      </c>
      <c r="AA86">
        <f>Source!X36</f>
        <v>7530.76</v>
      </c>
      <c r="AB86">
        <f>Source!Y36</f>
        <v>4342.0600000000004</v>
      </c>
    </row>
    <row r="87" spans="1:28" ht="14.25" x14ac:dyDescent="0.2">
      <c r="C87" s="25" t="s">
        <v>1012</v>
      </c>
      <c r="D87" s="25">
        <f>Source!BA36</f>
        <v>6.53</v>
      </c>
      <c r="F87" s="12"/>
      <c r="G87" s="12"/>
      <c r="H87" s="12"/>
    </row>
    <row r="88" spans="1:28" x14ac:dyDescent="0.2">
      <c r="C88" s="25" t="s">
        <v>1013</v>
      </c>
      <c r="D88" s="25">
        <f>Source!BB36</f>
        <v>6.53</v>
      </c>
    </row>
    <row r="89" spans="1:28" x14ac:dyDescent="0.2">
      <c r="C89" s="25" t="s">
        <v>1014</v>
      </c>
      <c r="D89" s="25">
        <f>Source!BC36</f>
        <v>6.53</v>
      </c>
    </row>
    <row r="90" spans="1:28" x14ac:dyDescent="0.2">
      <c r="C90" s="25" t="s">
        <v>1015</v>
      </c>
      <c r="D90" s="25">
        <f>Source!BS36</f>
        <v>6.53</v>
      </c>
    </row>
    <row r="91" spans="1:28" x14ac:dyDescent="0.2">
      <c r="C91" s="9" t="s">
        <v>1016</v>
      </c>
      <c r="D91" s="33"/>
      <c r="E91" s="33"/>
      <c r="F91" s="33">
        <f>Source!BZ36</f>
        <v>123</v>
      </c>
      <c r="G91" s="57">
        <f>(Source!AF36+Source!AE36)*Source!FX36/100</f>
        <v>411.79292999999996</v>
      </c>
      <c r="H91" s="57">
        <f>Source!X36</f>
        <v>7530.76</v>
      </c>
    </row>
    <row r="92" spans="1:28" x14ac:dyDescent="0.2">
      <c r="C92" s="9" t="s">
        <v>1019</v>
      </c>
      <c r="D92" s="33"/>
      <c r="E92" s="33"/>
      <c r="F92" s="33"/>
      <c r="G92" s="33" t="str">
        <f>CONCATENATE(Source!DL36,Source!FT36, "=", Source!FX36, "%")</f>
        <v>*0,9=110,7%</v>
      </c>
      <c r="H92" s="33" t="str">
        <f>CONCATENATE(Source!AT36)</f>
        <v>111</v>
      </c>
    </row>
    <row r="93" spans="1:28" x14ac:dyDescent="0.2">
      <c r="C93" s="9" t="s">
        <v>1017</v>
      </c>
      <c r="D93" s="33"/>
      <c r="E93" s="33"/>
      <c r="F93" s="33">
        <f>Source!CA36</f>
        <v>75</v>
      </c>
      <c r="G93" s="57">
        <f>(Source!AF36+Source!AE36)*Source!FY36/100</f>
        <v>237.14362499999996</v>
      </c>
      <c r="H93" s="57">
        <f>Source!Y36</f>
        <v>4342.0600000000004</v>
      </c>
    </row>
    <row r="94" spans="1:28" x14ac:dyDescent="0.2">
      <c r="C94" s="9" t="s">
        <v>1020</v>
      </c>
      <c r="D94" s="33"/>
      <c r="E94" s="33"/>
      <c r="F94" s="33"/>
      <c r="G94" s="33" t="str">
        <f>CONCATENATE(Source!DM36,Source!FU36, "=", Source!FY36, "%")</f>
        <v>*0,85=63,75%</v>
      </c>
      <c r="H94" s="33" t="str">
        <f>CONCATENATE(Source!AU36)</f>
        <v>64</v>
      </c>
    </row>
    <row r="95" spans="1:28" x14ac:dyDescent="0.2">
      <c r="C95" s="9" t="s">
        <v>1018</v>
      </c>
      <c r="D95" s="33"/>
      <c r="E95" s="33"/>
      <c r="F95" s="33"/>
      <c r="G95" s="57">
        <f>((Source!AF36+Source!AE36)*Source!FX36/100)+((Source!AF36+Source!AE36)*Source!FY36/100)+Source!AB36</f>
        <v>11727.586555</v>
      </c>
      <c r="H95" s="57">
        <f>Source!O36+Source!X36+Source!Y36</f>
        <v>213928.46000000002</v>
      </c>
    </row>
    <row r="96" spans="1:28" ht="42.75" x14ac:dyDescent="0.2">
      <c r="A96" s="46">
        <v>10</v>
      </c>
      <c r="B96" s="46" t="str">
        <f>Source!E37</f>
        <v>7</v>
      </c>
      <c r="C96" s="46" t="str">
        <f>Source!G37</f>
        <v>Устройство стяжек на каждый последующий слой толщиной 1 мм добавлять к расценке 11-01-011-08</v>
      </c>
      <c r="D96" s="46" t="str">
        <f>Source!F37</f>
        <v>11-01-011-10</v>
      </c>
      <c r="E96" s="31" t="str">
        <f>Source!H37</f>
        <v>100 м2</v>
      </c>
      <c r="F96" s="12">
        <f>Source!I37</f>
        <v>2.7930000000000001</v>
      </c>
      <c r="G96" s="23">
        <f>Source!AB37</f>
        <v>10370</v>
      </c>
      <c r="H96" s="23">
        <f>Source!O37</f>
        <v>189131.06</v>
      </c>
      <c r="T96">
        <f>Source!O37+Source!X37+Source!Y37</f>
        <v>192988.86000000002</v>
      </c>
      <c r="U96">
        <f>Source!P37</f>
        <v>186828.48</v>
      </c>
      <c r="V96">
        <f>Source!S37</f>
        <v>2164.52</v>
      </c>
      <c r="W96">
        <f>Source!Q37</f>
        <v>138.06</v>
      </c>
      <c r="X96">
        <f>Source!R37</f>
        <v>39.94</v>
      </c>
      <c r="Y96">
        <f>Source!U37</f>
        <v>38.864595000000001</v>
      </c>
      <c r="Z96">
        <f>Source!V37</f>
        <v>0.52368750000000008</v>
      </c>
      <c r="AA96">
        <f>Source!X37</f>
        <v>2446.9499999999998</v>
      </c>
      <c r="AB96">
        <f>Source!Y37</f>
        <v>1410.85</v>
      </c>
    </row>
    <row r="97" spans="1:28" ht="14.25" x14ac:dyDescent="0.2">
      <c r="C97" s="25" t="s">
        <v>1012</v>
      </c>
      <c r="D97" s="25">
        <f>Source!BA37</f>
        <v>6.53</v>
      </c>
      <c r="F97" s="12"/>
      <c r="G97" s="12"/>
      <c r="H97" s="12"/>
    </row>
    <row r="98" spans="1:28" x14ac:dyDescent="0.2">
      <c r="C98" s="25" t="s">
        <v>1013</v>
      </c>
      <c r="D98" s="25">
        <f>Source!BB37</f>
        <v>6.53</v>
      </c>
    </row>
    <row r="99" spans="1:28" x14ac:dyDescent="0.2">
      <c r="C99" s="25" t="s">
        <v>1014</v>
      </c>
      <c r="D99" s="25">
        <f>Source!BC37</f>
        <v>6.53</v>
      </c>
    </row>
    <row r="100" spans="1:28" x14ac:dyDescent="0.2">
      <c r="C100" s="25" t="s">
        <v>1015</v>
      </c>
      <c r="D100" s="25">
        <f>Source!BS37</f>
        <v>6.53</v>
      </c>
    </row>
    <row r="101" spans="1:28" x14ac:dyDescent="0.2">
      <c r="C101" s="9" t="s">
        <v>1016</v>
      </c>
      <c r="D101" s="33"/>
      <c r="E101" s="33"/>
      <c r="F101" s="33">
        <f>Source!BZ37</f>
        <v>123</v>
      </c>
      <c r="G101" s="57">
        <f>(Source!AF37+Source!AE37)*Source!FX37/100</f>
        <v>133.80309</v>
      </c>
      <c r="H101" s="57">
        <f>Source!X37</f>
        <v>2446.9499999999998</v>
      </c>
    </row>
    <row r="102" spans="1:28" x14ac:dyDescent="0.2">
      <c r="C102" s="9" t="s">
        <v>1019</v>
      </c>
      <c r="D102" s="33"/>
      <c r="E102" s="33"/>
      <c r="F102" s="33"/>
      <c r="G102" s="33" t="str">
        <f>CONCATENATE(Source!DL37,Source!FT37, "=", Source!FX37, "%")</f>
        <v>*0,9=110,7%</v>
      </c>
      <c r="H102" s="33" t="str">
        <f>CONCATENATE(Source!AT37)</f>
        <v>111</v>
      </c>
    </row>
    <row r="103" spans="1:28" x14ac:dyDescent="0.2">
      <c r="C103" s="9" t="s">
        <v>1017</v>
      </c>
      <c r="D103" s="33"/>
      <c r="E103" s="33"/>
      <c r="F103" s="33">
        <f>Source!CA37</f>
        <v>75</v>
      </c>
      <c r="G103" s="57">
        <f>(Source!AF37+Source!AE37)*Source!FY37/100</f>
        <v>77.054625000000001</v>
      </c>
      <c r="H103" s="57">
        <f>Source!Y37</f>
        <v>1410.85</v>
      </c>
    </row>
    <row r="104" spans="1:28" x14ac:dyDescent="0.2">
      <c r="C104" s="9" t="s">
        <v>1020</v>
      </c>
      <c r="D104" s="33"/>
      <c r="E104" s="33"/>
      <c r="F104" s="33"/>
      <c r="G104" s="33" t="str">
        <f>CONCATENATE(Source!DM37,Source!FU37, "=", Source!FY37, "%")</f>
        <v>*0,85=63,75%</v>
      </c>
      <c r="H104" s="33" t="str">
        <f>CONCATENATE(Source!AU37)</f>
        <v>64</v>
      </c>
    </row>
    <row r="105" spans="1:28" x14ac:dyDescent="0.2">
      <c r="C105" s="9" t="s">
        <v>1018</v>
      </c>
      <c r="D105" s="33"/>
      <c r="E105" s="33"/>
      <c r="F105" s="33"/>
      <c r="G105" s="57">
        <f>((Source!AF37+Source!AE37)*Source!FX37/100)+((Source!AF37+Source!AE37)*Source!FY37/100)+Source!AB37</f>
        <v>10580.857715</v>
      </c>
      <c r="H105" s="57">
        <f>Source!O37+Source!X37+Source!Y37</f>
        <v>192988.86000000002</v>
      </c>
    </row>
    <row r="106" spans="1:28" ht="42.75" x14ac:dyDescent="0.2">
      <c r="A106" s="46">
        <v>11</v>
      </c>
      <c r="B106" s="46" t="str">
        <f>Source!E38</f>
        <v>8</v>
      </c>
      <c r="C106" s="46" t="str">
        <f>Source!G38</f>
        <v>Грунтование водно-дисперсионной грунтовкой  поверхностей пористых (камень, кирпич, бетон и т д)</v>
      </c>
      <c r="D106" s="46" t="str">
        <f>Source!F38</f>
        <v>15-07-003-02</v>
      </c>
      <c r="E106" s="31" t="str">
        <f>Source!H38</f>
        <v>100 м2</v>
      </c>
      <c r="F106" s="12">
        <f>Source!I38</f>
        <v>2.7930000000000001</v>
      </c>
      <c r="G106" s="23">
        <f>Source!AB38</f>
        <v>268.3</v>
      </c>
      <c r="H106" s="23">
        <f>Source!O38</f>
        <v>4893.34</v>
      </c>
      <c r="T106">
        <f>Source!O38+Source!X38+Source!Y38</f>
        <v>5785.5400000000009</v>
      </c>
      <c r="U106">
        <f>Source!P38</f>
        <v>3871.81</v>
      </c>
      <c r="V106">
        <f>Source!S38</f>
        <v>617.73</v>
      </c>
      <c r="W106">
        <f>Source!Q38</f>
        <v>403.8</v>
      </c>
      <c r="X106">
        <f>Source!R38</f>
        <v>10.58</v>
      </c>
      <c r="Y106">
        <f>Source!U38</f>
        <v>10.30617</v>
      </c>
      <c r="Z106">
        <f>Source!V38</f>
        <v>0.13965000000000002</v>
      </c>
      <c r="AA106">
        <f>Source!X38</f>
        <v>596.89</v>
      </c>
      <c r="AB106">
        <f>Source!Y38</f>
        <v>295.31</v>
      </c>
    </row>
    <row r="107" spans="1:28" ht="14.25" x14ac:dyDescent="0.2">
      <c r="C107" s="25" t="s">
        <v>1012</v>
      </c>
      <c r="D107" s="25">
        <f>Source!BA38</f>
        <v>6.53</v>
      </c>
      <c r="F107" s="12"/>
      <c r="G107" s="12"/>
      <c r="H107" s="12"/>
    </row>
    <row r="108" spans="1:28" x14ac:dyDescent="0.2">
      <c r="C108" s="25" t="s">
        <v>1013</v>
      </c>
      <c r="D108" s="25">
        <f>Source!BB38</f>
        <v>6.53</v>
      </c>
    </row>
    <row r="109" spans="1:28" x14ac:dyDescent="0.2">
      <c r="C109" s="25" t="s">
        <v>1014</v>
      </c>
      <c r="D109" s="25">
        <f>Source!BC38</f>
        <v>6.53</v>
      </c>
    </row>
    <row r="110" spans="1:28" x14ac:dyDescent="0.2">
      <c r="C110" s="25" t="s">
        <v>1015</v>
      </c>
      <c r="D110" s="25">
        <f>Source!BS38</f>
        <v>6.53</v>
      </c>
    </row>
    <row r="111" spans="1:28" x14ac:dyDescent="0.2">
      <c r="C111" s="9" t="s">
        <v>1016</v>
      </c>
      <c r="D111" s="33"/>
      <c r="E111" s="33"/>
      <c r="F111" s="33">
        <f>Source!BZ38</f>
        <v>105</v>
      </c>
      <c r="G111" s="57">
        <f>(Source!AF38+Source!AE38)*Source!FX38/100</f>
        <v>32.555249999999994</v>
      </c>
      <c r="H111" s="57">
        <f>Source!X38</f>
        <v>596.89</v>
      </c>
    </row>
    <row r="112" spans="1:28" x14ac:dyDescent="0.2">
      <c r="C112" s="9" t="s">
        <v>1019</v>
      </c>
      <c r="D112" s="33"/>
      <c r="E112" s="33"/>
      <c r="F112" s="33"/>
      <c r="G112" s="33" t="str">
        <f>CONCATENATE(Source!DL38,Source!FT38, "=", Source!FX38, "%")</f>
        <v>*0,9=94,5%</v>
      </c>
      <c r="H112" s="33" t="str">
        <f>CONCATENATE(Source!AT38)</f>
        <v>95</v>
      </c>
    </row>
    <row r="113" spans="1:28" x14ac:dyDescent="0.2">
      <c r="C113" s="9" t="s">
        <v>1017</v>
      </c>
      <c r="D113" s="33"/>
      <c r="E113" s="33"/>
      <c r="F113" s="33">
        <f>Source!CA38</f>
        <v>55</v>
      </c>
      <c r="G113" s="57">
        <f>(Source!AF38+Source!AE38)*Source!FY38/100</f>
        <v>16.105374999999999</v>
      </c>
      <c r="H113" s="57">
        <f>Source!Y38</f>
        <v>295.31</v>
      </c>
    </row>
    <row r="114" spans="1:28" x14ac:dyDescent="0.2">
      <c r="C114" s="9" t="s">
        <v>1020</v>
      </c>
      <c r="D114" s="33"/>
      <c r="E114" s="33"/>
      <c r="F114" s="33"/>
      <c r="G114" s="33" t="str">
        <f>CONCATENATE(Source!DM38,Source!FU38, "=", Source!FY38, "%")</f>
        <v>*0,85=46,75%</v>
      </c>
      <c r="H114" s="33" t="str">
        <f>CONCATENATE(Source!AU38)</f>
        <v>47</v>
      </c>
    </row>
    <row r="115" spans="1:28" x14ac:dyDescent="0.2">
      <c r="C115" s="9" t="s">
        <v>1018</v>
      </c>
      <c r="D115" s="33"/>
      <c r="E115" s="33"/>
      <c r="F115" s="33"/>
      <c r="G115" s="57">
        <f>((Source!AF38+Source!AE38)*Source!FX38/100)+((Source!AF38+Source!AE38)*Source!FY38/100)+Source!AB38</f>
        <v>316.96062499999999</v>
      </c>
      <c r="H115" s="57">
        <f>Source!O38+Source!X38+Source!Y38</f>
        <v>5785.5400000000009</v>
      </c>
    </row>
    <row r="116" spans="1:28" ht="28.5" x14ac:dyDescent="0.2">
      <c r="A116" s="46">
        <v>12</v>
      </c>
      <c r="B116" s="46" t="str">
        <f>Source!E39</f>
        <v>9</v>
      </c>
      <c r="C116" s="46" t="str">
        <f>Source!G39</f>
        <v>Устройство покрытий из линолеума на клее</v>
      </c>
      <c r="D116" s="46" t="str">
        <f>Source!F39</f>
        <v>11-01-036-01</v>
      </c>
      <c r="E116" s="31" t="str">
        <f>Source!H39</f>
        <v>100 м2</v>
      </c>
      <c r="F116" s="12">
        <f>Source!I39</f>
        <v>2.7930000000000001</v>
      </c>
      <c r="G116" s="23">
        <f>Source!AB39</f>
        <v>397.05</v>
      </c>
      <c r="H116" s="23">
        <f>Source!O39</f>
        <v>7241.52</v>
      </c>
      <c r="T116">
        <f>Source!O39+Source!X39+Source!Y39</f>
        <v>18823.239999999998</v>
      </c>
      <c r="U116">
        <f>Source!P39</f>
        <v>16.600000000000001</v>
      </c>
      <c r="V116">
        <f>Source!S39</f>
        <v>6426.08</v>
      </c>
      <c r="W116">
        <f>Source!Q39</f>
        <v>798.84</v>
      </c>
      <c r="X116">
        <f>Source!R39</f>
        <v>192.05</v>
      </c>
      <c r="Y116">
        <f>Source!U39</f>
        <v>118.42320000000001</v>
      </c>
      <c r="Z116">
        <f>Source!V39</f>
        <v>2.37405</v>
      </c>
      <c r="AA116">
        <f>Source!X39</f>
        <v>7346.12</v>
      </c>
      <c r="AB116">
        <f>Source!Y39</f>
        <v>4235.6000000000004</v>
      </c>
    </row>
    <row r="117" spans="1:28" ht="14.25" x14ac:dyDescent="0.2">
      <c r="C117" s="25" t="s">
        <v>1012</v>
      </c>
      <c r="D117" s="25">
        <f>Source!BA39</f>
        <v>6.53</v>
      </c>
      <c r="F117" s="12"/>
      <c r="G117" s="12"/>
      <c r="H117" s="12"/>
    </row>
    <row r="118" spans="1:28" x14ac:dyDescent="0.2">
      <c r="C118" s="25" t="s">
        <v>1013</v>
      </c>
      <c r="D118" s="25">
        <f>Source!BB39</f>
        <v>6.53</v>
      </c>
    </row>
    <row r="119" spans="1:28" x14ac:dyDescent="0.2">
      <c r="C119" s="25" t="s">
        <v>1014</v>
      </c>
      <c r="D119" s="25">
        <f>Source!BC39</f>
        <v>6.53</v>
      </c>
    </row>
    <row r="120" spans="1:28" x14ac:dyDescent="0.2">
      <c r="C120" s="25" t="s">
        <v>1015</v>
      </c>
      <c r="D120" s="25">
        <f>Source!BS39</f>
        <v>6.53</v>
      </c>
    </row>
    <row r="121" spans="1:28" x14ac:dyDescent="0.2">
      <c r="C121" s="9" t="s">
        <v>1016</v>
      </c>
      <c r="D121" s="33"/>
      <c r="E121" s="33"/>
      <c r="F121" s="33">
        <f>Source!BZ39</f>
        <v>123</v>
      </c>
      <c r="G121" s="57">
        <f>(Source!AF39+Source!AE39)*Source!FX39/100</f>
        <v>401.69708999999995</v>
      </c>
      <c r="H121" s="57">
        <f>Source!X39</f>
        <v>7346.12</v>
      </c>
    </row>
    <row r="122" spans="1:28" x14ac:dyDescent="0.2">
      <c r="C122" s="9" t="s">
        <v>1019</v>
      </c>
      <c r="D122" s="33"/>
      <c r="E122" s="33"/>
      <c r="F122" s="33"/>
      <c r="G122" s="33" t="str">
        <f>CONCATENATE(Source!DL39,Source!FT39, "=", Source!FX39, "%")</f>
        <v>*0,9=110,7%</v>
      </c>
      <c r="H122" s="33" t="str">
        <f>CONCATENATE(Source!AT39)</f>
        <v>111</v>
      </c>
    </row>
    <row r="123" spans="1:28" x14ac:dyDescent="0.2">
      <c r="C123" s="9" t="s">
        <v>1017</v>
      </c>
      <c r="D123" s="33"/>
      <c r="E123" s="33"/>
      <c r="F123" s="33">
        <f>Source!CA39</f>
        <v>75</v>
      </c>
      <c r="G123" s="57">
        <f>(Source!AF39+Source!AE39)*Source!FY39/100</f>
        <v>231.32962499999996</v>
      </c>
      <c r="H123" s="57">
        <f>Source!Y39</f>
        <v>4235.6000000000004</v>
      </c>
    </row>
    <row r="124" spans="1:28" x14ac:dyDescent="0.2">
      <c r="C124" s="9" t="s">
        <v>1020</v>
      </c>
      <c r="D124" s="33"/>
      <c r="E124" s="33"/>
      <c r="F124" s="33"/>
      <c r="G124" s="33" t="str">
        <f>CONCATENATE(Source!DM39,Source!FU39, "=", Source!FY39, "%")</f>
        <v>*0,85=63,75%</v>
      </c>
      <c r="H124" s="33" t="str">
        <f>CONCATENATE(Source!AU39)</f>
        <v>64</v>
      </c>
    </row>
    <row r="125" spans="1:28" x14ac:dyDescent="0.2">
      <c r="C125" s="9" t="s">
        <v>1018</v>
      </c>
      <c r="D125" s="33"/>
      <c r="E125" s="33"/>
      <c r="F125" s="33"/>
      <c r="G125" s="57">
        <f>((Source!AF39+Source!AE39)*Source!FX39/100)+((Source!AF39+Source!AE39)*Source!FY39/100)+Source!AB39</f>
        <v>1030.0767149999999</v>
      </c>
      <c r="H125" s="57">
        <f>Source!O39+Source!X39+Source!Y39</f>
        <v>18823.239999999998</v>
      </c>
    </row>
    <row r="126" spans="1:28" ht="28.5" x14ac:dyDescent="0.2">
      <c r="A126" s="46">
        <v>13</v>
      </c>
      <c r="B126" s="46" t="str">
        <f>Source!E40</f>
        <v>9,1</v>
      </c>
      <c r="C126" s="46" t="str">
        <f>Source!G40</f>
        <v>Линолеум на теплозвукоизолирующей подоснове</v>
      </c>
      <c r="D126" s="46" t="str">
        <f>Source!F40</f>
        <v>01.6.03.04</v>
      </c>
      <c r="E126" s="31" t="str">
        <f>Source!H40</f>
        <v>м2</v>
      </c>
      <c r="F126" s="12">
        <f>Source!I40</f>
        <v>284.88600000000002</v>
      </c>
      <c r="G126" s="23">
        <f>Source!AB40</f>
        <v>0</v>
      </c>
      <c r="H126" s="23">
        <f>Source!O40</f>
        <v>0</v>
      </c>
      <c r="T126">
        <f>Source!O40+Source!X40+Source!Y40</f>
        <v>0</v>
      </c>
      <c r="U126">
        <f>Source!P40</f>
        <v>0</v>
      </c>
      <c r="V126">
        <f>Source!S40</f>
        <v>0</v>
      </c>
      <c r="W126">
        <f>Source!Q40</f>
        <v>0</v>
      </c>
      <c r="X126">
        <f>Source!R40</f>
        <v>0</v>
      </c>
      <c r="Y126">
        <f>Source!U40</f>
        <v>0</v>
      </c>
      <c r="Z126">
        <f>Source!V40</f>
        <v>0</v>
      </c>
      <c r="AA126">
        <f>Source!X40</f>
        <v>0</v>
      </c>
      <c r="AB126">
        <f>Source!Y40</f>
        <v>0</v>
      </c>
    </row>
    <row r="127" spans="1:28" ht="14.25" x14ac:dyDescent="0.2">
      <c r="C127" s="25" t="s">
        <v>1014</v>
      </c>
      <c r="D127" s="25">
        <f>Source!BC40</f>
        <v>6.53</v>
      </c>
      <c r="F127" s="12"/>
      <c r="G127" s="12"/>
      <c r="H127" s="12"/>
    </row>
    <row r="128" spans="1:28" ht="71.25" x14ac:dyDescent="0.2">
      <c r="A128" s="46">
        <v>14</v>
      </c>
      <c r="B128" s="46" t="str">
        <f>Source!E41</f>
        <v>9,2</v>
      </c>
      <c r="C128" s="46" t="str">
        <f>Source!G41</f>
        <v>Линолеум коммерческий гетерогенный "ТАРКЕТТ TRAVERTINE" (толщина 2 мм, толщина защитного слоя 0,5 мм, класс 33/41, пож. безопасность Г1, В2, РП1, Д2, Т2)</v>
      </c>
      <c r="D128" s="46" t="str">
        <f>Source!F41</f>
        <v>01.6.03.04-0101</v>
      </c>
      <c r="E128" s="31" t="str">
        <f>Source!H41</f>
        <v>м2</v>
      </c>
      <c r="F128" s="12">
        <f>Source!I41</f>
        <v>284.88600000000002</v>
      </c>
      <c r="G128" s="23">
        <f>Source!AB41</f>
        <v>77.5</v>
      </c>
      <c r="H128" s="23">
        <f>Source!O41</f>
        <v>144173.68</v>
      </c>
      <c r="T128">
        <f>Source!O41+Source!X41+Source!Y41</f>
        <v>144173.68</v>
      </c>
      <c r="U128">
        <f>Source!P41</f>
        <v>144173.68</v>
      </c>
      <c r="V128">
        <f>Source!S41</f>
        <v>0</v>
      </c>
      <c r="W128">
        <f>Source!Q41</f>
        <v>0</v>
      </c>
      <c r="X128">
        <f>Source!R41</f>
        <v>0</v>
      </c>
      <c r="Y128">
        <f>Source!U41</f>
        <v>0</v>
      </c>
      <c r="Z128">
        <f>Source!V41</f>
        <v>0</v>
      </c>
      <c r="AA128">
        <f>Source!X41</f>
        <v>0</v>
      </c>
      <c r="AB128">
        <f>Source!Y41</f>
        <v>0</v>
      </c>
    </row>
    <row r="129" spans="1:28" ht="14.25" x14ac:dyDescent="0.2">
      <c r="C129" s="25" t="s">
        <v>1014</v>
      </c>
      <c r="D129" s="25">
        <f>Source!BC41</f>
        <v>6.53</v>
      </c>
      <c r="F129" s="12"/>
      <c r="G129" s="12"/>
      <c r="H129" s="12"/>
    </row>
    <row r="130" spans="1:28" ht="14.25" x14ac:dyDescent="0.2">
      <c r="A130" s="46">
        <v>15</v>
      </c>
      <c r="B130" s="46" t="str">
        <f>Source!E42</f>
        <v>9,3</v>
      </c>
      <c r="C130" s="46" t="str">
        <f>Source!G42</f>
        <v>Состав клеящий</v>
      </c>
      <c r="D130" s="46" t="str">
        <f>Source!F42</f>
        <v>14.1.06.05</v>
      </c>
      <c r="E130" s="31" t="str">
        <f>Source!H42</f>
        <v>кг</v>
      </c>
      <c r="F130" s="12">
        <f>Source!I42</f>
        <v>139.65</v>
      </c>
      <c r="G130" s="23">
        <f>Source!AB42</f>
        <v>0</v>
      </c>
      <c r="H130" s="23">
        <f>Source!O42</f>
        <v>0</v>
      </c>
      <c r="T130">
        <f>Source!O42+Source!X42+Source!Y42</f>
        <v>0</v>
      </c>
      <c r="U130">
        <f>Source!P42</f>
        <v>0</v>
      </c>
      <c r="V130">
        <f>Source!S42</f>
        <v>0</v>
      </c>
      <c r="W130">
        <f>Source!Q42</f>
        <v>0</v>
      </c>
      <c r="X130">
        <f>Source!R42</f>
        <v>0</v>
      </c>
      <c r="Y130">
        <f>Source!U42</f>
        <v>0</v>
      </c>
      <c r="Z130">
        <f>Source!V42</f>
        <v>0</v>
      </c>
      <c r="AA130">
        <f>Source!X42</f>
        <v>0</v>
      </c>
      <c r="AB130">
        <f>Source!Y42</f>
        <v>0</v>
      </c>
    </row>
    <row r="131" spans="1:28" ht="14.25" x14ac:dyDescent="0.2">
      <c r="C131" s="25" t="s">
        <v>1014</v>
      </c>
      <c r="D131" s="25">
        <f>Source!BC42</f>
        <v>6.53</v>
      </c>
      <c r="F131" s="12"/>
      <c r="G131" s="12"/>
      <c r="H131" s="12"/>
    </row>
    <row r="132" spans="1:28" ht="28.5" x14ac:dyDescent="0.2">
      <c r="A132" s="46">
        <v>16</v>
      </c>
      <c r="B132" s="46" t="str">
        <f>Source!E43</f>
        <v>9,4</v>
      </c>
      <c r="C132" s="46" t="str">
        <f>Source!G43</f>
        <v>Клей ПВА</v>
      </c>
      <c r="D132" s="46" t="str">
        <f>Source!F43</f>
        <v>14.1.02.03-0002</v>
      </c>
      <c r="E132" s="31" t="str">
        <f>Source!H43</f>
        <v>кг</v>
      </c>
      <c r="F132" s="12">
        <f>Source!I43</f>
        <v>139.65</v>
      </c>
      <c r="G132" s="23">
        <f>Source!AB43</f>
        <v>15.9</v>
      </c>
      <c r="H132" s="23">
        <f>Source!O43</f>
        <v>14499.44</v>
      </c>
      <c r="T132">
        <f>Source!O43+Source!X43+Source!Y43</f>
        <v>14499.44</v>
      </c>
      <c r="U132">
        <f>Source!P43</f>
        <v>14499.44</v>
      </c>
      <c r="V132">
        <f>Source!S43</f>
        <v>0</v>
      </c>
      <c r="W132">
        <f>Source!Q43</f>
        <v>0</v>
      </c>
      <c r="X132">
        <f>Source!R43</f>
        <v>0</v>
      </c>
      <c r="Y132">
        <f>Source!U43</f>
        <v>0</v>
      </c>
      <c r="Z132">
        <f>Source!V43</f>
        <v>0</v>
      </c>
      <c r="AA132">
        <f>Source!X43</f>
        <v>0</v>
      </c>
      <c r="AB132">
        <f>Source!Y43</f>
        <v>0</v>
      </c>
    </row>
    <row r="133" spans="1:28" ht="14.25" x14ac:dyDescent="0.2">
      <c r="C133" s="25" t="s">
        <v>1014</v>
      </c>
      <c r="D133" s="25">
        <f>Source!BC43</f>
        <v>6.53</v>
      </c>
      <c r="F133" s="12"/>
      <c r="G133" s="12"/>
      <c r="H133" s="12"/>
    </row>
    <row r="134" spans="1:28" ht="42.75" x14ac:dyDescent="0.2">
      <c r="A134" s="46">
        <v>17</v>
      </c>
      <c r="B134" s="46" t="str">
        <f>Source!E44</f>
        <v>10</v>
      </c>
      <c r="C134" s="46" t="str">
        <f>Source!G44</f>
        <v>Устройство плинтусов поливинилхлоридных на винтах самонарезающих</v>
      </c>
      <c r="D134" s="46" t="str">
        <f>Source!F44</f>
        <v>11-01-040-03</v>
      </c>
      <c r="E134" s="31" t="str">
        <f>Source!H44</f>
        <v>100 м</v>
      </c>
      <c r="F134" s="12">
        <f>Source!I44</f>
        <v>1.7048000000000001</v>
      </c>
      <c r="G134" s="23">
        <f>Source!AB44</f>
        <v>137.09</v>
      </c>
      <c r="H134" s="23">
        <f>Source!O44</f>
        <v>1526.14</v>
      </c>
      <c r="T134">
        <f>Source!O44+Source!X44+Source!Y44</f>
        <v>2728.9500000000003</v>
      </c>
      <c r="U134">
        <f>Source!P44</f>
        <v>819.79</v>
      </c>
      <c r="V134">
        <f>Source!S44</f>
        <v>682.64</v>
      </c>
      <c r="W134">
        <f>Source!Q44</f>
        <v>23.71</v>
      </c>
      <c r="X134">
        <f>Source!R44</f>
        <v>4.68</v>
      </c>
      <c r="Y134">
        <f>Source!U44</f>
        <v>11.388064</v>
      </c>
      <c r="Z134">
        <f>Source!V44</f>
        <v>6.8192000000000003E-2</v>
      </c>
      <c r="AA134">
        <f>Source!X44</f>
        <v>762.93</v>
      </c>
      <c r="AB134">
        <f>Source!Y44</f>
        <v>439.88</v>
      </c>
    </row>
    <row r="135" spans="1:28" ht="14.25" x14ac:dyDescent="0.2">
      <c r="C135" s="25" t="s">
        <v>1012</v>
      </c>
      <c r="D135" s="25">
        <f>Source!BA44</f>
        <v>6.53</v>
      </c>
      <c r="F135" s="12"/>
      <c r="G135" s="12"/>
      <c r="H135" s="12"/>
    </row>
    <row r="136" spans="1:28" x14ac:dyDescent="0.2">
      <c r="C136" s="25" t="s">
        <v>1013</v>
      </c>
      <c r="D136" s="25">
        <f>Source!BB44</f>
        <v>6.53</v>
      </c>
    </row>
    <row r="137" spans="1:28" x14ac:dyDescent="0.2">
      <c r="C137" s="25" t="s">
        <v>1014</v>
      </c>
      <c r="D137" s="25">
        <f>Source!BC44</f>
        <v>6.53</v>
      </c>
    </row>
    <row r="138" spans="1:28" x14ac:dyDescent="0.2">
      <c r="C138" s="25" t="s">
        <v>1015</v>
      </c>
      <c r="D138" s="25">
        <f>Source!BS44</f>
        <v>6.53</v>
      </c>
    </row>
    <row r="139" spans="1:28" x14ac:dyDescent="0.2">
      <c r="C139" s="9" t="s">
        <v>1016</v>
      </c>
      <c r="D139" s="33"/>
      <c r="E139" s="33"/>
      <c r="F139" s="33">
        <f>Source!BZ44</f>
        <v>123</v>
      </c>
      <c r="G139" s="57">
        <f>(Source!AF44+Source!AE44)*Source!FX44/100</f>
        <v>68.346180000000004</v>
      </c>
      <c r="H139" s="57">
        <f>Source!X44</f>
        <v>762.93</v>
      </c>
    </row>
    <row r="140" spans="1:28" x14ac:dyDescent="0.2">
      <c r="C140" s="9" t="s">
        <v>1019</v>
      </c>
      <c r="D140" s="33"/>
      <c r="E140" s="33"/>
      <c r="F140" s="33"/>
      <c r="G140" s="33" t="str">
        <f>CONCATENATE(Source!DL44,Source!FT44, "=", Source!FX44, "%")</f>
        <v>*0,9=110,7%</v>
      </c>
      <c r="H140" s="33" t="str">
        <f>CONCATENATE(Source!AT44)</f>
        <v>111</v>
      </c>
    </row>
    <row r="141" spans="1:28" x14ac:dyDescent="0.2">
      <c r="C141" s="9" t="s">
        <v>1017</v>
      </c>
      <c r="D141" s="33"/>
      <c r="E141" s="33"/>
      <c r="F141" s="33">
        <f>Source!CA44</f>
        <v>75</v>
      </c>
      <c r="G141" s="57">
        <f>(Source!AF44+Source!AE44)*Source!FY44/100</f>
        <v>39.359250000000003</v>
      </c>
      <c r="H141" s="57">
        <f>Source!Y44</f>
        <v>439.88</v>
      </c>
    </row>
    <row r="142" spans="1:28" x14ac:dyDescent="0.2">
      <c r="C142" s="9" t="s">
        <v>1020</v>
      </c>
      <c r="D142" s="33"/>
      <c r="E142" s="33"/>
      <c r="F142" s="33"/>
      <c r="G142" s="33" t="str">
        <f>CONCATENATE(Source!DM44,Source!FU44, "=", Source!FY44, "%")</f>
        <v>*0,85=63,75%</v>
      </c>
      <c r="H142" s="33" t="str">
        <f>CONCATENATE(Source!AU44)</f>
        <v>64</v>
      </c>
    </row>
    <row r="143" spans="1:28" x14ac:dyDescent="0.2">
      <c r="C143" s="9" t="s">
        <v>1018</v>
      </c>
      <c r="D143" s="33"/>
      <c r="E143" s="33"/>
      <c r="F143" s="33"/>
      <c r="G143" s="57">
        <f>((Source!AF44+Source!AE44)*Source!FX44/100)+((Source!AF44+Source!AE44)*Source!FY44/100)+Source!AB44</f>
        <v>244.79543000000001</v>
      </c>
      <c r="H143" s="57">
        <f>Source!O44+Source!X44+Source!Y44</f>
        <v>2728.9500000000003</v>
      </c>
    </row>
    <row r="144" spans="1:28" ht="14.25" x14ac:dyDescent="0.2">
      <c r="A144" s="46">
        <v>18</v>
      </c>
      <c r="B144" s="46" t="str">
        <f>Source!E45</f>
        <v>10,1</v>
      </c>
      <c r="C144" s="46" t="str">
        <f>Source!G45</f>
        <v>Плинтуса для полов пластиковые</v>
      </c>
      <c r="D144" s="46" t="str">
        <f>Source!F45</f>
        <v>11.3.03.06</v>
      </c>
      <c r="E144" s="31" t="str">
        <f>Source!H45</f>
        <v>м</v>
      </c>
      <c r="F144" s="12">
        <f>Source!I45</f>
        <v>172.1848</v>
      </c>
      <c r="G144" s="23">
        <f>Source!AB45</f>
        <v>0</v>
      </c>
      <c r="H144" s="23">
        <f>Source!O45</f>
        <v>0</v>
      </c>
      <c r="T144">
        <f>Source!O45+Source!X45+Source!Y45</f>
        <v>0</v>
      </c>
      <c r="U144">
        <f>Source!P45</f>
        <v>0</v>
      </c>
      <c r="V144">
        <f>Source!S45</f>
        <v>0</v>
      </c>
      <c r="W144">
        <f>Source!Q45</f>
        <v>0</v>
      </c>
      <c r="X144">
        <f>Source!R45</f>
        <v>0</v>
      </c>
      <c r="Y144">
        <f>Source!U45</f>
        <v>0</v>
      </c>
      <c r="Z144">
        <f>Source!V45</f>
        <v>0</v>
      </c>
      <c r="AA144">
        <f>Source!X45</f>
        <v>0</v>
      </c>
      <c r="AB144">
        <f>Source!Y45</f>
        <v>0</v>
      </c>
    </row>
    <row r="145" spans="1:28" ht="14.25" x14ac:dyDescent="0.2">
      <c r="C145" s="25" t="s">
        <v>1014</v>
      </c>
      <c r="D145" s="25">
        <f>Source!BC45</f>
        <v>6.53</v>
      </c>
      <c r="F145" s="12"/>
      <c r="G145" s="12"/>
      <c r="H145" s="12"/>
    </row>
    <row r="146" spans="1:28" ht="42.75" x14ac:dyDescent="0.2">
      <c r="A146" s="46">
        <v>19</v>
      </c>
      <c r="B146" s="46" t="str">
        <f>Source!E46</f>
        <v>10,2</v>
      </c>
      <c r="C146" s="46" t="str">
        <f>Source!G46</f>
        <v>Плинтуса для полов пластиковые KronPlast Premium  с кабель-каналом, 19х48 мм прим.</v>
      </c>
      <c r="D146" s="46" t="str">
        <f>Source!F46</f>
        <v>11.3.03.06-0001</v>
      </c>
      <c r="E146" s="31" t="str">
        <f>Source!H46</f>
        <v>м</v>
      </c>
      <c r="F146" s="12">
        <f>Source!I46</f>
        <v>172.1848</v>
      </c>
      <c r="G146" s="23">
        <f>Source!AB46</f>
        <v>12.3</v>
      </c>
      <c r="H146" s="23">
        <f>Source!O46</f>
        <v>13829.71</v>
      </c>
      <c r="T146">
        <f>Source!O46+Source!X46+Source!Y46</f>
        <v>13829.71</v>
      </c>
      <c r="U146">
        <f>Source!P46</f>
        <v>13829.71</v>
      </c>
      <c r="V146">
        <f>Source!S46</f>
        <v>0</v>
      </c>
      <c r="W146">
        <f>Source!Q46</f>
        <v>0</v>
      </c>
      <c r="X146">
        <f>Source!R46</f>
        <v>0</v>
      </c>
      <c r="Y146">
        <f>Source!U46</f>
        <v>0</v>
      </c>
      <c r="Z146">
        <f>Source!V46</f>
        <v>0</v>
      </c>
      <c r="AA146">
        <f>Source!X46</f>
        <v>0</v>
      </c>
      <c r="AB146">
        <f>Source!Y46</f>
        <v>0</v>
      </c>
    </row>
    <row r="147" spans="1:28" ht="14.25" x14ac:dyDescent="0.2">
      <c r="C147" s="25" t="s">
        <v>1014</v>
      </c>
      <c r="D147" s="25">
        <f>Source!BC46</f>
        <v>6.53</v>
      </c>
      <c r="F147" s="12"/>
      <c r="G147" s="12"/>
      <c r="H147" s="12"/>
    </row>
    <row r="148" spans="1:28" ht="28.5" x14ac:dyDescent="0.2">
      <c r="A148" s="46">
        <v>20</v>
      </c>
      <c r="B148" s="46" t="str">
        <f>Source!E47</f>
        <v>10,3</v>
      </c>
      <c r="C148" s="46" t="str">
        <f>Source!G47</f>
        <v>Уголок наружный для пластикового плинтуса</v>
      </c>
      <c r="D148" s="46" t="str">
        <f>Source!F47</f>
        <v>11.3.03.14</v>
      </c>
      <c r="E148" s="31" t="str">
        <f>Source!H47</f>
        <v>шт.</v>
      </c>
      <c r="F148" s="12">
        <f>Source!I47</f>
        <v>12</v>
      </c>
      <c r="G148" s="23">
        <f>Source!AB47</f>
        <v>0</v>
      </c>
      <c r="H148" s="23">
        <f>Source!O47</f>
        <v>0</v>
      </c>
      <c r="T148">
        <f>Source!O47+Source!X47+Source!Y47</f>
        <v>0</v>
      </c>
      <c r="U148">
        <f>Source!P47</f>
        <v>0</v>
      </c>
      <c r="V148">
        <f>Source!S47</f>
        <v>0</v>
      </c>
      <c r="W148">
        <f>Source!Q47</f>
        <v>0</v>
      </c>
      <c r="X148">
        <f>Source!R47</f>
        <v>0</v>
      </c>
      <c r="Y148">
        <f>Source!U47</f>
        <v>0</v>
      </c>
      <c r="Z148">
        <f>Source!V47</f>
        <v>0</v>
      </c>
      <c r="AA148">
        <f>Source!X47</f>
        <v>0</v>
      </c>
      <c r="AB148">
        <f>Source!Y47</f>
        <v>0</v>
      </c>
    </row>
    <row r="149" spans="1:28" ht="14.25" x14ac:dyDescent="0.2">
      <c r="C149" s="25" t="s">
        <v>1014</v>
      </c>
      <c r="D149" s="25">
        <f>Source!BC47</f>
        <v>6.53</v>
      </c>
      <c r="F149" s="12"/>
      <c r="G149" s="12"/>
      <c r="H149" s="12"/>
    </row>
    <row r="150" spans="1:28" ht="28.5" x14ac:dyDescent="0.2">
      <c r="A150" s="46">
        <v>21</v>
      </c>
      <c r="B150" s="46" t="str">
        <f>Source!E48</f>
        <v>10,4</v>
      </c>
      <c r="C150" s="46" t="str">
        <f>Source!G48</f>
        <v>Заглушки торцевая для пластикового плинтуса правая, высота 48 мм</v>
      </c>
      <c r="D150" s="46" t="str">
        <f>Source!F48</f>
        <v>11.3.03.14-0011</v>
      </c>
      <c r="E150" s="31" t="str">
        <f>Source!H48</f>
        <v>100 шт.</v>
      </c>
      <c r="F150" s="12">
        <f>Source!I48</f>
        <v>0.14000000000000001</v>
      </c>
      <c r="G150" s="23">
        <f>Source!AB48</f>
        <v>63</v>
      </c>
      <c r="H150" s="23">
        <f>Source!O48</f>
        <v>57.59</v>
      </c>
      <c r="T150">
        <f>Source!O48+Source!X48+Source!Y48</f>
        <v>57.59</v>
      </c>
      <c r="U150">
        <f>Source!P48</f>
        <v>57.59</v>
      </c>
      <c r="V150">
        <f>Source!S48</f>
        <v>0</v>
      </c>
      <c r="W150">
        <f>Source!Q48</f>
        <v>0</v>
      </c>
      <c r="X150">
        <f>Source!R48</f>
        <v>0</v>
      </c>
      <c r="Y150">
        <f>Source!U48</f>
        <v>0</v>
      </c>
      <c r="Z150">
        <f>Source!V48</f>
        <v>0</v>
      </c>
      <c r="AA150">
        <f>Source!X48</f>
        <v>0</v>
      </c>
      <c r="AB150">
        <f>Source!Y48</f>
        <v>0</v>
      </c>
    </row>
    <row r="151" spans="1:28" ht="14.25" x14ac:dyDescent="0.2">
      <c r="C151" s="25" t="s">
        <v>1014</v>
      </c>
      <c r="D151" s="25">
        <f>Source!BC48</f>
        <v>6.53</v>
      </c>
      <c r="F151" s="12"/>
      <c r="G151" s="12"/>
      <c r="H151" s="12"/>
    </row>
    <row r="152" spans="1:28" ht="28.5" x14ac:dyDescent="0.2">
      <c r="A152" s="46">
        <v>22</v>
      </c>
      <c r="B152" s="46" t="str">
        <f>Source!E49</f>
        <v>10,5</v>
      </c>
      <c r="C152" s="46" t="str">
        <f>Source!G49</f>
        <v>Заглушка торцевая для пластикового плинтуса левая, высота 48 мм</v>
      </c>
      <c r="D152" s="46" t="str">
        <f>Source!F49</f>
        <v>11.3.03.14-0001</v>
      </c>
      <c r="E152" s="31" t="str">
        <f>Source!H49</f>
        <v>100 шт.</v>
      </c>
      <c r="F152" s="12">
        <f>Source!I49</f>
        <v>0.14000000000000001</v>
      </c>
      <c r="G152" s="23">
        <f>Source!AB49</f>
        <v>63</v>
      </c>
      <c r="H152" s="23">
        <f>Source!O49</f>
        <v>57.59</v>
      </c>
      <c r="T152">
        <f>Source!O49+Source!X49+Source!Y49</f>
        <v>57.59</v>
      </c>
      <c r="U152">
        <f>Source!P49</f>
        <v>57.59</v>
      </c>
      <c r="V152">
        <f>Source!S49</f>
        <v>0</v>
      </c>
      <c r="W152">
        <f>Source!Q49</f>
        <v>0</v>
      </c>
      <c r="X152">
        <f>Source!R49</f>
        <v>0</v>
      </c>
      <c r="Y152">
        <f>Source!U49</f>
        <v>0</v>
      </c>
      <c r="Z152">
        <f>Source!V49</f>
        <v>0</v>
      </c>
      <c r="AA152">
        <f>Source!X49</f>
        <v>0</v>
      </c>
      <c r="AB152">
        <f>Source!Y49</f>
        <v>0</v>
      </c>
    </row>
    <row r="153" spans="1:28" ht="14.25" x14ac:dyDescent="0.2">
      <c r="C153" s="25" t="s">
        <v>1014</v>
      </c>
      <c r="D153" s="25">
        <f>Source!BC49</f>
        <v>6.53</v>
      </c>
      <c r="F153" s="12"/>
      <c r="G153" s="12"/>
      <c r="H153" s="12"/>
    </row>
    <row r="154" spans="1:28" ht="28.5" x14ac:dyDescent="0.2">
      <c r="A154" s="46">
        <v>23</v>
      </c>
      <c r="B154" s="46" t="str">
        <f>Source!E50</f>
        <v>10,6</v>
      </c>
      <c r="C154" s="46" t="str">
        <f>Source!G50</f>
        <v>Соединитель для пластикового плинтуса, высота 48 мм</v>
      </c>
      <c r="D154" s="46" t="str">
        <f>Source!F50</f>
        <v>11.3.03.14-0021</v>
      </c>
      <c r="E154" s="31" t="str">
        <f>Source!H50</f>
        <v>100 шт.</v>
      </c>
      <c r="F154" s="12">
        <f>Source!I50</f>
        <v>0.68</v>
      </c>
      <c r="G154" s="23">
        <f>Source!AB50</f>
        <v>128</v>
      </c>
      <c r="H154" s="23">
        <f>Source!O50</f>
        <v>568.37</v>
      </c>
      <c r="T154">
        <f>Source!O50+Source!X50+Source!Y50</f>
        <v>568.37</v>
      </c>
      <c r="U154">
        <f>Source!P50</f>
        <v>568.37</v>
      </c>
      <c r="V154">
        <f>Source!S50</f>
        <v>0</v>
      </c>
      <c r="W154">
        <f>Source!Q50</f>
        <v>0</v>
      </c>
      <c r="X154">
        <f>Source!R50</f>
        <v>0</v>
      </c>
      <c r="Y154">
        <f>Source!U50</f>
        <v>0</v>
      </c>
      <c r="Z154">
        <f>Source!V50</f>
        <v>0</v>
      </c>
      <c r="AA154">
        <f>Source!X50</f>
        <v>0</v>
      </c>
      <c r="AB154">
        <f>Source!Y50</f>
        <v>0</v>
      </c>
    </row>
    <row r="155" spans="1:28" ht="14.25" x14ac:dyDescent="0.2">
      <c r="C155" s="25" t="s">
        <v>1014</v>
      </c>
      <c r="D155" s="25">
        <f>Source!BC50</f>
        <v>6.53</v>
      </c>
      <c r="F155" s="12"/>
      <c r="G155" s="12"/>
      <c r="H155" s="12"/>
    </row>
    <row r="156" spans="1:28" ht="28.5" x14ac:dyDescent="0.2">
      <c r="A156" s="46">
        <v>24</v>
      </c>
      <c r="B156" s="46" t="str">
        <f>Source!E51</f>
        <v>10,7</v>
      </c>
      <c r="C156" s="46" t="str">
        <f>Source!G51</f>
        <v>Уголок внутренний для пластикового плинтуса, высота 48 мм</v>
      </c>
      <c r="D156" s="46" t="str">
        <f>Source!F51</f>
        <v>11.3.03.14-0031</v>
      </c>
      <c r="E156" s="31" t="str">
        <f>Source!H51</f>
        <v>100 шт.</v>
      </c>
      <c r="F156" s="12">
        <f>Source!I51</f>
        <v>0.11999999999999998</v>
      </c>
      <c r="G156" s="23">
        <f>Source!AB51</f>
        <v>128</v>
      </c>
      <c r="H156" s="23">
        <f>Source!O51</f>
        <v>100.3</v>
      </c>
      <c r="T156">
        <f>Source!O51+Source!X51+Source!Y51</f>
        <v>100.3</v>
      </c>
      <c r="U156">
        <f>Source!P51</f>
        <v>100.3</v>
      </c>
      <c r="V156">
        <f>Source!S51</f>
        <v>0</v>
      </c>
      <c r="W156">
        <f>Source!Q51</f>
        <v>0</v>
      </c>
      <c r="X156">
        <f>Source!R51</f>
        <v>0</v>
      </c>
      <c r="Y156">
        <f>Source!U51</f>
        <v>0</v>
      </c>
      <c r="Z156">
        <f>Source!V51</f>
        <v>0</v>
      </c>
      <c r="AA156">
        <f>Source!X51</f>
        <v>0</v>
      </c>
      <c r="AB156">
        <f>Source!Y51</f>
        <v>0</v>
      </c>
    </row>
    <row r="157" spans="1:28" ht="14.25" x14ac:dyDescent="0.2">
      <c r="C157" s="25" t="s">
        <v>1014</v>
      </c>
      <c r="D157" s="25">
        <f>Source!BC51</f>
        <v>6.53</v>
      </c>
      <c r="F157" s="12"/>
      <c r="G157" s="12"/>
      <c r="H157" s="12"/>
    </row>
    <row r="158" spans="1:28" ht="28.5" x14ac:dyDescent="0.2">
      <c r="A158" s="46">
        <v>25</v>
      </c>
      <c r="B158" s="46" t="str">
        <f>Source!E52</f>
        <v>10,8</v>
      </c>
      <c r="C158" s="46" t="str">
        <f>Source!G52</f>
        <v>Уголок наружный для пластикового плинтуса, высота 48 мм</v>
      </c>
      <c r="D158" s="46" t="str">
        <f>Source!F52</f>
        <v>11.3.03.14-0033</v>
      </c>
      <c r="E158" s="31" t="str">
        <f>Source!H52</f>
        <v>100 шт.</v>
      </c>
      <c r="F158" s="12">
        <f>Source!I52</f>
        <v>0.11999999999999998</v>
      </c>
      <c r="G158" s="23">
        <f>Source!AB52</f>
        <v>128</v>
      </c>
      <c r="H158" s="23">
        <f>Source!O52</f>
        <v>100.3</v>
      </c>
      <c r="T158">
        <f>Source!O52+Source!X52+Source!Y52</f>
        <v>100.3</v>
      </c>
      <c r="U158">
        <f>Source!P52</f>
        <v>100.3</v>
      </c>
      <c r="V158">
        <f>Source!S52</f>
        <v>0</v>
      </c>
      <c r="W158">
        <f>Source!Q52</f>
        <v>0</v>
      </c>
      <c r="X158">
        <f>Source!R52</f>
        <v>0</v>
      </c>
      <c r="Y158">
        <f>Source!U52</f>
        <v>0</v>
      </c>
      <c r="Z158">
        <f>Source!V52</f>
        <v>0</v>
      </c>
      <c r="AA158">
        <f>Source!X52</f>
        <v>0</v>
      </c>
      <c r="AB158">
        <f>Source!Y52</f>
        <v>0</v>
      </c>
    </row>
    <row r="159" spans="1:28" ht="14.25" x14ac:dyDescent="0.2">
      <c r="C159" s="25" t="s">
        <v>1014</v>
      </c>
      <c r="D159" s="25">
        <f>Source!BC52</f>
        <v>6.53</v>
      </c>
      <c r="F159" s="12"/>
      <c r="G159" s="12"/>
      <c r="H159" s="12"/>
    </row>
    <row r="160" spans="1:28" ht="28.5" x14ac:dyDescent="0.2">
      <c r="A160" s="46">
        <v>26</v>
      </c>
      <c r="B160" s="46" t="str">
        <f>Source!E53</f>
        <v>10,9</v>
      </c>
      <c r="C160" s="46" t="str">
        <f>Source!G53</f>
        <v>Заглушка торцевая для пластикового плинтуса левая, высота 48 мм</v>
      </c>
      <c r="D160" s="46" t="str">
        <f>Source!F53</f>
        <v>11.3.03.14-0001</v>
      </c>
      <c r="E160" s="31" t="str">
        <f>Source!H53</f>
        <v>100 шт.</v>
      </c>
      <c r="F160" s="12">
        <f>Source!I53</f>
        <v>0.11999999999999998</v>
      </c>
      <c r="G160" s="23">
        <f>Source!AB53</f>
        <v>63</v>
      </c>
      <c r="H160" s="23">
        <f>Source!O53</f>
        <v>49.37</v>
      </c>
      <c r="T160">
        <f>Source!O53+Source!X53+Source!Y53</f>
        <v>49.37</v>
      </c>
      <c r="U160">
        <f>Source!P53</f>
        <v>49.37</v>
      </c>
      <c r="V160">
        <f>Source!S53</f>
        <v>0</v>
      </c>
      <c r="W160">
        <f>Source!Q53</f>
        <v>0</v>
      </c>
      <c r="X160">
        <f>Source!R53</f>
        <v>0</v>
      </c>
      <c r="Y160">
        <f>Source!U53</f>
        <v>0</v>
      </c>
      <c r="Z160">
        <f>Source!V53</f>
        <v>0</v>
      </c>
      <c r="AA160">
        <f>Source!X53</f>
        <v>0</v>
      </c>
      <c r="AB160">
        <f>Source!Y53</f>
        <v>0</v>
      </c>
    </row>
    <row r="161" spans="1:28" ht="14.25" x14ac:dyDescent="0.2">
      <c r="C161" s="25" t="s">
        <v>1014</v>
      </c>
      <c r="D161" s="25">
        <f>Source!BC53</f>
        <v>6.53</v>
      </c>
      <c r="F161" s="12"/>
      <c r="G161" s="12"/>
      <c r="H161" s="12"/>
    </row>
    <row r="162" spans="1:28" ht="28.5" x14ac:dyDescent="0.2">
      <c r="A162" s="46">
        <v>27</v>
      </c>
      <c r="B162" s="46" t="str">
        <f>Source!E54</f>
        <v>10,10</v>
      </c>
      <c r="C162" s="46" t="str">
        <f>Source!G54</f>
        <v>Соединитель для пластикового плинтуса</v>
      </c>
      <c r="D162" s="46" t="str">
        <f>Source!F54</f>
        <v>11.3.03.14</v>
      </c>
      <c r="E162" s="31" t="str">
        <f>Source!H54</f>
        <v>шт.</v>
      </c>
      <c r="F162" s="12">
        <f>Source!I54</f>
        <v>68</v>
      </c>
      <c r="G162" s="23">
        <f>Source!AB54</f>
        <v>0</v>
      </c>
      <c r="H162" s="23">
        <f>Source!O54</f>
        <v>0</v>
      </c>
      <c r="T162">
        <f>Source!O54+Source!X54+Source!Y54</f>
        <v>0</v>
      </c>
      <c r="U162">
        <f>Source!P54</f>
        <v>0</v>
      </c>
      <c r="V162">
        <f>Source!S54</f>
        <v>0</v>
      </c>
      <c r="W162">
        <f>Source!Q54</f>
        <v>0</v>
      </c>
      <c r="X162">
        <f>Source!R54</f>
        <v>0</v>
      </c>
      <c r="Y162">
        <f>Source!U54</f>
        <v>0</v>
      </c>
      <c r="Z162">
        <f>Source!V54</f>
        <v>0</v>
      </c>
      <c r="AA162">
        <f>Source!X54</f>
        <v>0</v>
      </c>
      <c r="AB162">
        <f>Source!Y54</f>
        <v>0</v>
      </c>
    </row>
    <row r="163" spans="1:28" ht="14.25" x14ac:dyDescent="0.2">
      <c r="C163" s="25" t="s">
        <v>1014</v>
      </c>
      <c r="D163" s="25">
        <f>Source!BC54</f>
        <v>6.53</v>
      </c>
      <c r="F163" s="12"/>
      <c r="G163" s="12"/>
      <c r="H163" s="12"/>
    </row>
    <row r="164" spans="1:28" ht="28.5" x14ac:dyDescent="0.2">
      <c r="A164" s="46">
        <v>28</v>
      </c>
      <c r="B164" s="46" t="str">
        <f>Source!E55</f>
        <v>10,11</v>
      </c>
      <c r="C164" s="46" t="str">
        <f>Source!G55</f>
        <v>Заглушка торцевая для пластикового плинтуса левая</v>
      </c>
      <c r="D164" s="46" t="str">
        <f>Source!F55</f>
        <v>11.3.03.14</v>
      </c>
      <c r="E164" s="31" t="str">
        <f>Source!H55</f>
        <v>шт.</v>
      </c>
      <c r="F164" s="12">
        <f>Source!I55</f>
        <v>14.000000000000002</v>
      </c>
      <c r="G164" s="23">
        <f>Source!AB55</f>
        <v>0</v>
      </c>
      <c r="H164" s="23">
        <f>Source!O55</f>
        <v>0</v>
      </c>
      <c r="T164">
        <f>Source!O55+Source!X55+Source!Y55</f>
        <v>0</v>
      </c>
      <c r="U164">
        <f>Source!P55</f>
        <v>0</v>
      </c>
      <c r="V164">
        <f>Source!S55</f>
        <v>0</v>
      </c>
      <c r="W164">
        <f>Source!Q55</f>
        <v>0</v>
      </c>
      <c r="X164">
        <f>Source!R55</f>
        <v>0</v>
      </c>
      <c r="Y164">
        <f>Source!U55</f>
        <v>0</v>
      </c>
      <c r="Z164">
        <f>Source!V55</f>
        <v>0</v>
      </c>
      <c r="AA164">
        <f>Source!X55</f>
        <v>0</v>
      </c>
      <c r="AB164">
        <f>Source!Y55</f>
        <v>0</v>
      </c>
    </row>
    <row r="165" spans="1:28" ht="14.25" x14ac:dyDescent="0.2">
      <c r="C165" s="25" t="s">
        <v>1014</v>
      </c>
      <c r="D165" s="25">
        <f>Source!BC55</f>
        <v>6.53</v>
      </c>
      <c r="F165" s="12"/>
      <c r="G165" s="12"/>
      <c r="H165" s="12"/>
    </row>
    <row r="166" spans="1:28" ht="28.5" x14ac:dyDescent="0.2">
      <c r="A166" s="46">
        <v>29</v>
      </c>
      <c r="B166" s="46" t="str">
        <f>Source!E56</f>
        <v>10,12</v>
      </c>
      <c r="C166" s="46" t="str">
        <f>Source!G56</f>
        <v>Заглушка торцевая для пластикового плинтуса правая</v>
      </c>
      <c r="D166" s="46" t="str">
        <f>Source!F56</f>
        <v>11.3.03.14</v>
      </c>
      <c r="E166" s="31" t="str">
        <f>Source!H56</f>
        <v>шт.</v>
      </c>
      <c r="F166" s="12">
        <f>Source!I56</f>
        <v>14.000000000000002</v>
      </c>
      <c r="G166" s="23">
        <f>Source!AB56</f>
        <v>0</v>
      </c>
      <c r="H166" s="23">
        <f>Source!O56</f>
        <v>0</v>
      </c>
      <c r="T166">
        <f>Source!O56+Source!X56+Source!Y56</f>
        <v>0</v>
      </c>
      <c r="U166">
        <f>Source!P56</f>
        <v>0</v>
      </c>
      <c r="V166">
        <f>Source!S56</f>
        <v>0</v>
      </c>
      <c r="W166">
        <f>Source!Q56</f>
        <v>0</v>
      </c>
      <c r="X166">
        <f>Source!R56</f>
        <v>0</v>
      </c>
      <c r="Y166">
        <f>Source!U56</f>
        <v>0</v>
      </c>
      <c r="Z166">
        <f>Source!V56</f>
        <v>0</v>
      </c>
      <c r="AA166">
        <f>Source!X56</f>
        <v>0</v>
      </c>
      <c r="AB166">
        <f>Source!Y56</f>
        <v>0</v>
      </c>
    </row>
    <row r="167" spans="1:28" ht="14.25" x14ac:dyDescent="0.2">
      <c r="C167" s="25" t="s">
        <v>1014</v>
      </c>
      <c r="D167" s="25">
        <f>Source!BC56</f>
        <v>6.53</v>
      </c>
      <c r="F167" s="12"/>
      <c r="G167" s="12"/>
      <c r="H167" s="12"/>
    </row>
    <row r="168" spans="1:28" ht="28.5" x14ac:dyDescent="0.2">
      <c r="A168" s="46">
        <v>30</v>
      </c>
      <c r="B168" s="46" t="str">
        <f>Source!E57</f>
        <v>11</v>
      </c>
      <c r="C168" s="46" t="str">
        <f>Source!G57</f>
        <v>Укладка металлического накладного профиля (порога)</v>
      </c>
      <c r="D168" s="46" t="str">
        <f>Source!F57</f>
        <v>11-01-049-01</v>
      </c>
      <c r="E168" s="31" t="str">
        <f>Source!H57</f>
        <v>100 м</v>
      </c>
      <c r="F168" s="12">
        <f>Source!I57</f>
        <v>7.1999999999999995E-2</v>
      </c>
      <c r="G168" s="23">
        <f>Source!AB57</f>
        <v>225.83</v>
      </c>
      <c r="H168" s="23">
        <f>Source!O57</f>
        <v>106.18</v>
      </c>
      <c r="T168">
        <f>Source!O57+Source!X57+Source!Y57</f>
        <v>225.84</v>
      </c>
      <c r="U168">
        <f>Source!P57</f>
        <v>37.799999999999997</v>
      </c>
      <c r="V168">
        <f>Source!S57</f>
        <v>68.38</v>
      </c>
      <c r="W168">
        <f>Source!Q57</f>
        <v>0</v>
      </c>
      <c r="X168">
        <f>Source!R57</f>
        <v>0</v>
      </c>
      <c r="Y168">
        <f>Source!U57</f>
        <v>1.19808</v>
      </c>
      <c r="Z168">
        <f>Source!V57</f>
        <v>0</v>
      </c>
      <c r="AA168">
        <f>Source!X57</f>
        <v>75.900000000000006</v>
      </c>
      <c r="AB168">
        <f>Source!Y57</f>
        <v>43.76</v>
      </c>
    </row>
    <row r="169" spans="1:28" ht="14.25" x14ac:dyDescent="0.2">
      <c r="C169" s="25" t="s">
        <v>1012</v>
      </c>
      <c r="D169" s="25">
        <f>Source!BA57</f>
        <v>6.53</v>
      </c>
      <c r="F169" s="12"/>
      <c r="G169" s="12"/>
      <c r="H169" s="12"/>
    </row>
    <row r="170" spans="1:28" x14ac:dyDescent="0.2">
      <c r="C170" s="25" t="s">
        <v>1013</v>
      </c>
      <c r="D170" s="25">
        <f>Source!BB57</f>
        <v>6.53</v>
      </c>
    </row>
    <row r="171" spans="1:28" x14ac:dyDescent="0.2">
      <c r="C171" s="25" t="s">
        <v>1014</v>
      </c>
      <c r="D171" s="25">
        <f>Source!BC57</f>
        <v>6.53</v>
      </c>
    </row>
    <row r="172" spans="1:28" x14ac:dyDescent="0.2">
      <c r="C172" s="25" t="s">
        <v>1015</v>
      </c>
      <c r="D172" s="25">
        <f>Source!BS57</f>
        <v>6.53</v>
      </c>
    </row>
    <row r="173" spans="1:28" x14ac:dyDescent="0.2">
      <c r="C173" s="9" t="s">
        <v>1016</v>
      </c>
      <c r="D173" s="33"/>
      <c r="E173" s="33"/>
      <c r="F173" s="33">
        <f>Source!BZ57</f>
        <v>123</v>
      </c>
      <c r="G173" s="57">
        <f>(Source!AF57+Source!AE57)*Source!FX57/100</f>
        <v>160.99101000000002</v>
      </c>
      <c r="H173" s="57">
        <f>Source!X57</f>
        <v>75.900000000000006</v>
      </c>
    </row>
    <row r="174" spans="1:28" x14ac:dyDescent="0.2">
      <c r="C174" s="9" t="s">
        <v>1019</v>
      </c>
      <c r="D174" s="33"/>
      <c r="E174" s="33"/>
      <c r="F174" s="33"/>
      <c r="G174" s="33" t="str">
        <f>CONCATENATE(Source!DL57,Source!FT57, "=", Source!FX57, "%")</f>
        <v>*0,9=110,7%</v>
      </c>
      <c r="H174" s="33" t="str">
        <f>CONCATENATE(Source!AT57)</f>
        <v>111</v>
      </c>
    </row>
    <row r="175" spans="1:28" x14ac:dyDescent="0.2">
      <c r="C175" s="9" t="s">
        <v>1017</v>
      </c>
      <c r="D175" s="33"/>
      <c r="E175" s="33"/>
      <c r="F175" s="33">
        <f>Source!CA57</f>
        <v>75</v>
      </c>
      <c r="G175" s="57">
        <f>(Source!AF57+Source!AE57)*Source!FY57/100</f>
        <v>92.711624999999998</v>
      </c>
      <c r="H175" s="57">
        <f>Source!Y57</f>
        <v>43.76</v>
      </c>
    </row>
    <row r="176" spans="1:28" x14ac:dyDescent="0.2">
      <c r="C176" s="9" t="s">
        <v>1020</v>
      </c>
      <c r="D176" s="33"/>
      <c r="E176" s="33"/>
      <c r="F176" s="33"/>
      <c r="G176" s="33" t="str">
        <f>CONCATENATE(Source!DM57,Source!FU57, "=", Source!FY57, "%")</f>
        <v>*0,85=63,75%</v>
      </c>
      <c r="H176" s="33" t="str">
        <f>CONCATENATE(Source!AU57)</f>
        <v>64</v>
      </c>
    </row>
    <row r="177" spans="1:28" x14ac:dyDescent="0.2">
      <c r="C177" s="9" t="s">
        <v>1018</v>
      </c>
      <c r="D177" s="33"/>
      <c r="E177" s="33"/>
      <c r="F177" s="33"/>
      <c r="G177" s="57">
        <f>((Source!AF57+Source!AE57)*Source!FX57/100)+((Source!AF57+Source!AE57)*Source!FY57/100)+Source!AB57</f>
        <v>479.53263500000003</v>
      </c>
      <c r="H177" s="57">
        <f>Source!O57+Source!X57+Source!Y57</f>
        <v>225.84</v>
      </c>
    </row>
    <row r="178" spans="1:28" ht="71.25" x14ac:dyDescent="0.2">
      <c r="A178" s="46">
        <v>31</v>
      </c>
      <c r="B178" s="46" t="str">
        <f>Source!E58</f>
        <v>11,1</v>
      </c>
      <c r="C178" s="46" t="str">
        <f>Source!G58</f>
        <v>Профили стыкоперекрывающие из алюминиевых сплавов (порожки) с покрытием и антискользящей вставкой, шириной 39 мм, длиной до 1,8 м</v>
      </c>
      <c r="D178" s="46" t="str">
        <f>Source!F58</f>
        <v>09.2.03.02-0002</v>
      </c>
      <c r="E178" s="31" t="str">
        <f>Source!H58</f>
        <v>шт.</v>
      </c>
      <c r="F178" s="12">
        <f>Source!I58</f>
        <v>1</v>
      </c>
      <c r="G178" s="23">
        <f>Source!AB58</f>
        <v>31.28</v>
      </c>
      <c r="H178" s="23">
        <f>Source!O58</f>
        <v>204.26</v>
      </c>
      <c r="T178">
        <f>Source!O58+Source!X58+Source!Y58</f>
        <v>204.26</v>
      </c>
      <c r="U178">
        <f>Source!P58</f>
        <v>204.26</v>
      </c>
      <c r="V178">
        <f>Source!S58</f>
        <v>0</v>
      </c>
      <c r="W178">
        <f>Source!Q58</f>
        <v>0</v>
      </c>
      <c r="X178">
        <f>Source!R58</f>
        <v>0</v>
      </c>
      <c r="Y178">
        <f>Source!U58</f>
        <v>0</v>
      </c>
      <c r="Z178">
        <f>Source!V58</f>
        <v>0</v>
      </c>
      <c r="AA178">
        <f>Source!X58</f>
        <v>0</v>
      </c>
      <c r="AB178">
        <f>Source!Y58</f>
        <v>0</v>
      </c>
    </row>
    <row r="179" spans="1:28" ht="14.25" x14ac:dyDescent="0.2">
      <c r="C179" s="25" t="s">
        <v>1014</v>
      </c>
      <c r="D179" s="25">
        <f>Source!BC58</f>
        <v>6.53</v>
      </c>
      <c r="F179" s="12"/>
      <c r="G179" s="12"/>
      <c r="H179" s="12"/>
    </row>
    <row r="180" spans="1:28" ht="71.25" x14ac:dyDescent="0.2">
      <c r="A180" s="46">
        <v>32</v>
      </c>
      <c r="B180" s="46" t="str">
        <f>Source!E59</f>
        <v>11,2</v>
      </c>
      <c r="C180" s="46" t="str">
        <f>Source!G59</f>
        <v>Профили стыкоперекрывающие из алюминиевых сплавов (порожки) с покрытием и антискользящей вставкой, шириной 39 мм, длиной 0,9 м</v>
      </c>
      <c r="D180" s="46" t="str">
        <f>Source!F59</f>
        <v>09.2.03.02-0001</v>
      </c>
      <c r="E180" s="31" t="str">
        <f>Source!H59</f>
        <v>шт.</v>
      </c>
      <c r="F180" s="12">
        <f>Source!I59</f>
        <v>6</v>
      </c>
      <c r="G180" s="23">
        <f>Source!AB59</f>
        <v>15.07</v>
      </c>
      <c r="H180" s="23">
        <f>Source!O59</f>
        <v>590.44000000000005</v>
      </c>
      <c r="T180">
        <f>Source!O59+Source!X59+Source!Y59</f>
        <v>590.44000000000005</v>
      </c>
      <c r="U180">
        <f>Source!P59</f>
        <v>590.44000000000005</v>
      </c>
      <c r="V180">
        <f>Source!S59</f>
        <v>0</v>
      </c>
      <c r="W180">
        <f>Source!Q59</f>
        <v>0</v>
      </c>
      <c r="X180">
        <f>Source!R59</f>
        <v>0</v>
      </c>
      <c r="Y180">
        <f>Source!U59</f>
        <v>0</v>
      </c>
      <c r="Z180">
        <f>Source!V59</f>
        <v>0</v>
      </c>
      <c r="AA180">
        <f>Source!X59</f>
        <v>0</v>
      </c>
      <c r="AB180">
        <f>Source!Y59</f>
        <v>0</v>
      </c>
    </row>
    <row r="181" spans="1:28" ht="14.25" x14ac:dyDescent="0.2">
      <c r="C181" s="25" t="s">
        <v>1014</v>
      </c>
      <c r="D181" s="25">
        <f>Source!BC59</f>
        <v>6.53</v>
      </c>
      <c r="F181" s="12"/>
      <c r="G181" s="12"/>
      <c r="H181" s="12"/>
    </row>
    <row r="182" spans="1:28" ht="42.75" x14ac:dyDescent="0.2">
      <c r="A182" s="46">
        <v>33</v>
      </c>
      <c r="B182" s="46" t="str">
        <f>Source!E60</f>
        <v>11,3</v>
      </c>
      <c r="C182" s="46" t="str">
        <f>Source!G60</f>
        <v>Профили стыкоперекрывающие из алюминиевых сплавов (порожки) с покрытием</v>
      </c>
      <c r="D182" s="46" t="str">
        <f>Source!F60</f>
        <v>09.2.03.02</v>
      </c>
      <c r="E182" s="31" t="str">
        <f>Source!H60</f>
        <v>м</v>
      </c>
      <c r="F182" s="12">
        <f>Source!I60</f>
        <v>7.56</v>
      </c>
      <c r="G182" s="23">
        <f>Source!AB60</f>
        <v>0</v>
      </c>
      <c r="H182" s="23">
        <f>Source!O60</f>
        <v>0</v>
      </c>
      <c r="T182">
        <f>Source!O60+Source!X60+Source!Y60</f>
        <v>0</v>
      </c>
      <c r="U182">
        <f>Source!P60</f>
        <v>0</v>
      </c>
      <c r="V182">
        <f>Source!S60</f>
        <v>0</v>
      </c>
      <c r="W182">
        <f>Source!Q60</f>
        <v>0</v>
      </c>
      <c r="X182">
        <f>Source!R60</f>
        <v>0</v>
      </c>
      <c r="Y182">
        <f>Source!U60</f>
        <v>0</v>
      </c>
      <c r="Z182">
        <f>Source!V60</f>
        <v>0</v>
      </c>
      <c r="AA182">
        <f>Source!X60</f>
        <v>0</v>
      </c>
      <c r="AB182">
        <f>Source!Y60</f>
        <v>0</v>
      </c>
    </row>
    <row r="183" spans="1:28" ht="14.25" x14ac:dyDescent="0.2">
      <c r="C183" s="25" t="s">
        <v>1014</v>
      </c>
      <c r="D183" s="25">
        <f>Source!BC60</f>
        <v>6.53</v>
      </c>
      <c r="F183" s="12"/>
      <c r="G183" s="12"/>
      <c r="H183" s="12"/>
    </row>
    <row r="184" spans="1:28" ht="57" x14ac:dyDescent="0.2">
      <c r="A184" s="46">
        <v>34</v>
      </c>
      <c r="B184" s="46" t="str">
        <f>Source!E61</f>
        <v>12</v>
      </c>
      <c r="C184" s="46" t="str">
        <f>Source!G61</f>
        <v>Штукатурка поверхностей внутри здания цементно-известковым или цементным раствором по камню и бетону улучшенная стен</v>
      </c>
      <c r="D184" s="46" t="str">
        <f>Source!F61</f>
        <v>15-02-016-03</v>
      </c>
      <c r="E184" s="31" t="str">
        <f>Source!H61</f>
        <v>100 м2</v>
      </c>
      <c r="F184" s="12">
        <f>Source!I61</f>
        <v>1.5465</v>
      </c>
      <c r="G184" s="23">
        <f>Source!AB61</f>
        <v>2187.5700000000002</v>
      </c>
      <c r="H184" s="23">
        <f>Source!O61</f>
        <v>22091.5</v>
      </c>
      <c r="T184">
        <f>Source!O61+Source!X61+Source!Y61</f>
        <v>36472.020000000004</v>
      </c>
      <c r="U184">
        <f>Source!P61</f>
        <v>11415.51</v>
      </c>
      <c r="V184">
        <f>Source!S61</f>
        <v>9370.94</v>
      </c>
      <c r="W184">
        <f>Source!Q61</f>
        <v>1305.05</v>
      </c>
      <c r="X184">
        <f>Source!R61</f>
        <v>756.19</v>
      </c>
      <c r="Y184">
        <f>Source!U61</f>
        <v>152.66429399999998</v>
      </c>
      <c r="Z184">
        <f>Source!V61</f>
        <v>12.15935625</v>
      </c>
      <c r="AA184">
        <f>Source!X61</f>
        <v>9620.77</v>
      </c>
      <c r="AB184">
        <f>Source!Y61</f>
        <v>4759.75</v>
      </c>
    </row>
    <row r="185" spans="1:28" ht="14.25" x14ac:dyDescent="0.2">
      <c r="C185" s="25" t="s">
        <v>1012</v>
      </c>
      <c r="D185" s="25">
        <f>Source!BA61</f>
        <v>6.53</v>
      </c>
      <c r="F185" s="12"/>
      <c r="G185" s="12"/>
      <c r="H185" s="12"/>
    </row>
    <row r="186" spans="1:28" x14ac:dyDescent="0.2">
      <c r="C186" s="25" t="s">
        <v>1013</v>
      </c>
      <c r="D186" s="25">
        <f>Source!BB61</f>
        <v>6.53</v>
      </c>
    </row>
    <row r="187" spans="1:28" x14ac:dyDescent="0.2">
      <c r="C187" s="25" t="s">
        <v>1014</v>
      </c>
      <c r="D187" s="25">
        <f>Source!BC61</f>
        <v>6.53</v>
      </c>
    </row>
    <row r="188" spans="1:28" x14ac:dyDescent="0.2">
      <c r="C188" s="25" t="s">
        <v>1015</v>
      </c>
      <c r="D188" s="25">
        <f>Source!BS61</f>
        <v>6.53</v>
      </c>
    </row>
    <row r="189" spans="1:28" x14ac:dyDescent="0.2">
      <c r="C189" s="9" t="s">
        <v>1016</v>
      </c>
      <c r="D189" s="33"/>
      <c r="E189" s="33"/>
      <c r="F189" s="33">
        <f>Source!BZ61</f>
        <v>105</v>
      </c>
      <c r="G189" s="57">
        <f>(Source!AF61+Source!AE61)*Source!FX61/100</f>
        <v>947.6649000000001</v>
      </c>
      <c r="H189" s="57">
        <f>Source!X61</f>
        <v>9620.77</v>
      </c>
    </row>
    <row r="190" spans="1:28" x14ac:dyDescent="0.2">
      <c r="C190" s="9" t="s">
        <v>1019</v>
      </c>
      <c r="D190" s="33"/>
      <c r="E190" s="33"/>
      <c r="F190" s="33"/>
      <c r="G190" s="33" t="str">
        <f>CONCATENATE(Source!DL61,Source!FT61, "=", Source!FX61, "%")</f>
        <v>*0,9=94,5%</v>
      </c>
      <c r="H190" s="33" t="str">
        <f>CONCATENATE(Source!AT61)</f>
        <v>95</v>
      </c>
    </row>
    <row r="191" spans="1:28" x14ac:dyDescent="0.2">
      <c r="C191" s="9" t="s">
        <v>1017</v>
      </c>
      <c r="D191" s="33"/>
      <c r="E191" s="33"/>
      <c r="F191" s="33">
        <f>Source!CA61</f>
        <v>55</v>
      </c>
      <c r="G191" s="57">
        <f>(Source!AF61+Source!AE61)*Source!FY61/100</f>
        <v>468.81835000000001</v>
      </c>
      <c r="H191" s="57">
        <f>Source!Y61</f>
        <v>4759.75</v>
      </c>
    </row>
    <row r="192" spans="1:28" x14ac:dyDescent="0.2">
      <c r="C192" s="9" t="s">
        <v>1020</v>
      </c>
      <c r="D192" s="33"/>
      <c r="E192" s="33"/>
      <c r="F192" s="33"/>
      <c r="G192" s="33" t="str">
        <f>CONCATENATE(Source!DM61,Source!FU61, "=", Source!FY61, "%")</f>
        <v>*0,85=46,75%</v>
      </c>
      <c r="H192" s="33" t="str">
        <f>CONCATENATE(Source!AU61)</f>
        <v>47</v>
      </c>
    </row>
    <row r="193" spans="1:28" x14ac:dyDescent="0.2">
      <c r="C193" s="9" t="s">
        <v>1018</v>
      </c>
      <c r="D193" s="33"/>
      <c r="E193" s="33"/>
      <c r="F193" s="33"/>
      <c r="G193" s="57">
        <f>((Source!AF61+Source!AE61)*Source!FX61/100)+((Source!AF61+Source!AE61)*Source!FY61/100)+Source!AB61</f>
        <v>3604.0532500000004</v>
      </c>
      <c r="H193" s="57">
        <f>Source!O61+Source!X61+Source!Y61</f>
        <v>36472.020000000004</v>
      </c>
    </row>
    <row r="194" spans="1:28" ht="42.75" x14ac:dyDescent="0.2">
      <c r="A194" s="46">
        <v>35</v>
      </c>
      <c r="B194" s="46" t="str">
        <f>Source!E62</f>
        <v>13</v>
      </c>
      <c r="C194" s="46" t="str">
        <f>Source!G62</f>
        <v>Устройство подвесных потолков типа &lt;Армстронг&gt; по каркасу из оцинкованного профиля</v>
      </c>
      <c r="D194" s="46" t="str">
        <f>Source!F62</f>
        <v>15-01-047-15</v>
      </c>
      <c r="E194" s="31" t="str">
        <f>Source!H62</f>
        <v>100 м2</v>
      </c>
      <c r="F194" s="12">
        <f>Source!I62</f>
        <v>2.7930000000000001</v>
      </c>
      <c r="G194" s="23">
        <f>Source!AB62</f>
        <v>6623.23</v>
      </c>
      <c r="H194" s="23">
        <f>Source!O62</f>
        <v>120796.39</v>
      </c>
      <c r="T194">
        <f>Source!O62+Source!X62+Source!Y62</f>
        <v>147381.32999999999</v>
      </c>
      <c r="U194">
        <f>Source!P62</f>
        <v>97308.57</v>
      </c>
      <c r="V194">
        <f>Source!S62</f>
        <v>17565.66</v>
      </c>
      <c r="W194">
        <f>Source!Q62</f>
        <v>5922.16</v>
      </c>
      <c r="X194">
        <f>Source!R62</f>
        <v>1156.1300000000001</v>
      </c>
      <c r="Y194">
        <f>Source!U62</f>
        <v>286.17077999999998</v>
      </c>
      <c r="Z194">
        <f>Source!V62</f>
        <v>14.914620000000001</v>
      </c>
      <c r="AA194">
        <f>Source!X62</f>
        <v>17785.7</v>
      </c>
      <c r="AB194">
        <f>Source!Y62</f>
        <v>8799.24</v>
      </c>
    </row>
    <row r="195" spans="1:28" ht="14.25" x14ac:dyDescent="0.2">
      <c r="C195" s="25" t="s">
        <v>1012</v>
      </c>
      <c r="D195" s="25">
        <f>Source!BA62</f>
        <v>6.53</v>
      </c>
      <c r="F195" s="12"/>
      <c r="G195" s="12"/>
      <c r="H195" s="12"/>
    </row>
    <row r="196" spans="1:28" x14ac:dyDescent="0.2">
      <c r="C196" s="25" t="s">
        <v>1013</v>
      </c>
      <c r="D196" s="25">
        <f>Source!BB62</f>
        <v>6.53</v>
      </c>
    </row>
    <row r="197" spans="1:28" x14ac:dyDescent="0.2">
      <c r="C197" s="25" t="s">
        <v>1014</v>
      </c>
      <c r="D197" s="25">
        <f>Source!BC62</f>
        <v>6.53</v>
      </c>
    </row>
    <row r="198" spans="1:28" x14ac:dyDescent="0.2">
      <c r="C198" s="25" t="s">
        <v>1015</v>
      </c>
      <c r="D198" s="25">
        <f>Source!BS62</f>
        <v>6.53</v>
      </c>
    </row>
    <row r="199" spans="1:28" x14ac:dyDescent="0.2">
      <c r="C199" s="9" t="s">
        <v>1016</v>
      </c>
      <c r="D199" s="33"/>
      <c r="E199" s="33"/>
      <c r="F199" s="33">
        <f>Source!BZ62</f>
        <v>105</v>
      </c>
      <c r="G199" s="57">
        <f>(Source!AF62+Source!AE62)*Source!FX62/100</f>
        <v>970.05194999999992</v>
      </c>
      <c r="H199" s="57">
        <f>Source!X62</f>
        <v>17785.7</v>
      </c>
    </row>
    <row r="200" spans="1:28" x14ac:dyDescent="0.2">
      <c r="C200" s="9" t="s">
        <v>1019</v>
      </c>
      <c r="D200" s="33"/>
      <c r="E200" s="33"/>
      <c r="F200" s="33"/>
      <c r="G200" s="33" t="str">
        <f>CONCATENATE(Source!DL62,Source!FT62, "=", Source!FX62, "%")</f>
        <v>*0,9=94,5%</v>
      </c>
      <c r="H200" s="33" t="str">
        <f>CONCATENATE(Source!AT62)</f>
        <v>95</v>
      </c>
    </row>
    <row r="201" spans="1:28" x14ac:dyDescent="0.2">
      <c r="C201" s="9" t="s">
        <v>1017</v>
      </c>
      <c r="D201" s="33"/>
      <c r="E201" s="33"/>
      <c r="F201" s="33">
        <f>Source!CA62</f>
        <v>55</v>
      </c>
      <c r="G201" s="57">
        <f>(Source!AF62+Source!AE62)*Source!FY62/100</f>
        <v>479.89342499999998</v>
      </c>
      <c r="H201" s="57">
        <f>Source!Y62</f>
        <v>8799.24</v>
      </c>
    </row>
    <row r="202" spans="1:28" x14ac:dyDescent="0.2">
      <c r="C202" s="9" t="s">
        <v>1020</v>
      </c>
      <c r="D202" s="33"/>
      <c r="E202" s="33"/>
      <c r="F202" s="33"/>
      <c r="G202" s="33" t="str">
        <f>CONCATENATE(Source!DM62,Source!FU62, "=", Source!FY62, "%")</f>
        <v>*0,85=46,75%</v>
      </c>
      <c r="H202" s="33" t="str">
        <f>CONCATENATE(Source!AU62)</f>
        <v>47</v>
      </c>
    </row>
    <row r="203" spans="1:28" x14ac:dyDescent="0.2">
      <c r="C203" s="9" t="s">
        <v>1018</v>
      </c>
      <c r="D203" s="33"/>
      <c r="E203" s="33"/>
      <c r="F203" s="33"/>
      <c r="G203" s="57">
        <f>((Source!AF62+Source!AE62)*Source!FX62/100)+((Source!AF62+Source!AE62)*Source!FY62/100)+Source!AB62</f>
        <v>8073.1753749999989</v>
      </c>
      <c r="H203" s="57">
        <f>Source!O62+Source!X62+Source!Y62</f>
        <v>147381.32999999999</v>
      </c>
    </row>
    <row r="204" spans="1:28" ht="57" x14ac:dyDescent="0.2">
      <c r="A204" s="46">
        <v>36</v>
      </c>
      <c r="B204" s="46" t="str">
        <f>Source!E63</f>
        <v>14</v>
      </c>
      <c r="C204" s="46" t="str">
        <f>Source!G63</f>
        <v>Сплошное выравнивание штукатурки стен цементно-известковым раствором при толщине намета до 10 мм</v>
      </c>
      <c r="D204" s="46" t="str">
        <f>Source!F63</f>
        <v>61-1-2</v>
      </c>
      <c r="E204" s="31" t="str">
        <f>Source!H63</f>
        <v>100 м2</v>
      </c>
      <c r="F204" s="12">
        <f>Source!I63</f>
        <v>4.6379999999999999</v>
      </c>
      <c r="G204" s="23">
        <f>Source!AB63</f>
        <v>921.93</v>
      </c>
      <c r="H204" s="23">
        <f>Source!O63</f>
        <v>27921.71</v>
      </c>
      <c r="T204">
        <f>Source!O63+Source!X63+Source!Y63</f>
        <v>42015.11</v>
      </c>
      <c r="U204">
        <f>Source!P63</f>
        <v>16652.23</v>
      </c>
      <c r="V204">
        <f>Source!S63</f>
        <v>10663.45</v>
      </c>
      <c r="W204">
        <f>Source!Q63</f>
        <v>606.03</v>
      </c>
      <c r="X204">
        <f>Source!R63</f>
        <v>261.67</v>
      </c>
      <c r="Y204">
        <f>Source!U63</f>
        <v>196.51205999999999</v>
      </c>
      <c r="Z204">
        <f>Source!V63</f>
        <v>2.9683199999999998</v>
      </c>
      <c r="AA204">
        <f>Source!X63</f>
        <v>8630.84</v>
      </c>
      <c r="AB204">
        <f>Source!Y63</f>
        <v>5462.56</v>
      </c>
    </row>
    <row r="205" spans="1:28" ht="14.25" x14ac:dyDescent="0.2">
      <c r="C205" s="25" t="s">
        <v>1012</v>
      </c>
      <c r="D205" s="25">
        <f>Source!BA63</f>
        <v>6.53</v>
      </c>
      <c r="F205" s="12"/>
      <c r="G205" s="12"/>
      <c r="H205" s="12"/>
    </row>
    <row r="206" spans="1:28" x14ac:dyDescent="0.2">
      <c r="C206" s="25" t="s">
        <v>1013</v>
      </c>
      <c r="D206" s="25">
        <f>Source!BB63</f>
        <v>6.53</v>
      </c>
    </row>
    <row r="207" spans="1:28" x14ac:dyDescent="0.2">
      <c r="C207" s="25" t="s">
        <v>1014</v>
      </c>
      <c r="D207" s="25">
        <f>Source!BC63</f>
        <v>6.53</v>
      </c>
    </row>
    <row r="208" spans="1:28" x14ac:dyDescent="0.2">
      <c r="C208" s="25" t="s">
        <v>1015</v>
      </c>
      <c r="D208" s="25">
        <f>Source!BS63</f>
        <v>6.53</v>
      </c>
    </row>
    <row r="209" spans="1:28" x14ac:dyDescent="0.2">
      <c r="C209" s="9" t="s">
        <v>1016</v>
      </c>
      <c r="D209" s="33"/>
      <c r="E209" s="33"/>
      <c r="F209" s="33">
        <f>Source!BZ63</f>
        <v>79</v>
      </c>
      <c r="G209" s="57">
        <f>(Source!AF63+Source!AE63)*Source!FX63/100</f>
        <v>284.97669999999999</v>
      </c>
      <c r="H209" s="57">
        <f>Source!X63</f>
        <v>8630.84</v>
      </c>
    </row>
    <row r="210" spans="1:28" x14ac:dyDescent="0.2">
      <c r="C210" s="9" t="s">
        <v>1017</v>
      </c>
      <c r="D210" s="33"/>
      <c r="E210" s="33"/>
      <c r="F210" s="33">
        <f>Source!CA63</f>
        <v>50</v>
      </c>
      <c r="G210" s="57">
        <f>(Source!AF63+Source!AE63)*Source!FY63/100</f>
        <v>180.36499999999995</v>
      </c>
      <c r="H210" s="57">
        <f>Source!Y63</f>
        <v>5462.56</v>
      </c>
    </row>
    <row r="211" spans="1:28" x14ac:dyDescent="0.2">
      <c r="C211" s="9" t="s">
        <v>1018</v>
      </c>
      <c r="D211" s="33"/>
      <c r="E211" s="33"/>
      <c r="F211" s="33"/>
      <c r="G211" s="57">
        <f>((Source!AF63+Source!AE63)*Source!FX63/100)+((Source!AF63+Source!AE63)*Source!FY63/100)+Source!AB63</f>
        <v>1387.2716999999998</v>
      </c>
      <c r="H211" s="57">
        <f>Source!O63+Source!X63+Source!Y63</f>
        <v>42015.11</v>
      </c>
    </row>
    <row r="212" spans="1:28" ht="28.5" x14ac:dyDescent="0.2">
      <c r="A212" s="46">
        <v>37</v>
      </c>
      <c r="B212" s="46" t="str">
        <f>Source!E64</f>
        <v>14,1</v>
      </c>
      <c r="C212" s="46" t="str">
        <f>Source!G64</f>
        <v>Раствор готовый отделочный тяжелый, цементно-известковый 1:1:6</v>
      </c>
      <c r="D212" s="46" t="str">
        <f>Source!F64</f>
        <v>04.3.01.12-0111</v>
      </c>
      <c r="E212" s="31" t="str">
        <f>Source!H64</f>
        <v>м3</v>
      </c>
      <c r="F212" s="12">
        <f>Source!I64</f>
        <v>-4.9162800000000004</v>
      </c>
      <c r="G212" s="23">
        <f>Source!AB64</f>
        <v>517.91</v>
      </c>
      <c r="H212" s="23">
        <f>Source!O64</f>
        <v>-16626.62</v>
      </c>
      <c r="T212">
        <f>Source!O64+Source!X64+Source!Y64</f>
        <v>-16626.62</v>
      </c>
      <c r="U212">
        <f>Source!P64</f>
        <v>-16626.62</v>
      </c>
      <c r="V212">
        <f>Source!S64</f>
        <v>0</v>
      </c>
      <c r="W212">
        <f>Source!Q64</f>
        <v>0</v>
      </c>
      <c r="X212">
        <f>Source!R64</f>
        <v>0</v>
      </c>
      <c r="Y212">
        <f>Source!U64</f>
        <v>0</v>
      </c>
      <c r="Z212">
        <f>Source!V64</f>
        <v>0</v>
      </c>
      <c r="AA212">
        <f>Source!X64</f>
        <v>0</v>
      </c>
      <c r="AB212">
        <f>Source!Y64</f>
        <v>0</v>
      </c>
    </row>
    <row r="213" spans="1:28" ht="14.25" x14ac:dyDescent="0.2">
      <c r="C213" s="25" t="s">
        <v>1014</v>
      </c>
      <c r="D213" s="25">
        <f>Source!BC64</f>
        <v>6.53</v>
      </c>
      <c r="F213" s="12"/>
      <c r="G213" s="12"/>
      <c r="H213" s="12"/>
    </row>
    <row r="214" spans="1:28" ht="28.5" x14ac:dyDescent="0.2">
      <c r="A214" s="46">
        <v>38</v>
      </c>
      <c r="B214" s="46" t="str">
        <f>Source!E65</f>
        <v>14,2</v>
      </c>
      <c r="C214" s="46" t="str">
        <f>Source!G65</f>
        <v>Смесь штукатурная «Ротбанд», КНАУФ</v>
      </c>
      <c r="D214" s="46" t="str">
        <f>Source!F65</f>
        <v>04.3.02.05-0002</v>
      </c>
      <c r="E214" s="31" t="str">
        <f>Source!H65</f>
        <v>кг</v>
      </c>
      <c r="F214" s="12">
        <f>Source!I65</f>
        <v>7373.9902990000001</v>
      </c>
      <c r="G214" s="23">
        <f>Source!AB65</f>
        <v>2.0699999999999998</v>
      </c>
      <c r="H214" s="23">
        <f>Source!O65</f>
        <v>99674.96</v>
      </c>
      <c r="T214">
        <f>Source!O65+Source!X65+Source!Y65</f>
        <v>99674.96</v>
      </c>
      <c r="U214">
        <f>Source!P65</f>
        <v>99674.96</v>
      </c>
      <c r="V214">
        <f>Source!S65</f>
        <v>0</v>
      </c>
      <c r="W214">
        <f>Source!Q65</f>
        <v>0</v>
      </c>
      <c r="X214">
        <f>Source!R65</f>
        <v>0</v>
      </c>
      <c r="Y214">
        <f>Source!U65</f>
        <v>0</v>
      </c>
      <c r="Z214">
        <f>Source!V65</f>
        <v>0</v>
      </c>
      <c r="AA214">
        <f>Source!X65</f>
        <v>0</v>
      </c>
      <c r="AB214">
        <f>Source!Y65</f>
        <v>0</v>
      </c>
    </row>
    <row r="215" spans="1:28" ht="14.25" x14ac:dyDescent="0.2">
      <c r="C215" s="25" t="s">
        <v>1014</v>
      </c>
      <c r="D215" s="25">
        <f>Source!BC65</f>
        <v>6.53</v>
      </c>
      <c r="F215" s="12"/>
      <c r="G215" s="12"/>
      <c r="H215" s="12"/>
    </row>
    <row r="216" spans="1:28" ht="42.75" x14ac:dyDescent="0.2">
      <c r="A216" s="46">
        <v>39</v>
      </c>
      <c r="B216" s="46" t="str">
        <f>Source!E66</f>
        <v>15</v>
      </c>
      <c r="C216" s="46" t="str">
        <f>Source!G66</f>
        <v>Покрытие поверхностей грунтовкой глубокого проникновения за 2 раза стен</v>
      </c>
      <c r="D216" s="46" t="str">
        <f>Source!F66</f>
        <v>15-04-006-04</v>
      </c>
      <c r="E216" s="31" t="str">
        <f>Source!H66</f>
        <v>100 м2</v>
      </c>
      <c r="F216" s="12">
        <f>Source!I66</f>
        <v>4.6379999999999999</v>
      </c>
      <c r="G216" s="23">
        <f>Source!AB66</f>
        <v>158.97999999999999</v>
      </c>
      <c r="H216" s="23">
        <f>Source!O66</f>
        <v>4814.88</v>
      </c>
      <c r="T216">
        <f>Source!O66+Source!X66+Source!Y66</f>
        <v>11582.78</v>
      </c>
      <c r="U216">
        <f>Source!P66</f>
        <v>10.9</v>
      </c>
      <c r="V216">
        <f>Source!S66</f>
        <v>4754.92</v>
      </c>
      <c r="W216">
        <f>Source!Q66</f>
        <v>49.06</v>
      </c>
      <c r="X216">
        <f>Source!R66</f>
        <v>11.21</v>
      </c>
      <c r="Y216">
        <f>Source!U66</f>
        <v>75.692160000000001</v>
      </c>
      <c r="Z216">
        <f>Source!V66</f>
        <v>0.13913999999999999</v>
      </c>
      <c r="AA216">
        <f>Source!X66</f>
        <v>4527.82</v>
      </c>
      <c r="AB216">
        <f>Source!Y66</f>
        <v>2240.08</v>
      </c>
    </row>
    <row r="217" spans="1:28" ht="14.25" x14ac:dyDescent="0.2">
      <c r="C217" s="25" t="s">
        <v>1012</v>
      </c>
      <c r="D217" s="25">
        <f>Source!BA66</f>
        <v>6.53</v>
      </c>
      <c r="F217" s="12"/>
      <c r="G217" s="12"/>
      <c r="H217" s="12"/>
    </row>
    <row r="218" spans="1:28" x14ac:dyDescent="0.2">
      <c r="C218" s="25" t="s">
        <v>1013</v>
      </c>
      <c r="D218" s="25">
        <f>Source!BB66</f>
        <v>6.53</v>
      </c>
    </row>
    <row r="219" spans="1:28" x14ac:dyDescent="0.2">
      <c r="C219" s="25" t="s">
        <v>1014</v>
      </c>
      <c r="D219" s="25">
        <f>Source!BC66</f>
        <v>6.53</v>
      </c>
    </row>
    <row r="220" spans="1:28" x14ac:dyDescent="0.2">
      <c r="C220" s="25" t="s">
        <v>1015</v>
      </c>
      <c r="D220" s="25">
        <f>Source!BS66</f>
        <v>6.53</v>
      </c>
    </row>
    <row r="221" spans="1:28" x14ac:dyDescent="0.2">
      <c r="C221" s="9" t="s">
        <v>1016</v>
      </c>
      <c r="D221" s="33"/>
      <c r="E221" s="33"/>
      <c r="F221" s="33">
        <f>Source!BZ66</f>
        <v>105</v>
      </c>
      <c r="G221" s="57">
        <f>(Source!AF66+Source!AE66)*Source!FX66/100</f>
        <v>148.71465000000001</v>
      </c>
      <c r="H221" s="57">
        <f>Source!X66</f>
        <v>4527.82</v>
      </c>
    </row>
    <row r="222" spans="1:28" x14ac:dyDescent="0.2">
      <c r="C222" s="9" t="s">
        <v>1019</v>
      </c>
      <c r="D222" s="33"/>
      <c r="E222" s="33"/>
      <c r="F222" s="33"/>
      <c r="G222" s="33" t="str">
        <f>CONCATENATE(Source!DL66,Source!FT66, "=", Source!FX66, "%")</f>
        <v>*0,9=94,5%</v>
      </c>
      <c r="H222" s="33" t="str">
        <f>CONCATENATE(Source!AT66)</f>
        <v>95</v>
      </c>
    </row>
    <row r="223" spans="1:28" x14ac:dyDescent="0.2">
      <c r="C223" s="9" t="s">
        <v>1017</v>
      </c>
      <c r="D223" s="33"/>
      <c r="E223" s="33"/>
      <c r="F223" s="33">
        <f>Source!CA66</f>
        <v>55</v>
      </c>
      <c r="G223" s="57">
        <f>(Source!AF66+Source!AE66)*Source!FY66/100</f>
        <v>73.570475000000002</v>
      </c>
      <c r="H223" s="57">
        <f>Source!Y66</f>
        <v>2240.08</v>
      </c>
    </row>
    <row r="224" spans="1:28" x14ac:dyDescent="0.2">
      <c r="C224" s="9" t="s">
        <v>1020</v>
      </c>
      <c r="D224" s="33"/>
      <c r="E224" s="33"/>
      <c r="F224" s="33"/>
      <c r="G224" s="33" t="str">
        <f>CONCATENATE(Source!DM66,Source!FU66, "=", Source!FY66, "%")</f>
        <v>*0,85=46,75%</v>
      </c>
      <c r="H224" s="33" t="str">
        <f>CONCATENATE(Source!AU66)</f>
        <v>47</v>
      </c>
    </row>
    <row r="225" spans="1:28" x14ac:dyDescent="0.2">
      <c r="C225" s="9" t="s">
        <v>1018</v>
      </c>
      <c r="D225" s="33"/>
      <c r="E225" s="33"/>
      <c r="F225" s="33"/>
      <c r="G225" s="57">
        <f>((Source!AF66+Source!AE66)*Source!FX66/100)+((Source!AF66+Source!AE66)*Source!FY66/100)+Source!AB66</f>
        <v>381.26512500000001</v>
      </c>
      <c r="H225" s="57">
        <f>Source!O66+Source!X66+Source!Y66</f>
        <v>11582.78</v>
      </c>
    </row>
    <row r="226" spans="1:28" ht="14.25" x14ac:dyDescent="0.2">
      <c r="A226" s="46">
        <v>40</v>
      </c>
      <c r="B226" s="46" t="str">
        <f>Source!E67</f>
        <v>15,1</v>
      </c>
      <c r="C226" s="46" t="str">
        <f>Source!G67</f>
        <v>Грунтовка</v>
      </c>
      <c r="D226" s="46" t="str">
        <f>Source!F67</f>
        <v>14.4.01.21</v>
      </c>
      <c r="E226" s="31" t="str">
        <f>Source!H67</f>
        <v>т</v>
      </c>
      <c r="F226" s="12">
        <f>Source!I67</f>
        <v>9.2759999999999995E-2</v>
      </c>
      <c r="G226" s="23">
        <f>Source!AB67</f>
        <v>0</v>
      </c>
      <c r="H226" s="23">
        <f>Source!O67</f>
        <v>0</v>
      </c>
      <c r="T226">
        <f>Source!O67+Source!X67+Source!Y67</f>
        <v>0</v>
      </c>
      <c r="U226">
        <f>Source!P67</f>
        <v>0</v>
      </c>
      <c r="V226">
        <f>Source!S67</f>
        <v>0</v>
      </c>
      <c r="W226">
        <f>Source!Q67</f>
        <v>0</v>
      </c>
      <c r="X226">
        <f>Source!R67</f>
        <v>0</v>
      </c>
      <c r="Y226">
        <f>Source!U67</f>
        <v>0</v>
      </c>
      <c r="Z226">
        <f>Source!V67</f>
        <v>0</v>
      </c>
      <c r="AA226">
        <f>Source!X67</f>
        <v>0</v>
      </c>
      <c r="AB226">
        <f>Source!Y67</f>
        <v>0</v>
      </c>
    </row>
    <row r="227" spans="1:28" ht="14.25" x14ac:dyDescent="0.2">
      <c r="C227" s="25" t="s">
        <v>1014</v>
      </c>
      <c r="D227" s="25">
        <f>Source!BC67</f>
        <v>6.53</v>
      </c>
      <c r="F227" s="12"/>
      <c r="G227" s="12"/>
      <c r="H227" s="12"/>
    </row>
    <row r="228" spans="1:28" ht="28.5" x14ac:dyDescent="0.2">
      <c r="A228" s="46">
        <v>41</v>
      </c>
      <c r="B228" s="46" t="str">
        <f>Source!E68</f>
        <v>15,2</v>
      </c>
      <c r="C228" s="46" t="str">
        <f>Source!G68</f>
        <v>Грунтовка: «Бетоконтакт», КНАУФ</v>
      </c>
      <c r="D228" s="46" t="str">
        <f>Source!F68</f>
        <v>14.3.01.01-0001</v>
      </c>
      <c r="E228" s="31" t="str">
        <f>Source!H68</f>
        <v>кг</v>
      </c>
      <c r="F228" s="12">
        <f>Source!I68</f>
        <v>92.759999999999991</v>
      </c>
      <c r="G228" s="23">
        <f>Source!AB68</f>
        <v>15.09</v>
      </c>
      <c r="H228" s="23">
        <f>Source!O68</f>
        <v>9140.36</v>
      </c>
      <c r="T228">
        <f>Source!O68+Source!X68+Source!Y68</f>
        <v>9140.36</v>
      </c>
      <c r="U228">
        <f>Source!P68</f>
        <v>9140.36</v>
      </c>
      <c r="V228">
        <f>Source!S68</f>
        <v>0</v>
      </c>
      <c r="W228">
        <f>Source!Q68</f>
        <v>0</v>
      </c>
      <c r="X228">
        <f>Source!R68</f>
        <v>0</v>
      </c>
      <c r="Y228">
        <f>Source!U68</f>
        <v>0</v>
      </c>
      <c r="Z228">
        <f>Source!V68</f>
        <v>0</v>
      </c>
      <c r="AA228">
        <f>Source!X68</f>
        <v>0</v>
      </c>
      <c r="AB228">
        <f>Source!Y68</f>
        <v>0</v>
      </c>
    </row>
    <row r="229" spans="1:28" ht="14.25" x14ac:dyDescent="0.2">
      <c r="C229" s="25" t="s">
        <v>1014</v>
      </c>
      <c r="D229" s="25">
        <f>Source!BC68</f>
        <v>6.53</v>
      </c>
      <c r="F229" s="12"/>
      <c r="G229" s="12"/>
      <c r="H229" s="12"/>
    </row>
    <row r="230" spans="1:28" ht="42.75" x14ac:dyDescent="0.2">
      <c r="A230" s="46">
        <v>42</v>
      </c>
      <c r="B230" s="46" t="str">
        <f>Source!E69</f>
        <v>16</v>
      </c>
      <c r="C230" s="46" t="str">
        <f>Source!G69</f>
        <v>Окраска поливинилацетатными водоэмульсионными составами улучшенная по штукатурке стен</v>
      </c>
      <c r="D230" s="46" t="str">
        <f>Source!F69</f>
        <v>15-04-005-03</v>
      </c>
      <c r="E230" s="31" t="str">
        <f>Source!H69</f>
        <v>100 м2</v>
      </c>
      <c r="F230" s="12">
        <f>Source!I69</f>
        <v>4.6379999999999999</v>
      </c>
      <c r="G230" s="23">
        <f>Source!AB69</f>
        <v>675.6</v>
      </c>
      <c r="H230" s="23">
        <f>Source!O69</f>
        <v>20461.32</v>
      </c>
      <c r="T230">
        <f>Source!O69+Source!X69+Source!Y69</f>
        <v>37097.040000000001</v>
      </c>
      <c r="U230">
        <f>Source!P69</f>
        <v>8489.2099999999991</v>
      </c>
      <c r="V230">
        <f>Source!S69</f>
        <v>11654.41</v>
      </c>
      <c r="W230">
        <f>Source!Q69</f>
        <v>317.7</v>
      </c>
      <c r="X230">
        <f>Source!R69</f>
        <v>60.88</v>
      </c>
      <c r="Y230">
        <f>Source!U69</f>
        <v>198.97019999999998</v>
      </c>
      <c r="Z230">
        <f>Source!V69</f>
        <v>0.78846000000000005</v>
      </c>
      <c r="AA230">
        <f>Source!X69</f>
        <v>11129.53</v>
      </c>
      <c r="AB230">
        <f>Source!Y69</f>
        <v>5506.19</v>
      </c>
    </row>
    <row r="231" spans="1:28" ht="14.25" x14ac:dyDescent="0.2">
      <c r="C231" s="25" t="s">
        <v>1012</v>
      </c>
      <c r="D231" s="25">
        <f>Source!BA69</f>
        <v>6.53</v>
      </c>
      <c r="F231" s="12"/>
      <c r="G231" s="12"/>
      <c r="H231" s="12"/>
    </row>
    <row r="232" spans="1:28" x14ac:dyDescent="0.2">
      <c r="C232" s="25" t="s">
        <v>1013</v>
      </c>
      <c r="D232" s="25">
        <f>Source!BB69</f>
        <v>6.53</v>
      </c>
    </row>
    <row r="233" spans="1:28" x14ac:dyDescent="0.2">
      <c r="C233" s="25" t="s">
        <v>1014</v>
      </c>
      <c r="D233" s="25">
        <f>Source!BC69</f>
        <v>6.53</v>
      </c>
    </row>
    <row r="234" spans="1:28" x14ac:dyDescent="0.2">
      <c r="C234" s="25" t="s">
        <v>1015</v>
      </c>
      <c r="D234" s="25">
        <f>Source!BS69</f>
        <v>6.53</v>
      </c>
    </row>
    <row r="235" spans="1:28" x14ac:dyDescent="0.2">
      <c r="C235" s="9" t="s">
        <v>1016</v>
      </c>
      <c r="D235" s="33"/>
      <c r="E235" s="33"/>
      <c r="F235" s="33">
        <f>Source!BZ69</f>
        <v>105</v>
      </c>
      <c r="G235" s="57">
        <f>(Source!AF69+Source!AE69)*Source!FX69/100</f>
        <v>365.54489999999998</v>
      </c>
      <c r="H235" s="57">
        <f>Source!X69</f>
        <v>11129.53</v>
      </c>
    </row>
    <row r="236" spans="1:28" x14ac:dyDescent="0.2">
      <c r="C236" s="9" t="s">
        <v>1019</v>
      </c>
      <c r="D236" s="33"/>
      <c r="E236" s="33"/>
      <c r="F236" s="33"/>
      <c r="G236" s="33" t="str">
        <f>CONCATENATE(Source!DL69,Source!FT69, "=", Source!FX69, "%")</f>
        <v>*0,9=94,5%</v>
      </c>
      <c r="H236" s="33" t="str">
        <f>CONCATENATE(Source!AT69)</f>
        <v>95</v>
      </c>
    </row>
    <row r="237" spans="1:28" x14ac:dyDescent="0.2">
      <c r="C237" s="9" t="s">
        <v>1017</v>
      </c>
      <c r="D237" s="33"/>
      <c r="E237" s="33"/>
      <c r="F237" s="33">
        <f>Source!CA69</f>
        <v>55</v>
      </c>
      <c r="G237" s="57">
        <f>(Source!AF69+Source!AE69)*Source!FY69/100</f>
        <v>180.83834999999999</v>
      </c>
      <c r="H237" s="57">
        <f>Source!Y69</f>
        <v>5506.19</v>
      </c>
    </row>
    <row r="238" spans="1:28" x14ac:dyDescent="0.2">
      <c r="C238" s="9" t="s">
        <v>1020</v>
      </c>
      <c r="D238" s="33"/>
      <c r="E238" s="33"/>
      <c r="F238" s="33"/>
      <c r="G238" s="33" t="str">
        <f>CONCATENATE(Source!DM69,Source!FU69, "=", Source!FY69, "%")</f>
        <v>*0,85=46,75%</v>
      </c>
      <c r="H238" s="33" t="str">
        <f>CONCATENATE(Source!AU69)</f>
        <v>47</v>
      </c>
    </row>
    <row r="239" spans="1:28" x14ac:dyDescent="0.2">
      <c r="C239" s="9" t="s">
        <v>1018</v>
      </c>
      <c r="D239" s="33"/>
      <c r="E239" s="33"/>
      <c r="F239" s="33"/>
      <c r="G239" s="57">
        <f>((Source!AF69+Source!AE69)*Source!FX69/100)+((Source!AF69+Source!AE69)*Source!FY69/100)+Source!AB69</f>
        <v>1221.98325</v>
      </c>
      <c r="H239" s="57">
        <f>Source!O69+Source!X69+Source!Y69</f>
        <v>37097.040000000001</v>
      </c>
    </row>
    <row r="240" spans="1:28" ht="14.25" x14ac:dyDescent="0.2">
      <c r="A240" s="46">
        <v>43</v>
      </c>
      <c r="B240" s="46" t="str">
        <f>Source!E70</f>
        <v>16,1</v>
      </c>
      <c r="C240" s="46" t="str">
        <f>Source!G70</f>
        <v>Краска водоэмульсионная</v>
      </c>
      <c r="D240" s="46" t="str">
        <f>Source!F70</f>
        <v>14.3.02.01</v>
      </c>
      <c r="E240" s="31" t="str">
        <f>Source!H70</f>
        <v>т</v>
      </c>
      <c r="F240" s="12">
        <f>Source!I70</f>
        <v>0.29219400000000001</v>
      </c>
      <c r="G240" s="23">
        <f>Source!AB70</f>
        <v>0</v>
      </c>
      <c r="H240" s="23">
        <f>Source!O70</f>
        <v>0</v>
      </c>
      <c r="T240">
        <f>Source!O70+Source!X70+Source!Y70</f>
        <v>0</v>
      </c>
      <c r="U240">
        <f>Source!P70</f>
        <v>0</v>
      </c>
      <c r="V240">
        <f>Source!S70</f>
        <v>0</v>
      </c>
      <c r="W240">
        <f>Source!Q70</f>
        <v>0</v>
      </c>
      <c r="X240">
        <f>Source!R70</f>
        <v>0</v>
      </c>
      <c r="Y240">
        <f>Source!U70</f>
        <v>0</v>
      </c>
      <c r="Z240">
        <f>Source!V70</f>
        <v>0</v>
      </c>
      <c r="AA240">
        <f>Source!X70</f>
        <v>0</v>
      </c>
      <c r="AB240">
        <f>Source!Y70</f>
        <v>0</v>
      </c>
    </row>
    <row r="241" spans="1:28" ht="14.25" x14ac:dyDescent="0.2">
      <c r="C241" s="25" t="s">
        <v>1014</v>
      </c>
      <c r="D241" s="25">
        <f>Source!BC70</f>
        <v>6.53</v>
      </c>
      <c r="F241" s="12"/>
      <c r="G241" s="12"/>
      <c r="H241" s="12"/>
    </row>
    <row r="242" spans="1:28" ht="28.5" x14ac:dyDescent="0.2">
      <c r="A242" s="46">
        <v>44</v>
      </c>
      <c r="B242" s="46" t="str">
        <f>Source!E71</f>
        <v>16,2</v>
      </c>
      <c r="C242" s="46" t="str">
        <f>Source!G71</f>
        <v>Краска водоэмульсионная для внутренних работ ВАК-15</v>
      </c>
      <c r="D242" s="46" t="str">
        <f>Source!F71</f>
        <v>14.3.02.01-0223</v>
      </c>
      <c r="E242" s="31" t="str">
        <f>Source!H71</f>
        <v>т</v>
      </c>
      <c r="F242" s="12">
        <f>Source!I71</f>
        <v>0.29219400000000001</v>
      </c>
      <c r="G242" s="23">
        <f>Source!AB71</f>
        <v>19973.669999999998</v>
      </c>
      <c r="H242" s="23">
        <f>Source!O71</f>
        <v>38110.300000000003</v>
      </c>
      <c r="T242">
        <f>Source!O71+Source!X71+Source!Y71</f>
        <v>38110.300000000003</v>
      </c>
      <c r="U242">
        <f>Source!P71</f>
        <v>38110.300000000003</v>
      </c>
      <c r="V242">
        <f>Source!S71</f>
        <v>0</v>
      </c>
      <c r="W242">
        <f>Source!Q71</f>
        <v>0</v>
      </c>
      <c r="X242">
        <f>Source!R71</f>
        <v>0</v>
      </c>
      <c r="Y242">
        <f>Source!U71</f>
        <v>0</v>
      </c>
      <c r="Z242">
        <f>Source!V71</f>
        <v>0</v>
      </c>
      <c r="AA242">
        <f>Source!X71</f>
        <v>0</v>
      </c>
      <c r="AB242">
        <f>Source!Y71</f>
        <v>0</v>
      </c>
    </row>
    <row r="243" spans="1:28" ht="14.25" x14ac:dyDescent="0.2">
      <c r="C243" s="25" t="s">
        <v>1014</v>
      </c>
      <c r="D243" s="25">
        <f>Source!BC71</f>
        <v>6.53</v>
      </c>
      <c r="F243" s="12"/>
      <c r="G243" s="12"/>
      <c r="H243" s="12"/>
    </row>
    <row r="244" spans="1:28" ht="57" x14ac:dyDescent="0.2">
      <c r="A244" s="46">
        <v>45</v>
      </c>
      <c r="B244" s="46" t="str">
        <f>Source!E72</f>
        <v>17</v>
      </c>
      <c r="C244" s="46" t="str">
        <f>Source!G72</f>
        <v>Демонтаж школьной доски: Облицовка стен по готовому каркасу щитами-картинами из древесностружечных плит фанерованных шпоном</v>
      </c>
      <c r="D244" s="46" t="str">
        <f>Source!F72</f>
        <v>15-01-049-04 прим</v>
      </c>
      <c r="E244" s="31" t="str">
        <f>Source!H72</f>
        <v>100 м2</v>
      </c>
      <c r="F244" s="12">
        <f>Source!I72</f>
        <v>0.315</v>
      </c>
      <c r="G244" s="23">
        <f>Source!AB72</f>
        <v>453.55</v>
      </c>
      <c r="H244" s="23">
        <f>Source!O72</f>
        <v>932.93</v>
      </c>
      <c r="T244">
        <f>Source!O72+Source!X72+Source!Y72</f>
        <v>2096.84</v>
      </c>
      <c r="U244">
        <f>Source!P72</f>
        <v>0</v>
      </c>
      <c r="V244">
        <f>Source!S72</f>
        <v>791.86</v>
      </c>
      <c r="W244">
        <f>Source!Q72</f>
        <v>141.07</v>
      </c>
      <c r="X244">
        <f>Source!R72</f>
        <v>27.79</v>
      </c>
      <c r="Y244">
        <f>Source!U72</f>
        <v>12.751200000000001</v>
      </c>
      <c r="Z244">
        <f>Source!V72</f>
        <v>0.35783999999999999</v>
      </c>
      <c r="AA244">
        <f>Source!X72</f>
        <v>778.67</v>
      </c>
      <c r="AB244">
        <f>Source!Y72</f>
        <v>385.24</v>
      </c>
    </row>
    <row r="245" spans="1:28" ht="14.25" x14ac:dyDescent="0.2">
      <c r="C245" s="25" t="s">
        <v>1012</v>
      </c>
      <c r="D245" s="25">
        <f>Source!BA72</f>
        <v>6.53</v>
      </c>
      <c r="F245" s="12"/>
      <c r="G245" s="12"/>
      <c r="H245" s="12"/>
    </row>
    <row r="246" spans="1:28" x14ac:dyDescent="0.2">
      <c r="C246" s="25" t="s">
        <v>1013</v>
      </c>
      <c r="D246" s="25">
        <f>Source!BB72</f>
        <v>6.53</v>
      </c>
    </row>
    <row r="247" spans="1:28" x14ac:dyDescent="0.2">
      <c r="C247" s="25" t="s">
        <v>1014</v>
      </c>
      <c r="D247" s="25">
        <f>Source!BC72</f>
        <v>6.53</v>
      </c>
    </row>
    <row r="248" spans="1:28" x14ac:dyDescent="0.2">
      <c r="C248" s="25" t="s">
        <v>1015</v>
      </c>
      <c r="D248" s="25">
        <f>Source!BS72</f>
        <v>6.53</v>
      </c>
    </row>
    <row r="249" spans="1:28" x14ac:dyDescent="0.2">
      <c r="C249" s="9" t="s">
        <v>1016</v>
      </c>
      <c r="D249" s="33"/>
      <c r="E249" s="33"/>
      <c r="F249" s="33">
        <f>Source!BZ72</f>
        <v>105</v>
      </c>
      <c r="G249" s="57">
        <f>(Source!AF72+Source!AE72)*Source!FX72/100</f>
        <v>376.56360000000001</v>
      </c>
      <c r="H249" s="57">
        <f>Source!X72</f>
        <v>778.67</v>
      </c>
    </row>
    <row r="250" spans="1:28" x14ac:dyDescent="0.2">
      <c r="C250" s="9" t="s">
        <v>1019</v>
      </c>
      <c r="D250" s="33"/>
      <c r="E250" s="33"/>
      <c r="F250" s="33"/>
      <c r="G250" s="33" t="str">
        <f>CONCATENATE(Source!DL72,Source!FT72, "=", Source!FX72, "%")</f>
        <v>*0,9=94,5%</v>
      </c>
      <c r="H250" s="33" t="str">
        <f>CONCATENATE(Source!AT72)</f>
        <v>95</v>
      </c>
    </row>
    <row r="251" spans="1:28" x14ac:dyDescent="0.2">
      <c r="C251" s="9" t="s">
        <v>1017</v>
      </c>
      <c r="D251" s="33"/>
      <c r="E251" s="33"/>
      <c r="F251" s="33">
        <f>Source!CA72</f>
        <v>55</v>
      </c>
      <c r="G251" s="57">
        <f>(Source!AF72+Source!AE72)*Source!FY72/100</f>
        <v>186.28940000000003</v>
      </c>
      <c r="H251" s="57">
        <f>Source!Y72</f>
        <v>385.24</v>
      </c>
    </row>
    <row r="252" spans="1:28" x14ac:dyDescent="0.2">
      <c r="C252" s="9" t="s">
        <v>1020</v>
      </c>
      <c r="D252" s="33"/>
      <c r="E252" s="33"/>
      <c r="F252" s="33"/>
      <c r="G252" s="33" t="str">
        <f>CONCATENATE(Source!DM72,Source!FU72, "=", Source!FY72, "%")</f>
        <v>*0,85=46,75%</v>
      </c>
      <c r="H252" s="33" t="str">
        <f>CONCATENATE(Source!AU72)</f>
        <v>47</v>
      </c>
    </row>
    <row r="253" spans="1:28" x14ac:dyDescent="0.2">
      <c r="C253" s="9" t="s">
        <v>1018</v>
      </c>
      <c r="D253" s="33"/>
      <c r="E253" s="33"/>
      <c r="F253" s="33"/>
      <c r="G253" s="57">
        <f>((Source!AF72+Source!AE72)*Source!FX72/100)+((Source!AF72+Source!AE72)*Source!FY72/100)+Source!AB72</f>
        <v>1016.403</v>
      </c>
      <c r="H253" s="57">
        <f>Source!O72+Source!X72+Source!Y72</f>
        <v>2096.84</v>
      </c>
    </row>
    <row r="254" spans="1:28" ht="85.5" x14ac:dyDescent="0.2">
      <c r="A254" s="46">
        <v>46</v>
      </c>
      <c r="B254" s="46" t="str">
        <f>Source!E73</f>
        <v>18</v>
      </c>
      <c r="C254" s="46" t="str">
        <f>Source!G73</f>
        <v>Установка  школьной доски: Облицовка стен по готовому каркасу щитами-картинами из древесностружечных плит фанерованных шпоном (без стоимости материала)</v>
      </c>
      <c r="D254" s="46" t="str">
        <f>Source!F73</f>
        <v>15-01-049-04 прим</v>
      </c>
      <c r="E254" s="31" t="str">
        <f>Source!H73</f>
        <v>100 м2</v>
      </c>
      <c r="F254" s="12">
        <f>Source!I73</f>
        <v>0.315</v>
      </c>
      <c r="G254" s="23">
        <f>Source!AB73</f>
        <v>453.55</v>
      </c>
      <c r="H254" s="23">
        <f>Source!O73</f>
        <v>932.93</v>
      </c>
      <c r="T254">
        <f>Source!O73+Source!X73+Source!Y73</f>
        <v>2096.84</v>
      </c>
      <c r="U254">
        <f>Source!P73</f>
        <v>0</v>
      </c>
      <c r="V254">
        <f>Source!S73</f>
        <v>791.86</v>
      </c>
      <c r="W254">
        <f>Source!Q73</f>
        <v>141.07</v>
      </c>
      <c r="X254">
        <f>Source!R73</f>
        <v>27.79</v>
      </c>
      <c r="Y254">
        <f>Source!U73</f>
        <v>12.751200000000001</v>
      </c>
      <c r="Z254">
        <f>Source!V73</f>
        <v>0.35783999999999999</v>
      </c>
      <c r="AA254">
        <f>Source!X73</f>
        <v>778.67</v>
      </c>
      <c r="AB254">
        <f>Source!Y73</f>
        <v>385.24</v>
      </c>
    </row>
    <row r="255" spans="1:28" ht="14.25" x14ac:dyDescent="0.2">
      <c r="C255" s="25" t="s">
        <v>1012</v>
      </c>
      <c r="D255" s="25">
        <f>Source!BA73</f>
        <v>6.53</v>
      </c>
      <c r="F255" s="12"/>
      <c r="G255" s="12"/>
      <c r="H255" s="12"/>
    </row>
    <row r="256" spans="1:28" x14ac:dyDescent="0.2">
      <c r="C256" s="25" t="s">
        <v>1013</v>
      </c>
      <c r="D256" s="25">
        <f>Source!BB73</f>
        <v>6.53</v>
      </c>
    </row>
    <row r="257" spans="1:28" x14ac:dyDescent="0.2">
      <c r="C257" s="25" t="s">
        <v>1014</v>
      </c>
      <c r="D257" s="25">
        <f>Source!BC73</f>
        <v>6.53</v>
      </c>
    </row>
    <row r="258" spans="1:28" x14ac:dyDescent="0.2">
      <c r="C258" s="25" t="s">
        <v>1015</v>
      </c>
      <c r="D258" s="25">
        <f>Source!BS73</f>
        <v>6.53</v>
      </c>
    </row>
    <row r="259" spans="1:28" x14ac:dyDescent="0.2">
      <c r="C259" s="9" t="s">
        <v>1016</v>
      </c>
      <c r="D259" s="33"/>
      <c r="E259" s="33"/>
      <c r="F259" s="33">
        <f>Source!BZ73</f>
        <v>105</v>
      </c>
      <c r="G259" s="57">
        <f>(Source!AF73+Source!AE73)*Source!FX73/100</f>
        <v>376.56360000000001</v>
      </c>
      <c r="H259" s="57">
        <f>Source!X73</f>
        <v>778.67</v>
      </c>
    </row>
    <row r="260" spans="1:28" x14ac:dyDescent="0.2">
      <c r="C260" s="9" t="s">
        <v>1019</v>
      </c>
      <c r="D260" s="33"/>
      <c r="E260" s="33"/>
      <c r="F260" s="33"/>
      <c r="G260" s="33" t="str">
        <f>CONCATENATE(Source!DL73,Source!FT73, "=", Source!FX73, "%")</f>
        <v>*0,9=94,5%</v>
      </c>
      <c r="H260" s="33" t="str">
        <f>CONCATENATE(Source!AT73)</f>
        <v>95</v>
      </c>
    </row>
    <row r="261" spans="1:28" x14ac:dyDescent="0.2">
      <c r="C261" s="9" t="s">
        <v>1017</v>
      </c>
      <c r="D261" s="33"/>
      <c r="E261" s="33"/>
      <c r="F261" s="33">
        <f>Source!CA73</f>
        <v>55</v>
      </c>
      <c r="G261" s="57">
        <f>(Source!AF73+Source!AE73)*Source!FY73/100</f>
        <v>186.28940000000003</v>
      </c>
      <c r="H261" s="57">
        <f>Source!Y73</f>
        <v>385.24</v>
      </c>
    </row>
    <row r="262" spans="1:28" x14ac:dyDescent="0.2">
      <c r="C262" s="9" t="s">
        <v>1020</v>
      </c>
      <c r="D262" s="33"/>
      <c r="E262" s="33"/>
      <c r="F262" s="33"/>
      <c r="G262" s="33" t="str">
        <f>CONCATENATE(Source!DM73,Source!FU73, "=", Source!FY73, "%")</f>
        <v>*0,85=46,75%</v>
      </c>
      <c r="H262" s="33" t="str">
        <f>CONCATENATE(Source!AU73)</f>
        <v>47</v>
      </c>
    </row>
    <row r="263" spans="1:28" x14ac:dyDescent="0.2">
      <c r="C263" s="9" t="s">
        <v>1018</v>
      </c>
      <c r="D263" s="33"/>
      <c r="E263" s="33"/>
      <c r="F263" s="33"/>
      <c r="G263" s="57">
        <f>((Source!AF73+Source!AE73)*Source!FX73/100)+((Source!AF73+Source!AE73)*Source!FY73/100)+Source!AB73</f>
        <v>1016.403</v>
      </c>
      <c r="H263" s="57">
        <f>Source!O73+Source!X73+Source!Y73</f>
        <v>2096.84</v>
      </c>
    </row>
    <row r="264" spans="1:28" ht="42.75" x14ac:dyDescent="0.2">
      <c r="A264" s="46">
        <v>47</v>
      </c>
      <c r="B264" s="46" t="str">
        <f>Source!E74</f>
        <v>19</v>
      </c>
      <c r="C264" s="46" t="str">
        <f>Source!G74</f>
        <v>Демонтаж :Установка гарнитуры туалетной: вешалок, подстаканников, поручней для ванн и т.д.</v>
      </c>
      <c r="D264" s="46" t="str">
        <f>Source!F74</f>
        <v>17-01-002-04</v>
      </c>
      <c r="E264" s="31" t="str">
        <f>Source!H74</f>
        <v>10 ШТ</v>
      </c>
      <c r="F264" s="12">
        <f>Source!I74</f>
        <v>0.7</v>
      </c>
      <c r="G264" s="23">
        <f>Source!AB74</f>
        <v>10.78</v>
      </c>
      <c r="H264" s="23">
        <f>Source!O74</f>
        <v>49.28</v>
      </c>
      <c r="T264">
        <f>Source!O74+Source!X74+Source!Y74</f>
        <v>140.94</v>
      </c>
      <c r="U264">
        <f>Source!P74</f>
        <v>0</v>
      </c>
      <c r="V264">
        <f>Source!S74</f>
        <v>49.28</v>
      </c>
      <c r="W264">
        <f>Source!Q74</f>
        <v>0</v>
      </c>
      <c r="X264">
        <f>Source!R74</f>
        <v>0</v>
      </c>
      <c r="Y264">
        <f>Source!U74</f>
        <v>0.78399999999999992</v>
      </c>
      <c r="Z264">
        <f>Source!V74</f>
        <v>0</v>
      </c>
      <c r="AA264">
        <f>Source!X74</f>
        <v>56.67</v>
      </c>
      <c r="AB264">
        <f>Source!Y74</f>
        <v>34.99</v>
      </c>
    </row>
    <row r="265" spans="1:28" ht="14.25" x14ac:dyDescent="0.2">
      <c r="C265" s="25" t="s">
        <v>1012</v>
      </c>
      <c r="D265" s="25">
        <f>Source!BA74</f>
        <v>6.53</v>
      </c>
      <c r="F265" s="12"/>
      <c r="G265" s="12"/>
      <c r="H265" s="12"/>
    </row>
    <row r="266" spans="1:28" x14ac:dyDescent="0.2">
      <c r="C266" s="25" t="s">
        <v>1013</v>
      </c>
      <c r="D266" s="25">
        <f>Source!BB74</f>
        <v>6.53</v>
      </c>
    </row>
    <row r="267" spans="1:28" x14ac:dyDescent="0.2">
      <c r="C267" s="25" t="s">
        <v>1014</v>
      </c>
      <c r="D267" s="25">
        <f>Source!BC74</f>
        <v>6.53</v>
      </c>
    </row>
    <row r="268" spans="1:28" x14ac:dyDescent="0.2">
      <c r="C268" s="25" t="s">
        <v>1015</v>
      </c>
      <c r="D268" s="25">
        <f>Source!BS74</f>
        <v>6.53</v>
      </c>
    </row>
    <row r="269" spans="1:28" x14ac:dyDescent="0.2">
      <c r="C269" s="9" t="s">
        <v>1016</v>
      </c>
      <c r="D269" s="33"/>
      <c r="E269" s="33"/>
      <c r="F269" s="33">
        <f>Source!BZ74</f>
        <v>128</v>
      </c>
      <c r="G269" s="57">
        <f>(Source!AF74+Source!AE74)*Source!FX74/100</f>
        <v>12.418559999999999</v>
      </c>
      <c r="H269" s="57">
        <f>Source!X74</f>
        <v>56.67</v>
      </c>
    </row>
    <row r="270" spans="1:28" x14ac:dyDescent="0.2">
      <c r="C270" s="9" t="s">
        <v>1019</v>
      </c>
      <c r="D270" s="33"/>
      <c r="E270" s="33"/>
      <c r="F270" s="33"/>
      <c r="G270" s="33" t="str">
        <f>CONCATENATE(Source!DL74,Source!FT74, "=", Source!FX74, "%")</f>
        <v>*0,9=115,2%</v>
      </c>
      <c r="H270" s="33" t="str">
        <f>CONCATENATE(Source!AT74)</f>
        <v>115</v>
      </c>
    </row>
    <row r="271" spans="1:28" x14ac:dyDescent="0.2">
      <c r="C271" s="9" t="s">
        <v>1017</v>
      </c>
      <c r="D271" s="33"/>
      <c r="E271" s="33"/>
      <c r="F271" s="33">
        <f>Source!CA74</f>
        <v>83</v>
      </c>
      <c r="G271" s="57">
        <f>(Source!AF74+Source!AE74)*Source!FY74/100</f>
        <v>7.6052899999999992</v>
      </c>
      <c r="H271" s="57">
        <f>Source!Y74</f>
        <v>34.99</v>
      </c>
    </row>
    <row r="272" spans="1:28" x14ac:dyDescent="0.2">
      <c r="C272" s="9" t="s">
        <v>1020</v>
      </c>
      <c r="D272" s="33"/>
      <c r="E272" s="33"/>
      <c r="F272" s="33"/>
      <c r="G272" s="33" t="str">
        <f>CONCATENATE(Source!DM74,Source!FU74, "=", Source!FY74, "%")</f>
        <v>*0,85=70,55%</v>
      </c>
      <c r="H272" s="33" t="str">
        <f>CONCATENATE(Source!AU74)</f>
        <v>71</v>
      </c>
    </row>
    <row r="273" spans="1:28" x14ac:dyDescent="0.2">
      <c r="C273" s="9" t="s">
        <v>1018</v>
      </c>
      <c r="D273" s="33"/>
      <c r="E273" s="33"/>
      <c r="F273" s="33"/>
      <c r="G273" s="57">
        <f>((Source!AF74+Source!AE74)*Source!FX74/100)+((Source!AF74+Source!AE74)*Source!FY74/100)+Source!AB74</f>
        <v>30.803849999999997</v>
      </c>
      <c r="H273" s="57">
        <f>Source!O74+Source!X74+Source!Y74</f>
        <v>140.94</v>
      </c>
    </row>
    <row r="274" spans="1:28" ht="42.75" x14ac:dyDescent="0.2">
      <c r="A274" s="46">
        <v>48</v>
      </c>
      <c r="B274" s="46" t="str">
        <f>Source!E75</f>
        <v>20</v>
      </c>
      <c r="C274" s="46" t="str">
        <f>Source!G75</f>
        <v>Установка гарнитуры туалетной: вешалок, подстаканников, поручней для ванн и т.д.</v>
      </c>
      <c r="D274" s="46" t="str">
        <f>Source!F75</f>
        <v>17-01-002-04 прим.</v>
      </c>
      <c r="E274" s="31" t="str">
        <f>Source!H75</f>
        <v>10 ШТ</v>
      </c>
      <c r="F274" s="12">
        <f>Source!I75</f>
        <v>0.7</v>
      </c>
      <c r="G274" s="23">
        <f>Source!AB75</f>
        <v>27.54</v>
      </c>
      <c r="H274" s="23">
        <f>Source!O75</f>
        <v>125.88</v>
      </c>
      <c r="T274">
        <f>Source!O75+Source!X75+Source!Y75</f>
        <v>354.92</v>
      </c>
      <c r="U274">
        <f>Source!P75</f>
        <v>2.74</v>
      </c>
      <c r="V274">
        <f>Source!S75</f>
        <v>123.14</v>
      </c>
      <c r="W274">
        <f>Source!Q75</f>
        <v>0</v>
      </c>
      <c r="X274">
        <f>Source!R75</f>
        <v>0</v>
      </c>
      <c r="Y274">
        <f>Source!U75</f>
        <v>1.9599999999999997</v>
      </c>
      <c r="Z274">
        <f>Source!V75</f>
        <v>0</v>
      </c>
      <c r="AA274">
        <f>Source!X75</f>
        <v>141.61000000000001</v>
      </c>
      <c r="AB274">
        <f>Source!Y75</f>
        <v>87.43</v>
      </c>
    </row>
    <row r="275" spans="1:28" ht="14.25" x14ac:dyDescent="0.2">
      <c r="C275" s="25" t="s">
        <v>1012</v>
      </c>
      <c r="D275" s="25">
        <f>Source!BA75</f>
        <v>6.53</v>
      </c>
      <c r="F275" s="12"/>
      <c r="G275" s="12"/>
      <c r="H275" s="12"/>
    </row>
    <row r="276" spans="1:28" x14ac:dyDescent="0.2">
      <c r="C276" s="25" t="s">
        <v>1013</v>
      </c>
      <c r="D276" s="25">
        <f>Source!BB75</f>
        <v>6.53</v>
      </c>
    </row>
    <row r="277" spans="1:28" x14ac:dyDescent="0.2">
      <c r="C277" s="25" t="s">
        <v>1014</v>
      </c>
      <c r="D277" s="25">
        <f>Source!BC75</f>
        <v>6.53</v>
      </c>
    </row>
    <row r="278" spans="1:28" x14ac:dyDescent="0.2">
      <c r="C278" s="25" t="s">
        <v>1015</v>
      </c>
      <c r="D278" s="25">
        <f>Source!BS75</f>
        <v>6.53</v>
      </c>
    </row>
    <row r="279" spans="1:28" x14ac:dyDescent="0.2">
      <c r="C279" s="9" t="s">
        <v>1016</v>
      </c>
      <c r="D279" s="33"/>
      <c r="E279" s="33"/>
      <c r="F279" s="33">
        <f>Source!BZ75</f>
        <v>128</v>
      </c>
      <c r="G279" s="57">
        <f>(Source!AF75+Source!AE75)*Source!FX75/100</f>
        <v>31.034880000000001</v>
      </c>
      <c r="H279" s="57">
        <f>Source!X75</f>
        <v>141.61000000000001</v>
      </c>
    </row>
    <row r="280" spans="1:28" x14ac:dyDescent="0.2">
      <c r="C280" s="9" t="s">
        <v>1019</v>
      </c>
      <c r="D280" s="33"/>
      <c r="E280" s="33"/>
      <c r="F280" s="33"/>
      <c r="G280" s="33" t="str">
        <f>CONCATENATE(Source!DL75,Source!FT75, "=", Source!FX75, "%")</f>
        <v>*0,9=115,2%</v>
      </c>
      <c r="H280" s="33" t="str">
        <f>CONCATENATE(Source!AT75)</f>
        <v>115</v>
      </c>
    </row>
    <row r="281" spans="1:28" x14ac:dyDescent="0.2">
      <c r="C281" s="9" t="s">
        <v>1017</v>
      </c>
      <c r="D281" s="33"/>
      <c r="E281" s="33"/>
      <c r="F281" s="33">
        <f>Source!CA75</f>
        <v>83</v>
      </c>
      <c r="G281" s="57">
        <f>(Source!AF75+Source!AE75)*Source!FY75/100</f>
        <v>19.006170000000001</v>
      </c>
      <c r="H281" s="57">
        <f>Source!Y75</f>
        <v>87.43</v>
      </c>
    </row>
    <row r="282" spans="1:28" x14ac:dyDescent="0.2">
      <c r="C282" s="9" t="s">
        <v>1020</v>
      </c>
      <c r="D282" s="33"/>
      <c r="E282" s="33"/>
      <c r="F282" s="33"/>
      <c r="G282" s="33" t="str">
        <f>CONCATENATE(Source!DM75,Source!FU75, "=", Source!FY75, "%")</f>
        <v>*0,85=70,55%</v>
      </c>
      <c r="H282" s="33" t="str">
        <f>CONCATENATE(Source!AU75)</f>
        <v>71</v>
      </c>
    </row>
    <row r="283" spans="1:28" x14ac:dyDescent="0.2">
      <c r="C283" s="9" t="s">
        <v>1018</v>
      </c>
      <c r="D283" s="33"/>
      <c r="E283" s="33"/>
      <c r="F283" s="33"/>
      <c r="G283" s="57">
        <f>((Source!AF75+Source!AE75)*Source!FX75/100)+((Source!AF75+Source!AE75)*Source!FY75/100)+Source!AB75</f>
        <v>77.581050000000005</v>
      </c>
      <c r="H283" s="57">
        <f>Source!O75+Source!X75+Source!Y75</f>
        <v>354.92</v>
      </c>
    </row>
    <row r="284" spans="1:28" ht="42.75" x14ac:dyDescent="0.2">
      <c r="A284" s="46">
        <v>49</v>
      </c>
      <c r="B284" s="46" t="str">
        <f>Source!E76</f>
        <v>20,1</v>
      </c>
      <c r="C284" s="46" t="str">
        <f>Source!G76</f>
        <v>Вешалки-крючки однорожковые В-К стальные с гальванопокрытием 20 крючков прим.</v>
      </c>
      <c r="D284" s="46" t="str">
        <f>Source!F76</f>
        <v>18.2.06.03-0001</v>
      </c>
      <c r="E284" s="31" t="str">
        <f>Source!H76</f>
        <v>шт.</v>
      </c>
      <c r="F284" s="12">
        <f>Source!I76</f>
        <v>1.75</v>
      </c>
      <c r="G284" s="23">
        <f>Source!AB76</f>
        <v>3.74</v>
      </c>
      <c r="H284" s="23">
        <f>Source!O76</f>
        <v>42.74</v>
      </c>
      <c r="T284">
        <f>Source!O76+Source!X76+Source!Y76</f>
        <v>42.74</v>
      </c>
      <c r="U284">
        <f>Source!P76</f>
        <v>42.74</v>
      </c>
      <c r="V284">
        <f>Source!S76</f>
        <v>0</v>
      </c>
      <c r="W284">
        <f>Source!Q76</f>
        <v>0</v>
      </c>
      <c r="X284">
        <f>Source!R76</f>
        <v>0</v>
      </c>
      <c r="Y284">
        <f>Source!U76</f>
        <v>0</v>
      </c>
      <c r="Z284">
        <f>Source!V76</f>
        <v>0</v>
      </c>
      <c r="AA284">
        <f>Source!X76</f>
        <v>0</v>
      </c>
      <c r="AB284">
        <f>Source!Y76</f>
        <v>0</v>
      </c>
    </row>
    <row r="285" spans="1:28" ht="14.25" x14ac:dyDescent="0.2">
      <c r="C285" s="25" t="s">
        <v>1014</v>
      </c>
      <c r="D285" s="25">
        <f>Source!BC76</f>
        <v>6.53</v>
      </c>
      <c r="F285" s="12"/>
      <c r="G285" s="12"/>
      <c r="H285" s="12"/>
    </row>
    <row r="286" spans="1:28" ht="14.25" x14ac:dyDescent="0.2">
      <c r="A286" s="46">
        <v>50</v>
      </c>
      <c r="B286" s="46" t="str">
        <f>Source!E77</f>
        <v>21</v>
      </c>
      <c r="C286" s="46" t="str">
        <f>Source!G77</f>
        <v>Ремонт оконных блоков</v>
      </c>
      <c r="D286" s="46" t="str">
        <f>Source!F77</f>
        <v>56-4-1</v>
      </c>
      <c r="E286" s="31" t="str">
        <f>Source!H77</f>
        <v>100 ШТ</v>
      </c>
      <c r="F286" s="12">
        <f>Source!I77</f>
        <v>0.1</v>
      </c>
      <c r="G286" s="23">
        <f>Source!AB77</f>
        <v>6411.01</v>
      </c>
      <c r="H286" s="23">
        <f>Source!O77</f>
        <v>4186.3900000000003</v>
      </c>
      <c r="T286">
        <f>Source!O77+Source!X77+Source!Y77</f>
        <v>8494.82</v>
      </c>
      <c r="U286">
        <f>Source!P77</f>
        <v>1189.8399999999999</v>
      </c>
      <c r="V286">
        <f>Source!S77</f>
        <v>2990.97</v>
      </c>
      <c r="W286">
        <f>Source!Q77</f>
        <v>5.58</v>
      </c>
      <c r="X286">
        <f>Source!R77</f>
        <v>0.99</v>
      </c>
      <c r="Y286">
        <f>Source!U77</f>
        <v>50.5</v>
      </c>
      <c r="Z286">
        <f>Source!V77</f>
        <v>1.3000000000000001E-2</v>
      </c>
      <c r="AA286">
        <f>Source!X77</f>
        <v>2453.41</v>
      </c>
      <c r="AB286">
        <f>Source!Y77</f>
        <v>1855.02</v>
      </c>
    </row>
    <row r="287" spans="1:28" ht="14.25" x14ac:dyDescent="0.2">
      <c r="C287" s="25" t="s">
        <v>1012</v>
      </c>
      <c r="D287" s="25">
        <f>Source!BA77</f>
        <v>6.53</v>
      </c>
      <c r="F287" s="12"/>
      <c r="G287" s="12"/>
      <c r="H287" s="12"/>
    </row>
    <row r="288" spans="1:28" x14ac:dyDescent="0.2">
      <c r="C288" s="25" t="s">
        <v>1013</v>
      </c>
      <c r="D288" s="25">
        <f>Source!BB77</f>
        <v>6.53</v>
      </c>
    </row>
    <row r="289" spans="1:28" x14ac:dyDescent="0.2">
      <c r="C289" s="25" t="s">
        <v>1014</v>
      </c>
      <c r="D289" s="25">
        <f>Source!BC77</f>
        <v>6.53</v>
      </c>
    </row>
    <row r="290" spans="1:28" x14ac:dyDescent="0.2">
      <c r="C290" s="25" t="s">
        <v>1015</v>
      </c>
      <c r="D290" s="25">
        <f>Source!BS77</f>
        <v>6.53</v>
      </c>
    </row>
    <row r="291" spans="1:28" x14ac:dyDescent="0.2">
      <c r="C291" s="9" t="s">
        <v>1016</v>
      </c>
      <c r="D291" s="33"/>
      <c r="E291" s="33"/>
      <c r="F291" s="33">
        <f>Source!BZ77</f>
        <v>82</v>
      </c>
      <c r="G291" s="57">
        <f>(Source!AF77+Source!AE77)*Source!FX77/100</f>
        <v>3757.1252000000004</v>
      </c>
      <c r="H291" s="57">
        <f>Source!X77</f>
        <v>2453.41</v>
      </c>
    </row>
    <row r="292" spans="1:28" x14ac:dyDescent="0.2">
      <c r="C292" s="9" t="s">
        <v>1017</v>
      </c>
      <c r="D292" s="33"/>
      <c r="E292" s="33"/>
      <c r="F292" s="33">
        <f>Source!CA77</f>
        <v>62</v>
      </c>
      <c r="G292" s="57">
        <f>(Source!AF77+Source!AE77)*Source!FY77/100</f>
        <v>2840.7532000000006</v>
      </c>
      <c r="H292" s="57">
        <f>Source!Y77</f>
        <v>1855.02</v>
      </c>
    </row>
    <row r="293" spans="1:28" x14ac:dyDescent="0.2">
      <c r="C293" s="9" t="s">
        <v>1018</v>
      </c>
      <c r="D293" s="33"/>
      <c r="E293" s="33"/>
      <c r="F293" s="33"/>
      <c r="G293" s="57">
        <f>((Source!AF77+Source!AE77)*Source!FX77/100)+((Source!AF77+Source!AE77)*Source!FY77/100)+Source!AB77</f>
        <v>13008.888400000002</v>
      </c>
      <c r="H293" s="57">
        <f>Source!O77+Source!X77+Source!Y77</f>
        <v>8494.82</v>
      </c>
    </row>
    <row r="294" spans="1:28" ht="28.5" x14ac:dyDescent="0.2">
      <c r="A294" s="46">
        <v>51</v>
      </c>
      <c r="B294" s="46" t="str">
        <f>Source!E78</f>
        <v>21,1</v>
      </c>
      <c r="C294" s="46" t="str">
        <f>Source!G78</f>
        <v>Прокладки уплотнительные, Д=40 мм</v>
      </c>
      <c r="D294" s="46" t="str">
        <f>Source!F78</f>
        <v>01.7.19.06-0005</v>
      </c>
      <c r="E294" s="31" t="str">
        <f>Source!H78</f>
        <v>м</v>
      </c>
      <c r="F294" s="12">
        <f>Source!I78</f>
        <v>10</v>
      </c>
      <c r="G294" s="23">
        <f>Source!AB78</f>
        <v>15.41</v>
      </c>
      <c r="H294" s="23">
        <f>Source!O78</f>
        <v>1006.27</v>
      </c>
      <c r="T294">
        <f>Source!O78+Source!X78+Source!Y78</f>
        <v>1006.27</v>
      </c>
      <c r="U294">
        <f>Source!P78</f>
        <v>1006.27</v>
      </c>
      <c r="V294">
        <f>Source!S78</f>
        <v>0</v>
      </c>
      <c r="W294">
        <f>Source!Q78</f>
        <v>0</v>
      </c>
      <c r="X294">
        <f>Source!R78</f>
        <v>0</v>
      </c>
      <c r="Y294">
        <f>Source!U78</f>
        <v>0</v>
      </c>
      <c r="Z294">
        <f>Source!V78</f>
        <v>0</v>
      </c>
      <c r="AA294">
        <f>Source!X78</f>
        <v>0</v>
      </c>
      <c r="AB294">
        <f>Source!Y78</f>
        <v>0</v>
      </c>
    </row>
    <row r="295" spans="1:28" ht="14.25" x14ac:dyDescent="0.2">
      <c r="C295" s="25" t="s">
        <v>1014</v>
      </c>
      <c r="D295" s="25">
        <f>Source!BC78</f>
        <v>6.53</v>
      </c>
      <c r="F295" s="12"/>
      <c r="G295" s="12"/>
      <c r="H295" s="12"/>
    </row>
    <row r="296" spans="1:28" ht="28.5" x14ac:dyDescent="0.2">
      <c r="A296" s="46">
        <v>52</v>
      </c>
      <c r="B296" s="46" t="str">
        <f>Source!E79</f>
        <v>22</v>
      </c>
      <c r="C296" s="46" t="str">
        <f>Source!G79</f>
        <v>Затаривание строительного мусора в мешки</v>
      </c>
      <c r="D296" s="46" t="str">
        <f>Source!F79</f>
        <v>69-15-1</v>
      </c>
      <c r="E296" s="31" t="str">
        <f>Source!H79</f>
        <v>т</v>
      </c>
      <c r="F296" s="12">
        <f>Source!I79</f>
        <v>1.5</v>
      </c>
      <c r="G296" s="23">
        <f>Source!AB79</f>
        <v>23.81</v>
      </c>
      <c r="H296" s="23">
        <f>Source!O79</f>
        <v>233.22</v>
      </c>
      <c r="T296">
        <f>Source!O79+Source!X79+Source!Y79</f>
        <v>326.12</v>
      </c>
      <c r="U296">
        <f>Source!P79</f>
        <v>160.63999999999999</v>
      </c>
      <c r="V296">
        <f>Source!S79</f>
        <v>72.58</v>
      </c>
      <c r="W296">
        <f>Source!Q79</f>
        <v>0</v>
      </c>
      <c r="X296">
        <f>Source!R79</f>
        <v>0</v>
      </c>
      <c r="Y296">
        <f>Source!U79</f>
        <v>1.5449999999999999</v>
      </c>
      <c r="Z296">
        <f>Source!V79</f>
        <v>0</v>
      </c>
      <c r="AA296">
        <f>Source!X79</f>
        <v>56.61</v>
      </c>
      <c r="AB296">
        <f>Source!Y79</f>
        <v>36.29</v>
      </c>
    </row>
    <row r="297" spans="1:28" ht="14.25" x14ac:dyDescent="0.2">
      <c r="C297" s="25" t="s">
        <v>1012</v>
      </c>
      <c r="D297" s="25">
        <f>Source!BA79</f>
        <v>6.53</v>
      </c>
      <c r="F297" s="12"/>
      <c r="G297" s="12"/>
      <c r="H297" s="12"/>
    </row>
    <row r="298" spans="1:28" x14ac:dyDescent="0.2">
      <c r="C298" s="25" t="s">
        <v>1013</v>
      </c>
      <c r="D298" s="25">
        <f>Source!BB79</f>
        <v>6.53</v>
      </c>
    </row>
    <row r="299" spans="1:28" x14ac:dyDescent="0.2">
      <c r="C299" s="25" t="s">
        <v>1014</v>
      </c>
      <c r="D299" s="25">
        <f>Source!BC79</f>
        <v>6.53</v>
      </c>
    </row>
    <row r="300" spans="1:28" x14ac:dyDescent="0.2">
      <c r="C300" s="25" t="s">
        <v>1015</v>
      </c>
      <c r="D300" s="25">
        <f>Source!BS79</f>
        <v>6.53</v>
      </c>
    </row>
    <row r="301" spans="1:28" x14ac:dyDescent="0.2">
      <c r="C301" s="9" t="s">
        <v>1016</v>
      </c>
      <c r="D301" s="33"/>
      <c r="E301" s="33"/>
      <c r="F301" s="33">
        <f>Source!BZ79</f>
        <v>78</v>
      </c>
      <c r="G301" s="57">
        <f>(Source!AF79+Source!AE79)*Source!FX79/100</f>
        <v>5.7797999999999998</v>
      </c>
      <c r="H301" s="57">
        <f>Source!X79</f>
        <v>56.61</v>
      </c>
    </row>
    <row r="302" spans="1:28" x14ac:dyDescent="0.2">
      <c r="C302" s="9" t="s">
        <v>1017</v>
      </c>
      <c r="D302" s="33"/>
      <c r="E302" s="33"/>
      <c r="F302" s="33">
        <f>Source!CA79</f>
        <v>50</v>
      </c>
      <c r="G302" s="57">
        <f>(Source!AF79+Source!AE79)*Source!FY79/100</f>
        <v>3.7050000000000001</v>
      </c>
      <c r="H302" s="57">
        <f>Source!Y79</f>
        <v>36.29</v>
      </c>
    </row>
    <row r="303" spans="1:28" x14ac:dyDescent="0.2">
      <c r="C303" s="9" t="s">
        <v>1018</v>
      </c>
      <c r="D303" s="33"/>
      <c r="E303" s="33"/>
      <c r="F303" s="33"/>
      <c r="G303" s="57">
        <f>((Source!AF79+Source!AE79)*Source!FX79/100)+((Source!AF79+Source!AE79)*Source!FY79/100)+Source!AB79</f>
        <v>33.294799999999995</v>
      </c>
      <c r="H303" s="57">
        <f>Source!O79+Source!X79+Source!Y79</f>
        <v>326.12</v>
      </c>
    </row>
    <row r="304" spans="1:28" ht="42.75" x14ac:dyDescent="0.2">
      <c r="A304" s="46">
        <v>53</v>
      </c>
      <c r="B304" s="46" t="str">
        <f>Source!E80</f>
        <v>23</v>
      </c>
      <c r="C304" s="46" t="str">
        <f>Source!G80</f>
        <v>Погрузочные работы при автомобильных перевозках мусора строительного с погрузкой вручную</v>
      </c>
      <c r="D304" s="46" t="str">
        <f>Source!F80</f>
        <v>т01-01-01-041</v>
      </c>
      <c r="E304" s="31" t="str">
        <f>Source!H80</f>
        <v>1 Т ГРУЗА</v>
      </c>
      <c r="F304" s="12">
        <f>Source!I80</f>
        <v>1.5</v>
      </c>
      <c r="G304" s="23">
        <f>Source!AB80</f>
        <v>42.98</v>
      </c>
      <c r="H304" s="23">
        <f>Source!GM80</f>
        <v>420.99</v>
      </c>
      <c r="T304">
        <f>Source!GM80</f>
        <v>420.99</v>
      </c>
      <c r="U304">
        <f>Source!P80</f>
        <v>0</v>
      </c>
      <c r="V304">
        <f>Source!S80</f>
        <v>0</v>
      </c>
      <c r="W304">
        <f>Source!Q80</f>
        <v>0</v>
      </c>
      <c r="X304">
        <f>Source!R80</f>
        <v>0</v>
      </c>
      <c r="Y304">
        <f>Source!U80</f>
        <v>0</v>
      </c>
      <c r="Z304">
        <f>Source!V80</f>
        <v>0</v>
      </c>
      <c r="AA304">
        <f>Source!X80</f>
        <v>0</v>
      </c>
      <c r="AB304">
        <f>Source!Y80</f>
        <v>0</v>
      </c>
    </row>
    <row r="305" spans="1:28" ht="14.25" x14ac:dyDescent="0.2">
      <c r="C305" s="25" t="s">
        <v>1021</v>
      </c>
      <c r="D305" s="25">
        <f>Source!AZ80</f>
        <v>6.53</v>
      </c>
      <c r="F305" s="12"/>
      <c r="G305" s="12"/>
      <c r="H305" s="12"/>
    </row>
    <row r="306" spans="1:28" ht="57" x14ac:dyDescent="0.2">
      <c r="A306" s="46">
        <v>54</v>
      </c>
      <c r="B306" s="46" t="str">
        <f>Source!E81</f>
        <v>24</v>
      </c>
      <c r="C306" s="46" t="str">
        <f>Source!G81</f>
        <v>Перевозка грузов I класса автомобилями бортовыми грузоподъемностью до 15 т на расстояние до 35 км</v>
      </c>
      <c r="D306" s="46" t="str">
        <f>Source!F81</f>
        <v>т03-01-01-035</v>
      </c>
      <c r="E306" s="31" t="str">
        <f>Source!H81</f>
        <v>1 Т ГРУЗА</v>
      </c>
      <c r="F306" s="12">
        <f>Source!I81</f>
        <v>1.5</v>
      </c>
      <c r="G306" s="23">
        <f>Source!AB81</f>
        <v>19.54</v>
      </c>
      <c r="H306" s="23">
        <f>Source!GM81</f>
        <v>191.39</v>
      </c>
      <c r="T306">
        <f>Source!GM81</f>
        <v>191.39</v>
      </c>
      <c r="U306">
        <f>Source!P81</f>
        <v>0</v>
      </c>
      <c r="V306">
        <f>Source!S81</f>
        <v>0</v>
      </c>
      <c r="W306">
        <f>Source!Q81</f>
        <v>0</v>
      </c>
      <c r="X306">
        <f>Source!R81</f>
        <v>0</v>
      </c>
      <c r="Y306">
        <f>Source!U81</f>
        <v>0</v>
      </c>
      <c r="Z306">
        <f>Source!V81</f>
        <v>0</v>
      </c>
      <c r="AA306">
        <f>Source!X81</f>
        <v>0</v>
      </c>
      <c r="AB306">
        <f>Source!Y81</f>
        <v>0</v>
      </c>
    </row>
    <row r="307" spans="1:28" ht="14.25" x14ac:dyDescent="0.2">
      <c r="C307" s="25" t="s">
        <v>1021</v>
      </c>
      <c r="D307" s="25">
        <f>Source!AZ81</f>
        <v>6.53</v>
      </c>
      <c r="F307" s="12"/>
      <c r="G307" s="12"/>
      <c r="H307" s="12"/>
    </row>
    <row r="309" spans="1:28" ht="15" x14ac:dyDescent="0.25">
      <c r="A309" s="58"/>
      <c r="B309" s="58"/>
      <c r="C309" s="64" t="str">
        <f>CONCATENATE("Итого по разделу: ",IF(Source!G83&lt;&gt;"Новый раздел", Source!G83, ""))</f>
        <v>Итого по разделу: 1 Общестроительные работы</v>
      </c>
      <c r="D309" s="64"/>
      <c r="E309" s="64"/>
      <c r="F309" s="64"/>
      <c r="G309" s="58"/>
      <c r="H309" s="59">
        <f>IF(SUM(T37:T308)=0, "-", SUM(T37:T308))</f>
        <v>1131235.5999999999</v>
      </c>
    </row>
    <row r="310" spans="1:28" ht="15" x14ac:dyDescent="0.25">
      <c r="A310" s="58"/>
      <c r="B310" s="58"/>
      <c r="C310" s="58"/>
      <c r="D310" s="58"/>
      <c r="E310" s="58"/>
      <c r="F310" s="58"/>
      <c r="G310" s="58"/>
      <c r="H310" s="58"/>
    </row>
    <row r="313" spans="1:28" ht="16.5" x14ac:dyDescent="0.25">
      <c r="A313" s="66" t="str">
        <f>CONCATENATE("Раздел: ",IF(Source!G112&lt;&gt;"Новый раздел", Source!G112, ""))</f>
        <v>Раздел: 2 Сантехнические работы</v>
      </c>
      <c r="B313" s="66"/>
      <c r="C313" s="66"/>
      <c r="D313" s="66"/>
      <c r="E313" s="66"/>
      <c r="F313" s="66"/>
      <c r="G313" s="66"/>
      <c r="H313" s="66"/>
    </row>
    <row r="314" spans="1:28" ht="14.25" x14ac:dyDescent="0.2">
      <c r="A314" s="46">
        <v>55</v>
      </c>
      <c r="B314" s="46" t="str">
        <f>Source!E116</f>
        <v>25</v>
      </c>
      <c r="C314" s="46" t="str">
        <f>Source!G116</f>
        <v>Демонтаж радиаторов весом до 80 кг</v>
      </c>
      <c r="D314" s="46" t="str">
        <f>Source!F116</f>
        <v>65-19-1</v>
      </c>
      <c r="E314" s="31" t="str">
        <f>Source!H116</f>
        <v>100 ШТ</v>
      </c>
      <c r="F314" s="12">
        <f>Source!I116</f>
        <v>0.2</v>
      </c>
      <c r="G314" s="23">
        <f>Source!AB116</f>
        <v>935.72</v>
      </c>
      <c r="H314" s="23">
        <f>Source!O116</f>
        <v>1222.05</v>
      </c>
      <c r="T314">
        <f>Source!O116+Source!X116+Source!Y116</f>
        <v>2672.9700000000003</v>
      </c>
      <c r="U314">
        <f>Source!P116</f>
        <v>0</v>
      </c>
      <c r="V314">
        <f>Source!S116</f>
        <v>1130.5999999999999</v>
      </c>
      <c r="W314">
        <f>Source!Q116</f>
        <v>91.45</v>
      </c>
      <c r="X314">
        <f>Source!R116</f>
        <v>39.49</v>
      </c>
      <c r="Y314">
        <f>Source!U116</f>
        <v>22</v>
      </c>
      <c r="Z314">
        <f>Source!V116</f>
        <v>0.44800000000000006</v>
      </c>
      <c r="AA314">
        <f>Source!X116</f>
        <v>865.87</v>
      </c>
      <c r="AB314">
        <f>Source!Y116</f>
        <v>585.04999999999995</v>
      </c>
    </row>
    <row r="315" spans="1:28" ht="14.25" x14ac:dyDescent="0.2">
      <c r="C315" s="25" t="s">
        <v>1012</v>
      </c>
      <c r="D315" s="25">
        <f>Source!BA116</f>
        <v>6.53</v>
      </c>
      <c r="F315" s="12"/>
      <c r="G315" s="12"/>
      <c r="H315" s="12"/>
    </row>
    <row r="316" spans="1:28" x14ac:dyDescent="0.2">
      <c r="C316" s="25" t="s">
        <v>1013</v>
      </c>
      <c r="D316" s="25">
        <f>Source!BB116</f>
        <v>6.53</v>
      </c>
    </row>
    <row r="317" spans="1:28" x14ac:dyDescent="0.2">
      <c r="C317" s="25" t="s">
        <v>1014</v>
      </c>
      <c r="D317" s="25">
        <f>Source!BC116</f>
        <v>6.53</v>
      </c>
    </row>
    <row r="318" spans="1:28" x14ac:dyDescent="0.2">
      <c r="C318" s="25" t="s">
        <v>1015</v>
      </c>
      <c r="D318" s="25">
        <f>Source!BS116</f>
        <v>6.53</v>
      </c>
    </row>
    <row r="319" spans="1:28" x14ac:dyDescent="0.2">
      <c r="C319" s="9" t="s">
        <v>1016</v>
      </c>
      <c r="D319" s="33"/>
      <c r="E319" s="33"/>
      <c r="F319" s="33">
        <f>Source!BZ116</f>
        <v>74</v>
      </c>
      <c r="G319" s="57">
        <f>(Source!AF116+Source!AE116)*Source!FX116/100</f>
        <v>662.99559999999997</v>
      </c>
      <c r="H319" s="57">
        <f>Source!X116</f>
        <v>865.87</v>
      </c>
    </row>
    <row r="320" spans="1:28" x14ac:dyDescent="0.2">
      <c r="C320" s="9" t="s">
        <v>1017</v>
      </c>
      <c r="D320" s="33"/>
      <c r="E320" s="33"/>
      <c r="F320" s="33">
        <f>Source!CA116</f>
        <v>50</v>
      </c>
      <c r="G320" s="57">
        <f>(Source!AF116+Source!AE116)*Source!FY116/100</f>
        <v>447.97</v>
      </c>
      <c r="H320" s="57">
        <f>Source!Y116</f>
        <v>585.04999999999995</v>
      </c>
    </row>
    <row r="321" spans="1:28" x14ac:dyDescent="0.2">
      <c r="C321" s="9" t="s">
        <v>1018</v>
      </c>
      <c r="D321" s="33"/>
      <c r="E321" s="33"/>
      <c r="F321" s="33"/>
      <c r="G321" s="57">
        <f>((Source!AF116+Source!AE116)*Source!FX116/100)+((Source!AF116+Source!AE116)*Source!FY116/100)+Source!AB116</f>
        <v>2046.6856</v>
      </c>
      <c r="H321" s="57">
        <f>Source!O116+Source!X116+Source!Y116</f>
        <v>2672.9700000000003</v>
      </c>
    </row>
    <row r="322" spans="1:28" ht="28.5" x14ac:dyDescent="0.2">
      <c r="A322" s="46">
        <v>56</v>
      </c>
      <c r="B322" s="46" t="str">
        <f>Source!E117</f>
        <v>26</v>
      </c>
      <c r="C322" s="46" t="str">
        <f>Source!G117</f>
        <v>Установка радиаторов стальных</v>
      </c>
      <c r="D322" s="46" t="str">
        <f>Source!F117</f>
        <v>18-03-001-02</v>
      </c>
      <c r="E322" s="31" t="str">
        <f>Source!H117</f>
        <v>100 квт</v>
      </c>
      <c r="F322" s="12">
        <f>Source!I117</f>
        <v>0.46079999999999999</v>
      </c>
      <c r="G322" s="23">
        <f>Source!AB117</f>
        <v>1942.27</v>
      </c>
      <c r="H322" s="23">
        <f>Source!O117</f>
        <v>5844.34</v>
      </c>
      <c r="T322">
        <f>Source!O117+Source!X117+Source!Y117</f>
        <v>9354.5300000000007</v>
      </c>
      <c r="U322">
        <f>Source!P117</f>
        <v>3494.26</v>
      </c>
      <c r="V322">
        <f>Source!S117</f>
        <v>1770.6</v>
      </c>
      <c r="W322">
        <f>Source!Q117</f>
        <v>579.48</v>
      </c>
      <c r="X322">
        <f>Source!R117</f>
        <v>116.6</v>
      </c>
      <c r="Y322">
        <f>Source!U117</f>
        <v>30.228479999999998</v>
      </c>
      <c r="Z322">
        <f>Source!V117</f>
        <v>1.4423039999999998</v>
      </c>
      <c r="AA322">
        <f>Source!X117</f>
        <v>2170.2800000000002</v>
      </c>
      <c r="AB322">
        <f>Source!Y117</f>
        <v>1339.91</v>
      </c>
    </row>
    <row r="323" spans="1:28" ht="14.25" x14ac:dyDescent="0.2">
      <c r="C323" s="25" t="s">
        <v>1012</v>
      </c>
      <c r="D323" s="25">
        <f>Source!BA117</f>
        <v>6.53</v>
      </c>
      <c r="F323" s="12"/>
      <c r="G323" s="12"/>
      <c r="H323" s="12"/>
    </row>
    <row r="324" spans="1:28" x14ac:dyDescent="0.2">
      <c r="C324" s="25" t="s">
        <v>1013</v>
      </c>
      <c r="D324" s="25">
        <f>Source!BB117</f>
        <v>6.53</v>
      </c>
    </row>
    <row r="325" spans="1:28" x14ac:dyDescent="0.2">
      <c r="C325" s="25" t="s">
        <v>1014</v>
      </c>
      <c r="D325" s="25">
        <f>Source!BC117</f>
        <v>6.53</v>
      </c>
    </row>
    <row r="326" spans="1:28" x14ac:dyDescent="0.2">
      <c r="C326" s="25" t="s">
        <v>1015</v>
      </c>
      <c r="D326" s="25">
        <f>Source!BS117</f>
        <v>6.53</v>
      </c>
    </row>
    <row r="327" spans="1:28" x14ac:dyDescent="0.2">
      <c r="C327" s="9" t="s">
        <v>1016</v>
      </c>
      <c r="D327" s="33"/>
      <c r="E327" s="33"/>
      <c r="F327" s="33">
        <f>Source!BZ117</f>
        <v>128</v>
      </c>
      <c r="G327" s="57">
        <f>(Source!AF117+Source!AE117)*Source!FX117/100</f>
        <v>722.51135999999997</v>
      </c>
      <c r="H327" s="57">
        <f>Source!X117</f>
        <v>2170.2800000000002</v>
      </c>
    </row>
    <row r="328" spans="1:28" x14ac:dyDescent="0.2">
      <c r="C328" s="9" t="s">
        <v>1019</v>
      </c>
      <c r="D328" s="33"/>
      <c r="E328" s="33"/>
      <c r="F328" s="33"/>
      <c r="G328" s="33" t="str">
        <f>CONCATENATE(Source!DL117,Source!FT117, "=", Source!FX117, "%")</f>
        <v>*0,9=115,2%</v>
      </c>
      <c r="H328" s="33" t="str">
        <f>CONCATENATE(Source!AT117)</f>
        <v>115</v>
      </c>
    </row>
    <row r="329" spans="1:28" x14ac:dyDescent="0.2">
      <c r="C329" s="9" t="s">
        <v>1017</v>
      </c>
      <c r="D329" s="33"/>
      <c r="E329" s="33"/>
      <c r="F329" s="33">
        <f>Source!CA117</f>
        <v>83</v>
      </c>
      <c r="G329" s="57">
        <f>(Source!AF117+Source!AE117)*Source!FY117/100</f>
        <v>442.47548999999992</v>
      </c>
      <c r="H329" s="57">
        <f>Source!Y117</f>
        <v>1339.91</v>
      </c>
    </row>
    <row r="330" spans="1:28" x14ac:dyDescent="0.2">
      <c r="C330" s="9" t="s">
        <v>1020</v>
      </c>
      <c r="D330" s="33"/>
      <c r="E330" s="33"/>
      <c r="F330" s="33"/>
      <c r="G330" s="33" t="str">
        <f>CONCATENATE(Source!DM117,Source!FU117, "=", Source!FY117, "%")</f>
        <v>*0,85=70,55%</v>
      </c>
      <c r="H330" s="33" t="str">
        <f>CONCATENATE(Source!AU117)</f>
        <v>71</v>
      </c>
    </row>
    <row r="331" spans="1:28" x14ac:dyDescent="0.2">
      <c r="C331" s="9" t="s">
        <v>1018</v>
      </c>
      <c r="D331" s="33"/>
      <c r="E331" s="33"/>
      <c r="F331" s="33"/>
      <c r="G331" s="57">
        <f>((Source!AF117+Source!AE117)*Source!FX117/100)+((Source!AF117+Source!AE117)*Source!FY117/100)+Source!AB117</f>
        <v>3107.2568499999998</v>
      </c>
      <c r="H331" s="57">
        <f>Source!O117+Source!X117+Source!Y117</f>
        <v>9354.5300000000007</v>
      </c>
    </row>
    <row r="332" spans="1:28" ht="42.75" x14ac:dyDescent="0.2">
      <c r="A332" s="46">
        <v>57</v>
      </c>
      <c r="B332" s="46" t="str">
        <f>Source!E118</f>
        <v>26,1</v>
      </c>
      <c r="C332" s="46" t="str">
        <f>Source!G118</f>
        <v>Радиаторы биметаллические, марка «Rifar-A 500», количество секций 12, мощность 2304 Вт прим.</v>
      </c>
      <c r="D332" s="46" t="str">
        <f>Source!F118</f>
        <v>18.5.10.05-0009</v>
      </c>
      <c r="E332" s="31" t="str">
        <f>Source!H118</f>
        <v>шт.</v>
      </c>
      <c r="F332" s="12">
        <f>Source!I118</f>
        <v>20</v>
      </c>
      <c r="G332" s="23">
        <f>Source!AB118</f>
        <v>1503.69</v>
      </c>
      <c r="H332" s="23">
        <f>Source!O118</f>
        <v>196381.91</v>
      </c>
      <c r="T332">
        <f>Source!O118+Source!X118+Source!Y118</f>
        <v>196381.91</v>
      </c>
      <c r="U332">
        <f>Source!P118</f>
        <v>196381.91</v>
      </c>
      <c r="V332">
        <f>Source!S118</f>
        <v>0</v>
      </c>
      <c r="W332">
        <f>Source!Q118</f>
        <v>0</v>
      </c>
      <c r="X332">
        <f>Source!R118</f>
        <v>0</v>
      </c>
      <c r="Y332">
        <f>Source!U118</f>
        <v>0</v>
      </c>
      <c r="Z332">
        <f>Source!V118</f>
        <v>0</v>
      </c>
      <c r="AA332">
        <f>Source!X118</f>
        <v>0</v>
      </c>
      <c r="AB332">
        <f>Source!Y118</f>
        <v>0</v>
      </c>
    </row>
    <row r="333" spans="1:28" ht="14.25" x14ac:dyDescent="0.2">
      <c r="C333" s="25" t="s">
        <v>1014</v>
      </c>
      <c r="D333" s="25">
        <f>Source!BC118</f>
        <v>6.53</v>
      </c>
      <c r="F333" s="12"/>
      <c r="G333" s="12"/>
      <c r="H333" s="12"/>
    </row>
    <row r="334" spans="1:28" ht="14.25" x14ac:dyDescent="0.2">
      <c r="A334" s="46">
        <v>58</v>
      </c>
      <c r="B334" s="46" t="str">
        <f>Source!E119</f>
        <v>26,2</v>
      </c>
      <c r="C334" s="46" t="str">
        <f>Source!G119</f>
        <v>Радиаторы</v>
      </c>
      <c r="D334" s="46" t="str">
        <f>Source!F119</f>
        <v>18.5.10.06</v>
      </c>
      <c r="E334" s="31" t="str">
        <f>Source!H119</f>
        <v>квт</v>
      </c>
      <c r="F334" s="12">
        <f>Source!I119</f>
        <v>46.08</v>
      </c>
      <c r="G334" s="23">
        <f>Source!AB119</f>
        <v>0</v>
      </c>
      <c r="H334" s="23">
        <f>Source!O119</f>
        <v>0</v>
      </c>
      <c r="T334">
        <f>Source!O119+Source!X119+Source!Y119</f>
        <v>0</v>
      </c>
      <c r="U334">
        <f>Source!P119</f>
        <v>0</v>
      </c>
      <c r="V334">
        <f>Source!S119</f>
        <v>0</v>
      </c>
      <c r="W334">
        <f>Source!Q119</f>
        <v>0</v>
      </c>
      <c r="X334">
        <f>Source!R119</f>
        <v>0</v>
      </c>
      <c r="Y334">
        <f>Source!U119</f>
        <v>0</v>
      </c>
      <c r="Z334">
        <f>Source!V119</f>
        <v>0</v>
      </c>
      <c r="AA334">
        <f>Source!X119</f>
        <v>0</v>
      </c>
      <c r="AB334">
        <f>Source!Y119</f>
        <v>0</v>
      </c>
    </row>
    <row r="335" spans="1:28" ht="14.25" x14ac:dyDescent="0.2">
      <c r="C335" s="25" t="s">
        <v>1014</v>
      </c>
      <c r="D335" s="25">
        <f>Source!BC119</f>
        <v>6.53</v>
      </c>
      <c r="F335" s="12"/>
      <c r="G335" s="12"/>
      <c r="H335" s="12"/>
    </row>
    <row r="336" spans="1:28" ht="57" x14ac:dyDescent="0.2">
      <c r="A336" s="46">
        <v>59</v>
      </c>
      <c r="B336" s="46" t="str">
        <f>Source!E120</f>
        <v>27</v>
      </c>
      <c r="C336" s="46" t="str">
        <f>Source!G120</f>
        <v>Масляная окраска металлических поверхностей решеток, переплетов, труб диаметром менее 50 мм и т.п., количество окрасок 2</v>
      </c>
      <c r="D336" s="46" t="str">
        <f>Source!F120</f>
        <v>15-04-030-04</v>
      </c>
      <c r="E336" s="31" t="str">
        <f>Source!H120</f>
        <v>100 м2</v>
      </c>
      <c r="F336" s="12">
        <f>Source!I120</f>
        <v>0.06</v>
      </c>
      <c r="G336" s="23">
        <f>Source!AB120</f>
        <v>720.44</v>
      </c>
      <c r="H336" s="23">
        <f>Source!O120</f>
        <v>282.26</v>
      </c>
      <c r="T336">
        <f>Source!O120+Source!X120+Source!Y120</f>
        <v>632.79999999999995</v>
      </c>
      <c r="U336">
        <f>Source!P120</f>
        <v>34.700000000000003</v>
      </c>
      <c r="V336">
        <f>Source!S120</f>
        <v>246.67</v>
      </c>
      <c r="W336">
        <f>Source!Q120</f>
        <v>0.89</v>
      </c>
      <c r="X336">
        <f>Source!R120</f>
        <v>0.19</v>
      </c>
      <c r="Y336">
        <f>Source!U120</f>
        <v>4.2636000000000003</v>
      </c>
      <c r="Z336">
        <f>Source!V120</f>
        <v>2.3999999999999998E-3</v>
      </c>
      <c r="AA336">
        <f>Source!X120</f>
        <v>234.52</v>
      </c>
      <c r="AB336">
        <f>Source!Y120</f>
        <v>116.02</v>
      </c>
    </row>
    <row r="337" spans="1:28" ht="14.25" x14ac:dyDescent="0.2">
      <c r="C337" s="25" t="s">
        <v>1012</v>
      </c>
      <c r="D337" s="25">
        <f>Source!BA120</f>
        <v>6.53</v>
      </c>
      <c r="F337" s="12"/>
      <c r="G337" s="12"/>
      <c r="H337" s="12"/>
    </row>
    <row r="338" spans="1:28" x14ac:dyDescent="0.2">
      <c r="C338" s="25" t="s">
        <v>1013</v>
      </c>
      <c r="D338" s="25">
        <f>Source!BB120</f>
        <v>6.53</v>
      </c>
    </row>
    <row r="339" spans="1:28" x14ac:dyDescent="0.2">
      <c r="C339" s="25" t="s">
        <v>1014</v>
      </c>
      <c r="D339" s="25">
        <f>Source!BC120</f>
        <v>6.53</v>
      </c>
    </row>
    <row r="340" spans="1:28" x14ac:dyDescent="0.2">
      <c r="C340" s="25" t="s">
        <v>1015</v>
      </c>
      <c r="D340" s="25">
        <f>Source!BS120</f>
        <v>6.53</v>
      </c>
    </row>
    <row r="341" spans="1:28" x14ac:dyDescent="0.2">
      <c r="C341" s="9" t="s">
        <v>1016</v>
      </c>
      <c r="D341" s="33"/>
      <c r="E341" s="33"/>
      <c r="F341" s="33">
        <f>Source!BZ120</f>
        <v>105</v>
      </c>
      <c r="G341" s="57">
        <f>(Source!AF120+Source!AE120)*Source!FX120/100</f>
        <v>595.42560000000003</v>
      </c>
      <c r="H341" s="57">
        <f>Source!X120</f>
        <v>234.52</v>
      </c>
    </row>
    <row r="342" spans="1:28" x14ac:dyDescent="0.2">
      <c r="C342" s="9" t="s">
        <v>1019</v>
      </c>
      <c r="D342" s="33"/>
      <c r="E342" s="33"/>
      <c r="F342" s="33"/>
      <c r="G342" s="33" t="str">
        <f>CONCATENATE(Source!DL120,Source!FT120, "=", Source!FX120, "%")</f>
        <v>*0,9=94,5%</v>
      </c>
      <c r="H342" s="33" t="str">
        <f>CONCATENATE(Source!AT120)</f>
        <v>95</v>
      </c>
    </row>
    <row r="343" spans="1:28" x14ac:dyDescent="0.2">
      <c r="C343" s="9" t="s">
        <v>1017</v>
      </c>
      <c r="D343" s="33"/>
      <c r="E343" s="33"/>
      <c r="F343" s="33">
        <f>Source!CA120</f>
        <v>55</v>
      </c>
      <c r="G343" s="57">
        <f>(Source!AF120+Source!AE120)*Source!FY120/100</f>
        <v>294.56240000000003</v>
      </c>
      <c r="H343" s="57">
        <f>Source!Y120</f>
        <v>116.02</v>
      </c>
    </row>
    <row r="344" spans="1:28" x14ac:dyDescent="0.2">
      <c r="C344" s="9" t="s">
        <v>1020</v>
      </c>
      <c r="D344" s="33"/>
      <c r="E344" s="33"/>
      <c r="F344" s="33"/>
      <c r="G344" s="33" t="str">
        <f>CONCATENATE(Source!DM120,Source!FU120, "=", Source!FY120, "%")</f>
        <v>*0,85=46,75%</v>
      </c>
      <c r="H344" s="33" t="str">
        <f>CONCATENATE(Source!AU120)</f>
        <v>47</v>
      </c>
    </row>
    <row r="345" spans="1:28" x14ac:dyDescent="0.2">
      <c r="C345" s="9" t="s">
        <v>1018</v>
      </c>
      <c r="D345" s="33"/>
      <c r="E345" s="33"/>
      <c r="F345" s="33"/>
      <c r="G345" s="57">
        <f>((Source!AF120+Source!AE120)*Source!FX120/100)+((Source!AF120+Source!AE120)*Source!FY120/100)+Source!AB120</f>
        <v>1610.4280000000001</v>
      </c>
      <c r="H345" s="57">
        <f>Source!O120+Source!X120+Source!Y120</f>
        <v>632.79999999999995</v>
      </c>
    </row>
    <row r="346" spans="1:28" ht="28.5" x14ac:dyDescent="0.2">
      <c r="A346" s="46">
        <v>60</v>
      </c>
      <c r="B346" s="46" t="str">
        <f>Source!E121</f>
        <v>27,1</v>
      </c>
      <c r="C346" s="46" t="str">
        <f>Source!G121</f>
        <v>Краски для внутренних работ масляные готовые к применению</v>
      </c>
      <c r="D346" s="46" t="str">
        <f>Source!F121</f>
        <v>14.4.02.04</v>
      </c>
      <c r="E346" s="31" t="str">
        <f>Source!H121</f>
        <v>т</v>
      </c>
      <c r="F346" s="12">
        <f>Source!I121</f>
        <v>1.4760000000000001E-3</v>
      </c>
      <c r="G346" s="23">
        <f>Source!AB121</f>
        <v>0</v>
      </c>
      <c r="H346" s="23">
        <f>Source!O121</f>
        <v>0</v>
      </c>
      <c r="T346">
        <f>Source!O121+Source!X121+Source!Y121</f>
        <v>0</v>
      </c>
      <c r="U346">
        <f>Source!P121</f>
        <v>0</v>
      </c>
      <c r="V346">
        <f>Source!S121</f>
        <v>0</v>
      </c>
      <c r="W346">
        <f>Source!Q121</f>
        <v>0</v>
      </c>
      <c r="X346">
        <f>Source!R121</f>
        <v>0</v>
      </c>
      <c r="Y346">
        <f>Source!U121</f>
        <v>0</v>
      </c>
      <c r="Z346">
        <f>Source!V121</f>
        <v>0</v>
      </c>
      <c r="AA346">
        <f>Source!X121</f>
        <v>0</v>
      </c>
      <c r="AB346">
        <f>Source!Y121</f>
        <v>0</v>
      </c>
    </row>
    <row r="347" spans="1:28" ht="14.25" x14ac:dyDescent="0.2">
      <c r="C347" s="25" t="s">
        <v>1014</v>
      </c>
      <c r="D347" s="25">
        <f>Source!BC121</f>
        <v>6.53</v>
      </c>
      <c r="F347" s="12"/>
      <c r="G347" s="12"/>
      <c r="H347" s="12"/>
    </row>
    <row r="348" spans="1:28" ht="42.75" x14ac:dyDescent="0.2">
      <c r="A348" s="46">
        <v>61</v>
      </c>
      <c r="B348" s="46" t="str">
        <f>Source!E122</f>
        <v>27,2</v>
      </c>
      <c r="C348" s="46" t="str">
        <f>Source!G122</f>
        <v>Краски для внутренних работ масляные готовые к применению МА-15 БИО</v>
      </c>
      <c r="D348" s="46" t="str">
        <f>Source!F122</f>
        <v>14.4.02.04-0101</v>
      </c>
      <c r="E348" s="31" t="str">
        <f>Source!H122</f>
        <v>т</v>
      </c>
      <c r="F348" s="12">
        <f>Source!I122</f>
        <v>1.4760000000000001E-3</v>
      </c>
      <c r="G348" s="23">
        <f>Source!AB122</f>
        <v>42508.19</v>
      </c>
      <c r="H348" s="23">
        <f>Source!O122</f>
        <v>409.71</v>
      </c>
      <c r="T348">
        <f>Source!O122+Source!X122+Source!Y122</f>
        <v>409.71</v>
      </c>
      <c r="U348">
        <f>Source!P122</f>
        <v>409.71</v>
      </c>
      <c r="V348">
        <f>Source!S122</f>
        <v>0</v>
      </c>
      <c r="W348">
        <f>Source!Q122</f>
        <v>0</v>
      </c>
      <c r="X348">
        <f>Source!R122</f>
        <v>0</v>
      </c>
      <c r="Y348">
        <f>Source!U122</f>
        <v>0</v>
      </c>
      <c r="Z348">
        <f>Source!V122</f>
        <v>0</v>
      </c>
      <c r="AA348">
        <f>Source!X122</f>
        <v>0</v>
      </c>
      <c r="AB348">
        <f>Source!Y122</f>
        <v>0</v>
      </c>
    </row>
    <row r="349" spans="1:28" ht="14.25" x14ac:dyDescent="0.2">
      <c r="C349" s="25" t="s">
        <v>1014</v>
      </c>
      <c r="D349" s="25">
        <f>Source!BC122</f>
        <v>6.53</v>
      </c>
      <c r="F349" s="12"/>
      <c r="G349" s="12"/>
      <c r="H349" s="12"/>
    </row>
    <row r="350" spans="1:28" ht="57" x14ac:dyDescent="0.2">
      <c r="A350" s="46">
        <v>62</v>
      </c>
      <c r="B350" s="46" t="str">
        <f>Source!E123</f>
        <v>28</v>
      </c>
      <c r="C350" s="46" t="str">
        <f>Source!G123</f>
        <v>Установка вентилей, задвижек, затворов, клапанов обратных, кранов проходных на трубопроводах из стальных труб диаметром до 25 мм</v>
      </c>
      <c r="D350" s="46" t="str">
        <f>Source!F123</f>
        <v>16-05-001-01</v>
      </c>
      <c r="E350" s="31" t="str">
        <f>Source!H123</f>
        <v>ШТ</v>
      </c>
      <c r="F350" s="12">
        <f>Source!I123</f>
        <v>40</v>
      </c>
      <c r="G350" s="23">
        <f>Source!AB123</f>
        <v>42.04</v>
      </c>
      <c r="H350" s="23">
        <f>Source!O123</f>
        <v>10980.85</v>
      </c>
      <c r="T350">
        <f>Source!O123+Source!X123+Source!Y123</f>
        <v>17515.29</v>
      </c>
      <c r="U350">
        <f>Source!P123</f>
        <v>6584.85</v>
      </c>
      <c r="V350">
        <f>Source!S123</f>
        <v>3481.8</v>
      </c>
      <c r="W350">
        <f>Source!Q123</f>
        <v>914.2</v>
      </c>
      <c r="X350">
        <f>Source!R123</f>
        <v>31.34</v>
      </c>
      <c r="Y350">
        <f>Source!U123</f>
        <v>58.8</v>
      </c>
      <c r="Z350">
        <f>Source!V123</f>
        <v>0.4</v>
      </c>
      <c r="AA350">
        <f>Source!X123</f>
        <v>4040.11</v>
      </c>
      <c r="AB350">
        <f>Source!Y123</f>
        <v>2494.33</v>
      </c>
    </row>
    <row r="351" spans="1:28" ht="14.25" x14ac:dyDescent="0.2">
      <c r="C351" s="25" t="s">
        <v>1012</v>
      </c>
      <c r="D351" s="25">
        <f>Source!BA123</f>
        <v>6.53</v>
      </c>
      <c r="F351" s="12"/>
      <c r="G351" s="12"/>
      <c r="H351" s="12"/>
    </row>
    <row r="352" spans="1:28" x14ac:dyDescent="0.2">
      <c r="C352" s="25" t="s">
        <v>1013</v>
      </c>
      <c r="D352" s="25">
        <f>Source!BB123</f>
        <v>6.53</v>
      </c>
    </row>
    <row r="353" spans="1:28" x14ac:dyDescent="0.2">
      <c r="C353" s="25" t="s">
        <v>1014</v>
      </c>
      <c r="D353" s="25">
        <f>Source!BC123</f>
        <v>6.53</v>
      </c>
    </row>
    <row r="354" spans="1:28" x14ac:dyDescent="0.2">
      <c r="C354" s="25" t="s">
        <v>1015</v>
      </c>
      <c r="D354" s="25">
        <f>Source!BS123</f>
        <v>6.53</v>
      </c>
    </row>
    <row r="355" spans="1:28" x14ac:dyDescent="0.2">
      <c r="C355" s="9" t="s">
        <v>1016</v>
      </c>
      <c r="D355" s="33"/>
      <c r="E355" s="33"/>
      <c r="F355" s="33">
        <f>Source!BZ123</f>
        <v>128</v>
      </c>
      <c r="G355" s="57">
        <f>(Source!AF123+Source!AE123)*Source!FX123/100</f>
        <v>15.494400000000001</v>
      </c>
      <c r="H355" s="57">
        <f>Source!X123</f>
        <v>4040.11</v>
      </c>
    </row>
    <row r="356" spans="1:28" x14ac:dyDescent="0.2">
      <c r="C356" s="9" t="s">
        <v>1019</v>
      </c>
      <c r="D356" s="33"/>
      <c r="E356" s="33"/>
      <c r="F356" s="33"/>
      <c r="G356" s="33" t="str">
        <f>CONCATENATE(Source!DL123,Source!FT123, "=", Source!FX123, "%")</f>
        <v>*0,9=115,2%</v>
      </c>
      <c r="H356" s="33" t="str">
        <f>CONCATENATE(Source!AT123)</f>
        <v>115</v>
      </c>
    </row>
    <row r="357" spans="1:28" x14ac:dyDescent="0.2">
      <c r="C357" s="9" t="s">
        <v>1017</v>
      </c>
      <c r="D357" s="33"/>
      <c r="E357" s="33"/>
      <c r="F357" s="33">
        <f>Source!CA123</f>
        <v>83</v>
      </c>
      <c r="G357" s="57">
        <f>(Source!AF123+Source!AE123)*Source!FY123/100</f>
        <v>9.4889749999999999</v>
      </c>
      <c r="H357" s="57">
        <f>Source!Y123</f>
        <v>2494.33</v>
      </c>
    </row>
    <row r="358" spans="1:28" x14ac:dyDescent="0.2">
      <c r="C358" s="9" t="s">
        <v>1020</v>
      </c>
      <c r="D358" s="33"/>
      <c r="E358" s="33"/>
      <c r="F358" s="33"/>
      <c r="G358" s="33" t="str">
        <f>CONCATENATE(Source!DM123,Source!FU123, "=", Source!FY123, "%")</f>
        <v>*0,85=70,55%</v>
      </c>
      <c r="H358" s="33" t="str">
        <f>CONCATENATE(Source!AU123)</f>
        <v>71</v>
      </c>
    </row>
    <row r="359" spans="1:28" x14ac:dyDescent="0.2">
      <c r="C359" s="9" t="s">
        <v>1018</v>
      </c>
      <c r="D359" s="33"/>
      <c r="E359" s="33"/>
      <c r="F359" s="33"/>
      <c r="G359" s="57">
        <f>((Source!AF123+Source!AE123)*Source!FX123/100)+((Source!AF123+Source!AE123)*Source!FY123/100)+Source!AB123</f>
        <v>67.023375000000001</v>
      </c>
      <c r="H359" s="57">
        <f>Source!O123+Source!X123+Source!Y123</f>
        <v>17515.29</v>
      </c>
    </row>
    <row r="360" spans="1:28" ht="28.5" x14ac:dyDescent="0.2">
      <c r="A360" s="46">
        <v>63</v>
      </c>
      <c r="B360" s="46" t="str">
        <f>Source!E124</f>
        <v>28,1</v>
      </c>
      <c r="C360" s="46" t="str">
        <f>Source!G124</f>
        <v>Кран шаровый муфтовый Valtec для воды диаметром 20 мм со сгоном</v>
      </c>
      <c r="D360" s="46" t="str">
        <f>Source!F124</f>
        <v>18.1.09.06-0067</v>
      </c>
      <c r="E360" s="31" t="str">
        <f>Source!H124</f>
        <v>шт.</v>
      </c>
      <c r="F360" s="12">
        <f>Source!I124</f>
        <v>40</v>
      </c>
      <c r="G360" s="23">
        <f>Source!AB124</f>
        <v>54.73</v>
      </c>
      <c r="H360" s="23">
        <f>Source!O124</f>
        <v>14295.48</v>
      </c>
      <c r="T360">
        <f>Source!O124+Source!X124+Source!Y124</f>
        <v>14295.48</v>
      </c>
      <c r="U360">
        <f>Source!P124</f>
        <v>14295.48</v>
      </c>
      <c r="V360">
        <f>Source!S124</f>
        <v>0</v>
      </c>
      <c r="W360">
        <f>Source!Q124</f>
        <v>0</v>
      </c>
      <c r="X360">
        <f>Source!R124</f>
        <v>0</v>
      </c>
      <c r="Y360">
        <f>Source!U124</f>
        <v>0</v>
      </c>
      <c r="Z360">
        <f>Source!V124</f>
        <v>0</v>
      </c>
      <c r="AA360">
        <f>Source!X124</f>
        <v>0</v>
      </c>
      <c r="AB360">
        <f>Source!Y124</f>
        <v>0</v>
      </c>
    </row>
    <row r="361" spans="1:28" ht="14.25" x14ac:dyDescent="0.2">
      <c r="C361" s="25" t="s">
        <v>1014</v>
      </c>
      <c r="D361" s="25">
        <f>Source!BC124</f>
        <v>6.53</v>
      </c>
      <c r="F361" s="12"/>
      <c r="G361" s="12"/>
      <c r="H361" s="12"/>
    </row>
    <row r="362" spans="1:28" ht="28.5" x14ac:dyDescent="0.2">
      <c r="A362" s="46">
        <v>64</v>
      </c>
      <c r="B362" s="46" t="str">
        <f>Source!E125</f>
        <v>29</v>
      </c>
      <c r="C362" s="46" t="str">
        <f>Source!G125</f>
        <v>Проверка на прогрев отопительных приборов с регулировкой</v>
      </c>
      <c r="D362" s="46" t="str">
        <f>Source!F125</f>
        <v>65-24-1</v>
      </c>
      <c r="E362" s="31" t="str">
        <f>Source!H125</f>
        <v>100 ШТ</v>
      </c>
      <c r="F362" s="12">
        <f>Source!I125</f>
        <v>0.2</v>
      </c>
      <c r="G362" s="23">
        <f>Source!AB125</f>
        <v>134.18</v>
      </c>
      <c r="H362" s="23">
        <f>Source!O125</f>
        <v>175.24</v>
      </c>
      <c r="T362">
        <f>Source!O125+Source!X125+Source!Y125</f>
        <v>392.54</v>
      </c>
      <c r="U362">
        <f>Source!P125</f>
        <v>0</v>
      </c>
      <c r="V362">
        <f>Source!S125</f>
        <v>175.24</v>
      </c>
      <c r="W362">
        <f>Source!Q125</f>
        <v>0</v>
      </c>
      <c r="X362">
        <f>Source!R125</f>
        <v>0</v>
      </c>
      <c r="Y362">
        <f>Source!U125</f>
        <v>3.1460000000000004</v>
      </c>
      <c r="Z362">
        <f>Source!V125</f>
        <v>0</v>
      </c>
      <c r="AA362">
        <f>Source!X125</f>
        <v>129.68</v>
      </c>
      <c r="AB362">
        <f>Source!Y125</f>
        <v>87.62</v>
      </c>
    </row>
    <row r="363" spans="1:28" ht="14.25" x14ac:dyDescent="0.2">
      <c r="C363" s="25" t="s">
        <v>1012</v>
      </c>
      <c r="D363" s="25">
        <f>Source!BA125</f>
        <v>6.53</v>
      </c>
      <c r="F363" s="12"/>
      <c r="G363" s="12"/>
      <c r="H363" s="12"/>
    </row>
    <row r="364" spans="1:28" x14ac:dyDescent="0.2">
      <c r="C364" s="25" t="s">
        <v>1013</v>
      </c>
      <c r="D364" s="25">
        <f>Source!BB125</f>
        <v>6.53</v>
      </c>
    </row>
    <row r="365" spans="1:28" x14ac:dyDescent="0.2">
      <c r="C365" s="25" t="s">
        <v>1014</v>
      </c>
      <c r="D365" s="25">
        <f>Source!BC125</f>
        <v>6.53</v>
      </c>
    </row>
    <row r="366" spans="1:28" x14ac:dyDescent="0.2">
      <c r="C366" s="25" t="s">
        <v>1015</v>
      </c>
      <c r="D366" s="25">
        <f>Source!BS125</f>
        <v>6.53</v>
      </c>
    </row>
    <row r="367" spans="1:28" x14ac:dyDescent="0.2">
      <c r="C367" s="9" t="s">
        <v>1016</v>
      </c>
      <c r="D367" s="33"/>
      <c r="E367" s="33"/>
      <c r="F367" s="33">
        <f>Source!BZ125</f>
        <v>74</v>
      </c>
      <c r="G367" s="57">
        <f>(Source!AF125+Source!AE125)*Source!FX125/100</f>
        <v>99.293199999999999</v>
      </c>
      <c r="H367" s="57">
        <f>Source!X125</f>
        <v>129.68</v>
      </c>
    </row>
    <row r="368" spans="1:28" x14ac:dyDescent="0.2">
      <c r="C368" s="9" t="s">
        <v>1017</v>
      </c>
      <c r="D368" s="33"/>
      <c r="E368" s="33"/>
      <c r="F368" s="33">
        <f>Source!CA125</f>
        <v>50</v>
      </c>
      <c r="G368" s="57">
        <f>(Source!AF125+Source!AE125)*Source!FY125/100</f>
        <v>67.09</v>
      </c>
      <c r="H368" s="57">
        <f>Source!Y125</f>
        <v>87.62</v>
      </c>
    </row>
    <row r="369" spans="1:28" x14ac:dyDescent="0.2">
      <c r="C369" s="9" t="s">
        <v>1018</v>
      </c>
      <c r="D369" s="33"/>
      <c r="E369" s="33"/>
      <c r="F369" s="33"/>
      <c r="G369" s="57">
        <f>((Source!AF125+Source!AE125)*Source!FX125/100)+((Source!AF125+Source!AE125)*Source!FY125/100)+Source!AB125</f>
        <v>300.56319999999999</v>
      </c>
      <c r="H369" s="57">
        <f>Source!O125+Source!X125+Source!Y125</f>
        <v>392.54</v>
      </c>
    </row>
    <row r="371" spans="1:28" ht="15" x14ac:dyDescent="0.25">
      <c r="A371" s="58"/>
      <c r="B371" s="58"/>
      <c r="C371" s="64" t="str">
        <f>CONCATENATE("Итого по разделу: ",IF(Source!G127&lt;&gt;"Новый раздел", Source!G127, ""))</f>
        <v>Итого по разделу: 2 Сантехнические работы</v>
      </c>
      <c r="D371" s="64"/>
      <c r="E371" s="64"/>
      <c r="F371" s="64"/>
      <c r="G371" s="58"/>
      <c r="H371" s="59">
        <f>IF(SUM(T313:T370)=0, "-", SUM(T313:T370))</f>
        <v>241655.23</v>
      </c>
    </row>
    <row r="372" spans="1:28" ht="15" x14ac:dyDescent="0.25">
      <c r="A372" s="58"/>
      <c r="B372" s="58"/>
      <c r="C372" s="58"/>
      <c r="D372" s="58"/>
      <c r="E372" s="58"/>
      <c r="F372" s="58"/>
      <c r="G372" s="58"/>
      <c r="H372" s="58"/>
    </row>
    <row r="375" spans="1:28" ht="16.5" x14ac:dyDescent="0.25">
      <c r="A375" s="66" t="str">
        <f>CONCATENATE("Раздел: ",IF(Source!G156&lt;&gt;"Новый раздел", Source!G156, ""))</f>
        <v>Раздел: 3 Электромонтажные работы</v>
      </c>
      <c r="B375" s="66"/>
      <c r="C375" s="66"/>
      <c r="D375" s="66"/>
      <c r="E375" s="66"/>
      <c r="F375" s="66"/>
      <c r="G375" s="66"/>
      <c r="H375" s="66"/>
    </row>
    <row r="376" spans="1:28" ht="14.25" x14ac:dyDescent="0.2">
      <c r="A376" s="46">
        <v>65</v>
      </c>
      <c r="B376" s="46" t="str">
        <f>Source!E160</f>
        <v>30</v>
      </c>
      <c r="C376" s="46" t="str">
        <f>Source!G160</f>
        <v>Демонтаж кабеля</v>
      </c>
      <c r="D376" s="46" t="str">
        <f>Source!F160</f>
        <v>67-3-1</v>
      </c>
      <c r="E376" s="31" t="str">
        <f>Source!H160</f>
        <v>100 м</v>
      </c>
      <c r="F376" s="12">
        <f>Source!I160</f>
        <v>0.18</v>
      </c>
      <c r="G376" s="23">
        <f>Source!AB160</f>
        <v>75.5</v>
      </c>
      <c r="H376" s="23">
        <f>Source!O160</f>
        <v>88.74</v>
      </c>
      <c r="T376">
        <f>Source!O160+Source!X160+Source!Y160</f>
        <v>221.55</v>
      </c>
      <c r="U376">
        <f>Source!P160</f>
        <v>0</v>
      </c>
      <c r="V376">
        <f>Source!S160</f>
        <v>88.38</v>
      </c>
      <c r="W376">
        <f>Source!Q160</f>
        <v>0.36</v>
      </c>
      <c r="X376">
        <f>Source!R160</f>
        <v>0.16</v>
      </c>
      <c r="Y376">
        <f>Source!U160</f>
        <v>1.7352000000000001</v>
      </c>
      <c r="Z376">
        <f>Source!V160</f>
        <v>1.8E-3</v>
      </c>
      <c r="AA376">
        <f>Source!X160</f>
        <v>75.260000000000005</v>
      </c>
      <c r="AB376">
        <f>Source!Y160</f>
        <v>57.55</v>
      </c>
    </row>
    <row r="377" spans="1:28" ht="14.25" x14ac:dyDescent="0.2">
      <c r="C377" s="25" t="s">
        <v>1012</v>
      </c>
      <c r="D377" s="25">
        <f>Source!BA160</f>
        <v>6.53</v>
      </c>
      <c r="F377" s="12"/>
      <c r="G377" s="12"/>
      <c r="H377" s="12"/>
    </row>
    <row r="378" spans="1:28" x14ac:dyDescent="0.2">
      <c r="C378" s="25" t="s">
        <v>1013</v>
      </c>
      <c r="D378" s="25">
        <f>Source!BB160</f>
        <v>6.53</v>
      </c>
    </row>
    <row r="379" spans="1:28" x14ac:dyDescent="0.2">
      <c r="C379" s="25" t="s">
        <v>1014</v>
      </c>
      <c r="D379" s="25">
        <f>Source!BC160</f>
        <v>6.53</v>
      </c>
    </row>
    <row r="380" spans="1:28" x14ac:dyDescent="0.2">
      <c r="C380" s="25" t="s">
        <v>1015</v>
      </c>
      <c r="D380" s="25">
        <f>Source!BS160</f>
        <v>6.53</v>
      </c>
    </row>
    <row r="381" spans="1:28" x14ac:dyDescent="0.2">
      <c r="C381" s="9" t="s">
        <v>1016</v>
      </c>
      <c r="D381" s="33"/>
      <c r="E381" s="33"/>
      <c r="F381" s="33">
        <f>Source!BZ160</f>
        <v>85</v>
      </c>
      <c r="G381" s="57">
        <f>(Source!AF160+Source!AE160)*Source!FX160/100</f>
        <v>64.030500000000004</v>
      </c>
      <c r="H381" s="57">
        <f>Source!X160</f>
        <v>75.260000000000005</v>
      </c>
    </row>
    <row r="382" spans="1:28" x14ac:dyDescent="0.2">
      <c r="C382" s="9" t="s">
        <v>1017</v>
      </c>
      <c r="D382" s="33"/>
      <c r="E382" s="33"/>
      <c r="F382" s="33">
        <f>Source!CA160</f>
        <v>65</v>
      </c>
      <c r="G382" s="57">
        <f>(Source!AF160+Source!AE160)*Source!FY160/100</f>
        <v>48.964500000000001</v>
      </c>
      <c r="H382" s="57">
        <f>Source!Y160</f>
        <v>57.55</v>
      </c>
    </row>
    <row r="383" spans="1:28" x14ac:dyDescent="0.2">
      <c r="C383" s="9" t="s">
        <v>1018</v>
      </c>
      <c r="D383" s="33"/>
      <c r="E383" s="33"/>
      <c r="F383" s="33"/>
      <c r="G383" s="57">
        <f>((Source!AF160+Source!AE160)*Source!FX160/100)+((Source!AF160+Source!AE160)*Source!FY160/100)+Source!AB160</f>
        <v>188.495</v>
      </c>
      <c r="H383" s="57">
        <f>Source!O160+Source!X160+Source!Y160</f>
        <v>221.55</v>
      </c>
    </row>
    <row r="384" spans="1:28" ht="28.5" x14ac:dyDescent="0.2">
      <c r="A384" s="46">
        <v>66</v>
      </c>
      <c r="B384" s="46" t="str">
        <f>Source!E161</f>
        <v>31</v>
      </c>
      <c r="C384" s="46" t="str">
        <f>Source!G161</f>
        <v>Демонтаж:Короба пластмассовые шириной до 40 мм</v>
      </c>
      <c r="D384" s="46" t="str">
        <f>Source!F161</f>
        <v>м08-02-390-01</v>
      </c>
      <c r="E384" s="31" t="str">
        <f>Source!H161</f>
        <v>100 м</v>
      </c>
      <c r="F384" s="12">
        <f>Source!I161</f>
        <v>0.16</v>
      </c>
      <c r="G384" s="23">
        <f>Source!AB161</f>
        <v>46.57</v>
      </c>
      <c r="H384" s="23">
        <f>Source!O161</f>
        <v>48.65</v>
      </c>
      <c r="T384">
        <f>Source!O161+Source!X161+Source!Y161</f>
        <v>126.41</v>
      </c>
      <c r="U384">
        <f>Source!P161</f>
        <v>0</v>
      </c>
      <c r="V384">
        <f>Source!S161</f>
        <v>48.56</v>
      </c>
      <c r="W384">
        <f>Source!Q161</f>
        <v>0.09</v>
      </c>
      <c r="X384">
        <f>Source!R161</f>
        <v>0.04</v>
      </c>
      <c r="Y384">
        <f>Source!U161</f>
        <v>0.78191999999999995</v>
      </c>
      <c r="Z384">
        <f>Source!V161</f>
        <v>4.8000000000000001E-4</v>
      </c>
      <c r="AA384">
        <f>Source!X161</f>
        <v>46.17</v>
      </c>
      <c r="AB384">
        <f>Source!Y161</f>
        <v>31.59</v>
      </c>
    </row>
    <row r="385" spans="1:28" ht="14.25" x14ac:dyDescent="0.2">
      <c r="C385" s="25" t="s">
        <v>1012</v>
      </c>
      <c r="D385" s="25">
        <f>Source!BA161</f>
        <v>6.53</v>
      </c>
      <c r="F385" s="12"/>
      <c r="G385" s="12"/>
      <c r="H385" s="12"/>
    </row>
    <row r="386" spans="1:28" x14ac:dyDescent="0.2">
      <c r="C386" s="25" t="s">
        <v>1013</v>
      </c>
      <c r="D386" s="25">
        <f>Source!BB161</f>
        <v>6.53</v>
      </c>
    </row>
    <row r="387" spans="1:28" x14ac:dyDescent="0.2">
      <c r="C387" s="25" t="s">
        <v>1014</v>
      </c>
      <c r="D387" s="25">
        <f>Source!BC161</f>
        <v>6.53</v>
      </c>
    </row>
    <row r="388" spans="1:28" x14ac:dyDescent="0.2">
      <c r="C388" s="25" t="s">
        <v>1015</v>
      </c>
      <c r="D388" s="25">
        <f>Source!BS161</f>
        <v>6.53</v>
      </c>
    </row>
    <row r="389" spans="1:28" x14ac:dyDescent="0.2">
      <c r="C389" s="9" t="s">
        <v>1016</v>
      </c>
      <c r="D389" s="33"/>
      <c r="E389" s="33"/>
      <c r="F389" s="33">
        <f>Source!BZ161</f>
        <v>95</v>
      </c>
      <c r="G389" s="57">
        <f>(Source!AF161+Source!AE161)*Source!FX161/100</f>
        <v>44.193999999999996</v>
      </c>
      <c r="H389" s="57">
        <f>Source!X161</f>
        <v>46.17</v>
      </c>
    </row>
    <row r="390" spans="1:28" x14ac:dyDescent="0.2">
      <c r="C390" s="9" t="s">
        <v>1017</v>
      </c>
      <c r="D390" s="33"/>
      <c r="E390" s="33"/>
      <c r="F390" s="33">
        <f>Source!CA161</f>
        <v>65</v>
      </c>
      <c r="G390" s="57">
        <f>(Source!AF161+Source!AE161)*Source!FY161/100</f>
        <v>30.237999999999996</v>
      </c>
      <c r="H390" s="57">
        <f>Source!Y161</f>
        <v>31.59</v>
      </c>
    </row>
    <row r="391" spans="1:28" x14ac:dyDescent="0.2">
      <c r="C391" s="9" t="s">
        <v>1018</v>
      </c>
      <c r="D391" s="33"/>
      <c r="E391" s="33"/>
      <c r="F391" s="33"/>
      <c r="G391" s="57">
        <f>((Source!AF161+Source!AE161)*Source!FX161/100)+((Source!AF161+Source!AE161)*Source!FY161/100)+Source!AB161</f>
        <v>121.00199999999998</v>
      </c>
      <c r="H391" s="57">
        <f>Source!O161+Source!X161+Source!Y161</f>
        <v>126.41</v>
      </c>
    </row>
    <row r="392" spans="1:28" ht="57" x14ac:dyDescent="0.2">
      <c r="A392" s="46">
        <v>67</v>
      </c>
      <c r="B392" s="46" t="str">
        <f>Source!E162</f>
        <v>32</v>
      </c>
      <c r="C392" s="46" t="str">
        <f>Source!G162</f>
        <v>Демонтаж:Светильник отдельно устанавливаемый на подвесах (штангах) с количеством ламп в светильнике до 4</v>
      </c>
      <c r="D392" s="46" t="str">
        <f>Source!F162</f>
        <v>м08-03-594-08</v>
      </c>
      <c r="E392" s="31" t="str">
        <f>Source!H162</f>
        <v>100 ШТ</v>
      </c>
      <c r="F392" s="12">
        <f>Source!I162</f>
        <v>0.9</v>
      </c>
      <c r="G392" s="23">
        <f>Source!AB162</f>
        <v>456.44</v>
      </c>
      <c r="H392" s="23">
        <f>Source!O162</f>
        <v>2682.49</v>
      </c>
      <c r="T392">
        <f>Source!O162+Source!X162+Source!Y162</f>
        <v>6845.37</v>
      </c>
      <c r="U392">
        <f>Source!P162</f>
        <v>0</v>
      </c>
      <c r="V392">
        <f>Source!S162</f>
        <v>2588.52</v>
      </c>
      <c r="W392">
        <f>Source!Q162</f>
        <v>93.97</v>
      </c>
      <c r="X392">
        <f>Source!R162</f>
        <v>13.28</v>
      </c>
      <c r="Y392">
        <f>Source!U162</f>
        <v>39.96</v>
      </c>
      <c r="Z392">
        <f>Source!V162</f>
        <v>0.16200000000000001</v>
      </c>
      <c r="AA392">
        <f>Source!X162</f>
        <v>2471.71</v>
      </c>
      <c r="AB392">
        <f>Source!Y162</f>
        <v>1691.17</v>
      </c>
    </row>
    <row r="393" spans="1:28" ht="14.25" x14ac:dyDescent="0.2">
      <c r="C393" s="25" t="s">
        <v>1012</v>
      </c>
      <c r="D393" s="25">
        <f>Source!BA162</f>
        <v>6.53</v>
      </c>
      <c r="F393" s="12"/>
      <c r="G393" s="12"/>
      <c r="H393" s="12"/>
    </row>
    <row r="394" spans="1:28" x14ac:dyDescent="0.2">
      <c r="C394" s="25" t="s">
        <v>1013</v>
      </c>
      <c r="D394" s="25">
        <f>Source!BB162</f>
        <v>6.53</v>
      </c>
    </row>
    <row r="395" spans="1:28" x14ac:dyDescent="0.2">
      <c r="C395" s="25" t="s">
        <v>1014</v>
      </c>
      <c r="D395" s="25">
        <f>Source!BC162</f>
        <v>6.53</v>
      </c>
    </row>
    <row r="396" spans="1:28" x14ac:dyDescent="0.2">
      <c r="C396" s="25" t="s">
        <v>1015</v>
      </c>
      <c r="D396" s="25">
        <f>Source!BS162</f>
        <v>6.53</v>
      </c>
    </row>
    <row r="397" spans="1:28" x14ac:dyDescent="0.2">
      <c r="C397" s="9" t="s">
        <v>1016</v>
      </c>
      <c r="D397" s="33"/>
      <c r="E397" s="33"/>
      <c r="F397" s="33">
        <f>Source!BZ162</f>
        <v>95</v>
      </c>
      <c r="G397" s="57">
        <f>(Source!AF162+Source!AE162)*Source!FX162/100</f>
        <v>420.57449999999994</v>
      </c>
      <c r="H397" s="57">
        <f>Source!X162</f>
        <v>2471.71</v>
      </c>
    </row>
    <row r="398" spans="1:28" x14ac:dyDescent="0.2">
      <c r="C398" s="9" t="s">
        <v>1017</v>
      </c>
      <c r="D398" s="33"/>
      <c r="E398" s="33"/>
      <c r="F398" s="33">
        <f>Source!CA162</f>
        <v>65</v>
      </c>
      <c r="G398" s="57">
        <f>(Source!AF162+Source!AE162)*Source!FY162/100</f>
        <v>287.76149999999996</v>
      </c>
      <c r="H398" s="57">
        <f>Source!Y162</f>
        <v>1691.17</v>
      </c>
    </row>
    <row r="399" spans="1:28" x14ac:dyDescent="0.2">
      <c r="C399" s="9" t="s">
        <v>1018</v>
      </c>
      <c r="D399" s="33"/>
      <c r="E399" s="33"/>
      <c r="F399" s="33"/>
      <c r="G399" s="57">
        <f>((Source!AF162+Source!AE162)*Source!FX162/100)+((Source!AF162+Source!AE162)*Source!FY162/100)+Source!AB162</f>
        <v>1164.7759999999998</v>
      </c>
      <c r="H399" s="57">
        <f>Source!O162+Source!X162+Source!Y162</f>
        <v>6845.37</v>
      </c>
    </row>
    <row r="400" spans="1:28" ht="85.5" x14ac:dyDescent="0.2">
      <c r="A400" s="46">
        <v>68</v>
      </c>
      <c r="B400" s="46" t="str">
        <f>Source!E163</f>
        <v>33</v>
      </c>
      <c r="C400" s="46" t="str">
        <f>Source!G163</f>
        <v>Демонтаж проектора и проекторной доски :Аппарат штепсельный общего назначения, устанавливаемый на конструкции на стене или колонне, с контактами силовых цепей на ток до 63 А</v>
      </c>
      <c r="D400" s="46" t="str">
        <f>Source!F163</f>
        <v>м08-03-525-09 прим.</v>
      </c>
      <c r="E400" s="31" t="str">
        <f>Source!H163</f>
        <v>КОМПЛ</v>
      </c>
      <c r="F400" s="12">
        <f>Source!I163</f>
        <v>1</v>
      </c>
      <c r="G400" s="23">
        <f>Source!AB163</f>
        <v>13.33</v>
      </c>
      <c r="H400" s="23">
        <f>Source!O163</f>
        <v>87.05</v>
      </c>
      <c r="T400">
        <f>Source!O163+Source!X163+Source!Y163</f>
        <v>222.66</v>
      </c>
      <c r="U400">
        <f>Source!P163</f>
        <v>0</v>
      </c>
      <c r="V400">
        <f>Source!S163</f>
        <v>84.76</v>
      </c>
      <c r="W400">
        <f>Source!Q163</f>
        <v>2.29</v>
      </c>
      <c r="X400">
        <f>Source!R163</f>
        <v>0</v>
      </c>
      <c r="Y400">
        <f>Source!U163</f>
        <v>1.2539999999999998</v>
      </c>
      <c r="Z400">
        <f>Source!V163</f>
        <v>0</v>
      </c>
      <c r="AA400">
        <f>Source!X163</f>
        <v>80.52</v>
      </c>
      <c r="AB400">
        <f>Source!Y163</f>
        <v>55.09</v>
      </c>
    </row>
    <row r="401" spans="1:28" ht="14.25" x14ac:dyDescent="0.2">
      <c r="C401" s="25" t="s">
        <v>1012</v>
      </c>
      <c r="D401" s="25">
        <f>Source!BA163</f>
        <v>6.53</v>
      </c>
      <c r="F401" s="12"/>
      <c r="G401" s="12"/>
      <c r="H401" s="12"/>
    </row>
    <row r="402" spans="1:28" x14ac:dyDescent="0.2">
      <c r="C402" s="25" t="s">
        <v>1013</v>
      </c>
      <c r="D402" s="25">
        <f>Source!BB163</f>
        <v>6.53</v>
      </c>
    </row>
    <row r="403" spans="1:28" x14ac:dyDescent="0.2">
      <c r="C403" s="25" t="s">
        <v>1014</v>
      </c>
      <c r="D403" s="25">
        <f>Source!BC163</f>
        <v>6.53</v>
      </c>
    </row>
    <row r="404" spans="1:28" x14ac:dyDescent="0.2">
      <c r="C404" s="25" t="s">
        <v>1015</v>
      </c>
      <c r="D404" s="25">
        <f>Source!BS163</f>
        <v>6.53</v>
      </c>
    </row>
    <row r="405" spans="1:28" x14ac:dyDescent="0.2">
      <c r="C405" s="9" t="s">
        <v>1016</v>
      </c>
      <c r="D405" s="33"/>
      <c r="E405" s="33"/>
      <c r="F405" s="33">
        <f>Source!BZ163</f>
        <v>95</v>
      </c>
      <c r="G405" s="57">
        <f>(Source!AF163+Source!AE163)*Source!FX163/100</f>
        <v>12.331000000000001</v>
      </c>
      <c r="H405" s="57">
        <f>Source!X163</f>
        <v>80.52</v>
      </c>
    </row>
    <row r="406" spans="1:28" x14ac:dyDescent="0.2">
      <c r="C406" s="9" t="s">
        <v>1017</v>
      </c>
      <c r="D406" s="33"/>
      <c r="E406" s="33"/>
      <c r="F406" s="33">
        <f>Source!CA163</f>
        <v>65</v>
      </c>
      <c r="G406" s="57">
        <f>(Source!AF163+Source!AE163)*Source!FY163/100</f>
        <v>8.4370000000000012</v>
      </c>
      <c r="H406" s="57">
        <f>Source!Y163</f>
        <v>55.09</v>
      </c>
    </row>
    <row r="407" spans="1:28" x14ac:dyDescent="0.2">
      <c r="C407" s="9" t="s">
        <v>1018</v>
      </c>
      <c r="D407" s="33"/>
      <c r="E407" s="33"/>
      <c r="F407" s="33"/>
      <c r="G407" s="57">
        <f>((Source!AF163+Source!AE163)*Source!FX163/100)+((Source!AF163+Source!AE163)*Source!FY163/100)+Source!AB163</f>
        <v>34.097999999999999</v>
      </c>
      <c r="H407" s="57">
        <f>Source!O163+Source!X163+Source!Y163</f>
        <v>222.66</v>
      </c>
    </row>
    <row r="408" spans="1:28" ht="85.5" x14ac:dyDescent="0.2">
      <c r="A408" s="46">
        <v>69</v>
      </c>
      <c r="B408" s="46" t="str">
        <f>Source!E164</f>
        <v>34</v>
      </c>
      <c r="C408" s="46" t="str">
        <f>Source!G164</f>
        <v>Аппарат штепсельный общего назначения, устанавливаемый на конструкции на стене или колонне, с контактами силовых цепей на ток до 63 А (проектор и проекторная доска без материалов)</v>
      </c>
      <c r="D408" s="46" t="str">
        <f>Source!F164</f>
        <v>м08-03-525-09 прим.</v>
      </c>
      <c r="E408" s="31" t="str">
        <f>Source!H164</f>
        <v>КОМПЛ</v>
      </c>
      <c r="F408" s="12">
        <f>Source!I164</f>
        <v>1</v>
      </c>
      <c r="G408" s="23">
        <f>Source!AB164</f>
        <v>65.78</v>
      </c>
      <c r="H408" s="23">
        <f>Source!O164</f>
        <v>429.54</v>
      </c>
      <c r="T408">
        <f>Source!O164+Source!X164+Source!Y164</f>
        <v>655.53</v>
      </c>
      <c r="U408">
        <f>Source!P164</f>
        <v>284.45</v>
      </c>
      <c r="V408">
        <f>Source!S164</f>
        <v>141.24</v>
      </c>
      <c r="W408">
        <f>Source!Q164</f>
        <v>3.85</v>
      </c>
      <c r="X408">
        <f>Source!R164</f>
        <v>0</v>
      </c>
      <c r="Y408">
        <f>Source!U164</f>
        <v>2.09</v>
      </c>
      <c r="Z408">
        <f>Source!V164</f>
        <v>0</v>
      </c>
      <c r="AA408">
        <f>Source!X164</f>
        <v>134.18</v>
      </c>
      <c r="AB408">
        <f>Source!Y164</f>
        <v>91.81</v>
      </c>
    </row>
    <row r="409" spans="1:28" ht="14.25" x14ac:dyDescent="0.2">
      <c r="C409" s="25" t="s">
        <v>1012</v>
      </c>
      <c r="D409" s="25">
        <f>Source!BA164</f>
        <v>6.53</v>
      </c>
      <c r="F409" s="12"/>
      <c r="G409" s="12"/>
      <c r="H409" s="12"/>
    </row>
    <row r="410" spans="1:28" x14ac:dyDescent="0.2">
      <c r="C410" s="25" t="s">
        <v>1013</v>
      </c>
      <c r="D410" s="25">
        <f>Source!BB164</f>
        <v>6.53</v>
      </c>
    </row>
    <row r="411" spans="1:28" x14ac:dyDescent="0.2">
      <c r="C411" s="25" t="s">
        <v>1014</v>
      </c>
      <c r="D411" s="25">
        <f>Source!BC164</f>
        <v>6.53</v>
      </c>
    </row>
    <row r="412" spans="1:28" x14ac:dyDescent="0.2">
      <c r="C412" s="25" t="s">
        <v>1015</v>
      </c>
      <c r="D412" s="25">
        <f>Source!BS164</f>
        <v>6.53</v>
      </c>
    </row>
    <row r="413" spans="1:28" x14ac:dyDescent="0.2">
      <c r="C413" s="9" t="s">
        <v>1016</v>
      </c>
      <c r="D413" s="33"/>
      <c r="E413" s="33"/>
      <c r="F413" s="33">
        <f>Source!BZ164</f>
        <v>95</v>
      </c>
      <c r="G413" s="57">
        <f>(Source!AF164+Source!AE164)*Source!FX164/100</f>
        <v>20.548500000000001</v>
      </c>
      <c r="H413" s="57">
        <f>Source!X164</f>
        <v>134.18</v>
      </c>
    </row>
    <row r="414" spans="1:28" x14ac:dyDescent="0.2">
      <c r="C414" s="9" t="s">
        <v>1017</v>
      </c>
      <c r="D414" s="33"/>
      <c r="E414" s="33"/>
      <c r="F414" s="33">
        <f>Source!CA164</f>
        <v>65</v>
      </c>
      <c r="G414" s="57">
        <f>(Source!AF164+Source!AE164)*Source!FY164/100</f>
        <v>14.0595</v>
      </c>
      <c r="H414" s="57">
        <f>Source!Y164</f>
        <v>91.81</v>
      </c>
    </row>
    <row r="415" spans="1:28" x14ac:dyDescent="0.2">
      <c r="C415" s="9" t="s">
        <v>1018</v>
      </c>
      <c r="D415" s="33"/>
      <c r="E415" s="33"/>
      <c r="F415" s="33"/>
      <c r="G415" s="57">
        <f>((Source!AF164+Source!AE164)*Source!FX164/100)+((Source!AF164+Source!AE164)*Source!FY164/100)+Source!AB164</f>
        <v>100.38800000000001</v>
      </c>
      <c r="H415" s="57">
        <f>Source!O164+Source!X164+Source!Y164</f>
        <v>655.53</v>
      </c>
    </row>
    <row r="416" spans="1:28" ht="14.25" x14ac:dyDescent="0.2">
      <c r="A416" s="46">
        <v>70</v>
      </c>
      <c r="B416" s="46" t="str">
        <f>Source!E165</f>
        <v>35</v>
      </c>
      <c r="C416" s="46" t="str">
        <f>Source!G165</f>
        <v>Демонтаж выключателей, розеток</v>
      </c>
      <c r="D416" s="46" t="str">
        <f>Source!F165</f>
        <v>67-4-1</v>
      </c>
      <c r="E416" s="31" t="str">
        <f>Source!H165</f>
        <v>100 ШТ</v>
      </c>
      <c r="F416" s="12">
        <f>Source!I165</f>
        <v>0.28000000000000003</v>
      </c>
      <c r="G416" s="23">
        <f>Source!AB165</f>
        <v>45.55</v>
      </c>
      <c r="H416" s="23">
        <f>Source!O165</f>
        <v>83.28</v>
      </c>
      <c r="T416">
        <f>Source!O165+Source!X165+Source!Y165</f>
        <v>208.2</v>
      </c>
      <c r="U416">
        <f>Source!P165</f>
        <v>0</v>
      </c>
      <c r="V416">
        <f>Source!S165</f>
        <v>83.28</v>
      </c>
      <c r="W416">
        <f>Source!Q165</f>
        <v>0</v>
      </c>
      <c r="X416">
        <f>Source!R165</f>
        <v>0</v>
      </c>
      <c r="Y416">
        <f>Source!U165</f>
        <v>1.6352000000000002</v>
      </c>
      <c r="Z416">
        <f>Source!V165</f>
        <v>0</v>
      </c>
      <c r="AA416">
        <f>Source!X165</f>
        <v>70.790000000000006</v>
      </c>
      <c r="AB416">
        <f>Source!Y165</f>
        <v>54.13</v>
      </c>
    </row>
    <row r="417" spans="1:28" ht="14.25" x14ac:dyDescent="0.2">
      <c r="C417" s="25" t="s">
        <v>1012</v>
      </c>
      <c r="D417" s="25">
        <f>Source!BA165</f>
        <v>6.53</v>
      </c>
      <c r="F417" s="12"/>
      <c r="G417" s="12"/>
      <c r="H417" s="12"/>
    </row>
    <row r="418" spans="1:28" x14ac:dyDescent="0.2">
      <c r="C418" s="25" t="s">
        <v>1013</v>
      </c>
      <c r="D418" s="25">
        <f>Source!BB165</f>
        <v>6.53</v>
      </c>
    </row>
    <row r="419" spans="1:28" x14ac:dyDescent="0.2">
      <c r="C419" s="25" t="s">
        <v>1014</v>
      </c>
      <c r="D419" s="25">
        <f>Source!BC165</f>
        <v>6.53</v>
      </c>
    </row>
    <row r="420" spans="1:28" x14ac:dyDescent="0.2">
      <c r="C420" s="25" t="s">
        <v>1015</v>
      </c>
      <c r="D420" s="25">
        <f>Source!BS165</f>
        <v>6.53</v>
      </c>
    </row>
    <row r="421" spans="1:28" x14ac:dyDescent="0.2">
      <c r="C421" s="9" t="s">
        <v>1016</v>
      </c>
      <c r="D421" s="33"/>
      <c r="E421" s="33"/>
      <c r="F421" s="33">
        <f>Source!BZ165</f>
        <v>85</v>
      </c>
      <c r="G421" s="57">
        <f>(Source!AF165+Source!AE165)*Source!FX165/100</f>
        <v>38.717499999999994</v>
      </c>
      <c r="H421" s="57">
        <f>Source!X165</f>
        <v>70.790000000000006</v>
      </c>
    </row>
    <row r="422" spans="1:28" x14ac:dyDescent="0.2">
      <c r="C422" s="9" t="s">
        <v>1017</v>
      </c>
      <c r="D422" s="33"/>
      <c r="E422" s="33"/>
      <c r="F422" s="33">
        <f>Source!CA165</f>
        <v>65</v>
      </c>
      <c r="G422" s="57">
        <f>(Source!AF165+Source!AE165)*Source!FY165/100</f>
        <v>29.607500000000002</v>
      </c>
      <c r="H422" s="57">
        <f>Source!Y165</f>
        <v>54.13</v>
      </c>
    </row>
    <row r="423" spans="1:28" x14ac:dyDescent="0.2">
      <c r="C423" s="9" t="s">
        <v>1018</v>
      </c>
      <c r="D423" s="33"/>
      <c r="E423" s="33"/>
      <c r="F423" s="33"/>
      <c r="G423" s="57">
        <f>((Source!AF165+Source!AE165)*Source!FX165/100)+((Source!AF165+Source!AE165)*Source!FY165/100)+Source!AB165</f>
        <v>113.87499999999999</v>
      </c>
      <c r="H423" s="57">
        <f>Source!O165+Source!X165+Source!Y165</f>
        <v>208.2</v>
      </c>
    </row>
    <row r="424" spans="1:28" ht="42.75" x14ac:dyDescent="0.2">
      <c r="A424" s="46">
        <v>71</v>
      </c>
      <c r="B424" s="46" t="str">
        <f>Source!E166</f>
        <v>36</v>
      </c>
      <c r="C424" s="46" t="str">
        <f>Source!G166</f>
        <v>Пробивка отверстий в кирпичных стенах для  вручную при толщине стен в 1 кирпич</v>
      </c>
      <c r="D424" s="46" t="str">
        <f>Source!F166</f>
        <v>69-1-2</v>
      </c>
      <c r="E424" s="31" t="str">
        <f>Source!H166</f>
        <v>100 ШТ</v>
      </c>
      <c r="F424" s="12">
        <f>Source!I166</f>
        <v>0.14000000000000001</v>
      </c>
      <c r="G424" s="23">
        <f>Source!AB166</f>
        <v>666.9</v>
      </c>
      <c r="H424" s="23">
        <f>Source!O166</f>
        <v>609.67999999999995</v>
      </c>
      <c r="T424">
        <f>Source!O166+Source!X166+Source!Y166</f>
        <v>1390.07</v>
      </c>
      <c r="U424">
        <f>Source!P166</f>
        <v>0</v>
      </c>
      <c r="V424">
        <f>Source!S166</f>
        <v>609.67999999999995</v>
      </c>
      <c r="W424">
        <f>Source!Q166</f>
        <v>0</v>
      </c>
      <c r="X424">
        <f>Source!R166</f>
        <v>0</v>
      </c>
      <c r="Y424">
        <f>Source!U166</f>
        <v>11.97</v>
      </c>
      <c r="Z424">
        <f>Source!V166</f>
        <v>0</v>
      </c>
      <c r="AA424">
        <f>Source!X166</f>
        <v>475.55</v>
      </c>
      <c r="AB424">
        <f>Source!Y166</f>
        <v>304.83999999999997</v>
      </c>
    </row>
    <row r="425" spans="1:28" ht="14.25" x14ac:dyDescent="0.2">
      <c r="C425" s="25" t="s">
        <v>1012</v>
      </c>
      <c r="D425" s="25">
        <f>Source!BA166</f>
        <v>6.53</v>
      </c>
      <c r="F425" s="12"/>
      <c r="G425" s="12"/>
      <c r="H425" s="12"/>
    </row>
    <row r="426" spans="1:28" x14ac:dyDescent="0.2">
      <c r="C426" s="25" t="s">
        <v>1013</v>
      </c>
      <c r="D426" s="25">
        <f>Source!BB166</f>
        <v>6.53</v>
      </c>
    </row>
    <row r="427" spans="1:28" x14ac:dyDescent="0.2">
      <c r="C427" s="25" t="s">
        <v>1014</v>
      </c>
      <c r="D427" s="25">
        <f>Source!BC166</f>
        <v>6.53</v>
      </c>
    </row>
    <row r="428" spans="1:28" x14ac:dyDescent="0.2">
      <c r="C428" s="25" t="s">
        <v>1015</v>
      </c>
      <c r="D428" s="25">
        <f>Source!BS166</f>
        <v>6.53</v>
      </c>
    </row>
    <row r="429" spans="1:28" x14ac:dyDescent="0.2">
      <c r="C429" s="9" t="s">
        <v>1016</v>
      </c>
      <c r="D429" s="33"/>
      <c r="E429" s="33"/>
      <c r="F429" s="33">
        <f>Source!BZ166</f>
        <v>78</v>
      </c>
      <c r="G429" s="57">
        <f>(Source!AF166+Source!AE166)*Source!FX166/100</f>
        <v>520.18200000000002</v>
      </c>
      <c r="H429" s="57">
        <f>Source!X166</f>
        <v>475.55</v>
      </c>
    </row>
    <row r="430" spans="1:28" x14ac:dyDescent="0.2">
      <c r="C430" s="9" t="s">
        <v>1017</v>
      </c>
      <c r="D430" s="33"/>
      <c r="E430" s="33"/>
      <c r="F430" s="33">
        <f>Source!CA166</f>
        <v>50</v>
      </c>
      <c r="G430" s="57">
        <f>(Source!AF166+Source!AE166)*Source!FY166/100</f>
        <v>333.45</v>
      </c>
      <c r="H430" s="57">
        <f>Source!Y166</f>
        <v>304.83999999999997</v>
      </c>
    </row>
    <row r="431" spans="1:28" x14ac:dyDescent="0.2">
      <c r="C431" s="9" t="s">
        <v>1018</v>
      </c>
      <c r="D431" s="33"/>
      <c r="E431" s="33"/>
      <c r="F431" s="33"/>
      <c r="G431" s="57">
        <f>((Source!AF166+Source!AE166)*Source!FX166/100)+((Source!AF166+Source!AE166)*Source!FY166/100)+Source!AB166</f>
        <v>1520.5320000000002</v>
      </c>
      <c r="H431" s="57">
        <f>Source!O166+Source!X166+Source!Y166</f>
        <v>1390.07</v>
      </c>
    </row>
    <row r="432" spans="1:28" ht="28.5" x14ac:dyDescent="0.2">
      <c r="A432" s="46">
        <v>72</v>
      </c>
      <c r="B432" s="46" t="str">
        <f>Source!E167</f>
        <v>37</v>
      </c>
      <c r="C432" s="46" t="str">
        <f>Source!G167</f>
        <v>Труба полиэтиленовая по основанию пола, диаметр до 50 мм</v>
      </c>
      <c r="D432" s="46" t="str">
        <f>Source!F167</f>
        <v>м08-02-410-02 прим.</v>
      </c>
      <c r="E432" s="31" t="str">
        <f>Source!H167</f>
        <v>100 м</v>
      </c>
      <c r="F432" s="12">
        <f>Source!I167</f>
        <v>9.8000000000000004E-2</v>
      </c>
      <c r="G432" s="23">
        <f>Source!AB167</f>
        <v>250.92</v>
      </c>
      <c r="H432" s="23">
        <f>Source!O167</f>
        <v>160.57</v>
      </c>
      <c r="T432">
        <f>Source!O167+Source!X167+Source!Y167</f>
        <v>310.45999999999998</v>
      </c>
      <c r="U432">
        <f>Source!P167</f>
        <v>56.15</v>
      </c>
      <c r="V432">
        <f>Source!S167</f>
        <v>91.91</v>
      </c>
      <c r="W432">
        <f>Source!Q167</f>
        <v>12.51</v>
      </c>
      <c r="X432">
        <f>Source!R167</f>
        <v>1.77</v>
      </c>
      <c r="Y432">
        <f>Source!U167</f>
        <v>1.4974400000000001</v>
      </c>
      <c r="Z432">
        <f>Source!V167</f>
        <v>2.1559999999999999E-2</v>
      </c>
      <c r="AA432">
        <f>Source!X167</f>
        <v>89</v>
      </c>
      <c r="AB432">
        <f>Source!Y167</f>
        <v>60.89</v>
      </c>
    </row>
    <row r="433" spans="1:28" ht="14.25" x14ac:dyDescent="0.2">
      <c r="C433" s="25" t="s">
        <v>1012</v>
      </c>
      <c r="D433" s="25">
        <f>Source!BA167</f>
        <v>6.53</v>
      </c>
      <c r="F433" s="12"/>
      <c r="G433" s="12"/>
      <c r="H433" s="12"/>
    </row>
    <row r="434" spans="1:28" x14ac:dyDescent="0.2">
      <c r="C434" s="25" t="s">
        <v>1013</v>
      </c>
      <c r="D434" s="25">
        <f>Source!BB167</f>
        <v>6.53</v>
      </c>
    </row>
    <row r="435" spans="1:28" x14ac:dyDescent="0.2">
      <c r="C435" s="25" t="s">
        <v>1014</v>
      </c>
      <c r="D435" s="25">
        <f>Source!BC167</f>
        <v>6.53</v>
      </c>
    </row>
    <row r="436" spans="1:28" x14ac:dyDescent="0.2">
      <c r="C436" s="25" t="s">
        <v>1015</v>
      </c>
      <c r="D436" s="25">
        <f>Source!BS167</f>
        <v>6.53</v>
      </c>
    </row>
    <row r="437" spans="1:28" x14ac:dyDescent="0.2">
      <c r="C437" s="9" t="s">
        <v>1016</v>
      </c>
      <c r="D437" s="33"/>
      <c r="E437" s="33"/>
      <c r="F437" s="33">
        <f>Source!BZ167</f>
        <v>95</v>
      </c>
      <c r="G437" s="57">
        <f>(Source!AF167+Source!AE167)*Source!FX167/100</f>
        <v>139.08000000000001</v>
      </c>
      <c r="H437" s="57">
        <f>Source!X167</f>
        <v>89</v>
      </c>
    </row>
    <row r="438" spans="1:28" x14ac:dyDescent="0.2">
      <c r="C438" s="9" t="s">
        <v>1017</v>
      </c>
      <c r="D438" s="33"/>
      <c r="E438" s="33"/>
      <c r="F438" s="33">
        <f>Source!CA167</f>
        <v>65</v>
      </c>
      <c r="G438" s="57">
        <f>(Source!AF167+Source!AE167)*Source!FY167/100</f>
        <v>95.16</v>
      </c>
      <c r="H438" s="57">
        <f>Source!Y167</f>
        <v>60.89</v>
      </c>
    </row>
    <row r="439" spans="1:28" x14ac:dyDescent="0.2">
      <c r="C439" s="9" t="s">
        <v>1018</v>
      </c>
      <c r="D439" s="33"/>
      <c r="E439" s="33"/>
      <c r="F439" s="33"/>
      <c r="G439" s="57">
        <f>((Source!AF167+Source!AE167)*Source!FX167/100)+((Source!AF167+Source!AE167)*Source!FY167/100)+Source!AB167</f>
        <v>485.15999999999997</v>
      </c>
      <c r="H439" s="57">
        <f>Source!O167+Source!X167+Source!Y167</f>
        <v>310.45999999999998</v>
      </c>
    </row>
    <row r="440" spans="1:28" ht="28.5" x14ac:dyDescent="0.2">
      <c r="A440" s="46">
        <v>73</v>
      </c>
      <c r="B440" s="46" t="str">
        <f>Source!E168</f>
        <v>37,1</v>
      </c>
      <c r="C440" s="46" t="str">
        <f>Source!G168</f>
        <v>Трубы гладкие одностенные легкие из ПНД, диаметром 32 мм</v>
      </c>
      <c r="D440" s="46" t="str">
        <f>Source!F168</f>
        <v>24.3.03.13-0304</v>
      </c>
      <c r="E440" s="31" t="str">
        <f>Source!H168</f>
        <v>10 м</v>
      </c>
      <c r="F440" s="12">
        <f>Source!I168</f>
        <v>0.98</v>
      </c>
      <c r="G440" s="23">
        <f>Source!AB168</f>
        <v>99.42</v>
      </c>
      <c r="H440" s="23">
        <f>Source!O168</f>
        <v>636.23</v>
      </c>
      <c r="T440">
        <f>Source!O168+Source!X168+Source!Y168</f>
        <v>636.23</v>
      </c>
      <c r="U440">
        <f>Source!P168</f>
        <v>636.23</v>
      </c>
      <c r="V440">
        <f>Source!S168</f>
        <v>0</v>
      </c>
      <c r="W440">
        <f>Source!Q168</f>
        <v>0</v>
      </c>
      <c r="X440">
        <f>Source!R168</f>
        <v>0</v>
      </c>
      <c r="Y440">
        <f>Source!U168</f>
        <v>0</v>
      </c>
      <c r="Z440">
        <f>Source!V168</f>
        <v>0</v>
      </c>
      <c r="AA440">
        <f>Source!X168</f>
        <v>0</v>
      </c>
      <c r="AB440">
        <f>Source!Y168</f>
        <v>0</v>
      </c>
    </row>
    <row r="441" spans="1:28" ht="14.25" x14ac:dyDescent="0.2">
      <c r="C441" s="25" t="s">
        <v>1014</v>
      </c>
      <c r="D441" s="25">
        <f>Source!BC168</f>
        <v>6.53</v>
      </c>
      <c r="F441" s="12"/>
      <c r="G441" s="12"/>
      <c r="H441" s="12"/>
    </row>
    <row r="442" spans="1:28" ht="28.5" x14ac:dyDescent="0.2">
      <c r="A442" s="46">
        <v>74</v>
      </c>
      <c r="B442" s="46" t="str">
        <f>Source!E169</f>
        <v>38</v>
      </c>
      <c r="C442" s="46" t="str">
        <f>Source!G169</f>
        <v>Коробка ответвительная на стене</v>
      </c>
      <c r="D442" s="46" t="str">
        <f>Source!F169</f>
        <v>м10-08-019-01</v>
      </c>
      <c r="E442" s="31" t="str">
        <f>Source!H169</f>
        <v>ШТ</v>
      </c>
      <c r="F442" s="12">
        <f>Source!I169</f>
        <v>110</v>
      </c>
      <c r="G442" s="23">
        <f>Source!AB169</f>
        <v>5.29</v>
      </c>
      <c r="H442" s="23">
        <f>Source!O169</f>
        <v>3799.8</v>
      </c>
      <c r="T442">
        <f>Source!O169+Source!X169+Source!Y169</f>
        <v>8707.2199999999993</v>
      </c>
      <c r="U442">
        <f>Source!P169</f>
        <v>294.5</v>
      </c>
      <c r="V442">
        <f>Source!S169</f>
        <v>3505.3</v>
      </c>
      <c r="W442">
        <f>Source!Q169</f>
        <v>0</v>
      </c>
      <c r="X442">
        <f>Source!R169</f>
        <v>0</v>
      </c>
      <c r="Y442">
        <f>Source!U169</f>
        <v>55</v>
      </c>
      <c r="Z442">
        <f>Source!V169</f>
        <v>0</v>
      </c>
      <c r="AA442">
        <f>Source!X169</f>
        <v>2804.24</v>
      </c>
      <c r="AB442">
        <f>Source!Y169</f>
        <v>2103.1799999999998</v>
      </c>
    </row>
    <row r="443" spans="1:28" ht="14.25" x14ac:dyDescent="0.2">
      <c r="C443" s="25" t="s">
        <v>1012</v>
      </c>
      <c r="D443" s="25">
        <f>Source!BA169</f>
        <v>6.53</v>
      </c>
      <c r="F443" s="12"/>
      <c r="G443" s="12"/>
      <c r="H443" s="12"/>
    </row>
    <row r="444" spans="1:28" x14ac:dyDescent="0.2">
      <c r="C444" s="25" t="s">
        <v>1013</v>
      </c>
      <c r="D444" s="25">
        <f>Source!BB169</f>
        <v>6.53</v>
      </c>
    </row>
    <row r="445" spans="1:28" x14ac:dyDescent="0.2">
      <c r="C445" s="25" t="s">
        <v>1014</v>
      </c>
      <c r="D445" s="25">
        <f>Source!BC169</f>
        <v>6.53</v>
      </c>
    </row>
    <row r="446" spans="1:28" x14ac:dyDescent="0.2">
      <c r="C446" s="25" t="s">
        <v>1015</v>
      </c>
      <c r="D446" s="25">
        <f>Source!BS169</f>
        <v>6.53</v>
      </c>
    </row>
    <row r="447" spans="1:28" x14ac:dyDescent="0.2">
      <c r="C447" s="9" t="s">
        <v>1016</v>
      </c>
      <c r="D447" s="33"/>
      <c r="E447" s="33"/>
      <c r="F447" s="33">
        <f>Source!BZ169</f>
        <v>80</v>
      </c>
      <c r="G447" s="57">
        <f>(Source!AF169+Source!AE169)*Source!FX169/100</f>
        <v>3.9039999999999999</v>
      </c>
      <c r="H447" s="57">
        <f>Source!X169</f>
        <v>2804.24</v>
      </c>
    </row>
    <row r="448" spans="1:28" x14ac:dyDescent="0.2">
      <c r="C448" s="9" t="s">
        <v>1017</v>
      </c>
      <c r="D448" s="33"/>
      <c r="E448" s="33"/>
      <c r="F448" s="33">
        <f>Source!CA169</f>
        <v>60</v>
      </c>
      <c r="G448" s="57">
        <f>(Source!AF169+Source!AE169)*Source!FY169/100</f>
        <v>2.9279999999999999</v>
      </c>
      <c r="H448" s="57">
        <f>Source!Y169</f>
        <v>2103.1799999999998</v>
      </c>
    </row>
    <row r="449" spans="1:28" x14ac:dyDescent="0.2">
      <c r="C449" s="9" t="s">
        <v>1018</v>
      </c>
      <c r="D449" s="33"/>
      <c r="E449" s="33"/>
      <c r="F449" s="33"/>
      <c r="G449" s="57">
        <f>((Source!AF169+Source!AE169)*Source!FX169/100)+((Source!AF169+Source!AE169)*Source!FY169/100)+Source!AB169</f>
        <v>12.122</v>
      </c>
      <c r="H449" s="57">
        <f>Source!O169+Source!X169+Source!Y169</f>
        <v>8707.2199999999993</v>
      </c>
    </row>
    <row r="450" spans="1:28" ht="28.5" x14ac:dyDescent="0.2">
      <c r="A450" s="46">
        <v>75</v>
      </c>
      <c r="B450" s="46" t="str">
        <f>Source!E170</f>
        <v>38,1</v>
      </c>
      <c r="C450" s="46" t="str">
        <f>Source!G170</f>
        <v>Коробка ответвительная SchneiderElectrik 100x100x50мм прим.</v>
      </c>
      <c r="D450" s="46" t="str">
        <f>Source!F170</f>
        <v>20.5.02.04-0004</v>
      </c>
      <c r="E450" s="31" t="str">
        <f>Source!H170</f>
        <v>10 шт.</v>
      </c>
      <c r="F450" s="12">
        <f>Source!I170</f>
        <v>11</v>
      </c>
      <c r="G450" s="23">
        <f>Source!AB170</f>
        <v>62.4</v>
      </c>
      <c r="H450" s="23">
        <f>Source!O170</f>
        <v>4482.1899999999996</v>
      </c>
      <c r="T450">
        <f>Source!O170+Source!X170+Source!Y170</f>
        <v>4482.1899999999996</v>
      </c>
      <c r="U450">
        <f>Source!P170</f>
        <v>4482.1899999999996</v>
      </c>
      <c r="V450">
        <f>Source!S170</f>
        <v>0</v>
      </c>
      <c r="W450">
        <f>Source!Q170</f>
        <v>0</v>
      </c>
      <c r="X450">
        <f>Source!R170</f>
        <v>0</v>
      </c>
      <c r="Y450">
        <f>Source!U170</f>
        <v>0</v>
      </c>
      <c r="Z450">
        <f>Source!V170</f>
        <v>0</v>
      </c>
      <c r="AA450">
        <f>Source!X170</f>
        <v>0</v>
      </c>
      <c r="AB450">
        <f>Source!Y170</f>
        <v>0</v>
      </c>
    </row>
    <row r="451" spans="1:28" ht="14.25" x14ac:dyDescent="0.2">
      <c r="C451" s="25" t="s">
        <v>1014</v>
      </c>
      <c r="D451" s="25">
        <f>Source!BC170</f>
        <v>6.53</v>
      </c>
      <c r="F451" s="12"/>
      <c r="G451" s="12"/>
      <c r="H451" s="12"/>
    </row>
    <row r="452" spans="1:28" ht="28.5" x14ac:dyDescent="0.2">
      <c r="A452" s="46">
        <v>76</v>
      </c>
      <c r="B452" s="46" t="str">
        <f>Source!E171</f>
        <v>39</v>
      </c>
      <c r="C452" s="46" t="str">
        <f>Source!G171</f>
        <v>Короба пластмассовые шириной до 120 мм</v>
      </c>
      <c r="D452" s="46" t="str">
        <f>Source!F171</f>
        <v>м08-02-390-03</v>
      </c>
      <c r="E452" s="31" t="str">
        <f>Source!H171</f>
        <v>100 м</v>
      </c>
      <c r="F452" s="12">
        <f>Source!I171</f>
        <v>0.57499999999999996</v>
      </c>
      <c r="G452" s="23">
        <f>Source!AB171</f>
        <v>286.92</v>
      </c>
      <c r="H452" s="23">
        <f>Source!O171</f>
        <v>1077.31</v>
      </c>
      <c r="T452">
        <f>Source!O171+Source!X171+Source!Y171</f>
        <v>2239.67</v>
      </c>
      <c r="U452">
        <f>Source!P171</f>
        <v>350.21</v>
      </c>
      <c r="V452">
        <f>Source!S171</f>
        <v>725.94</v>
      </c>
      <c r="W452">
        <f>Source!Q171</f>
        <v>1.1599999999999999</v>
      </c>
      <c r="X452">
        <f>Source!R171</f>
        <v>0.53</v>
      </c>
      <c r="Y452">
        <f>Source!U171</f>
        <v>11.689749999999998</v>
      </c>
      <c r="Z452">
        <f>Source!V171</f>
        <v>5.7499999999999999E-3</v>
      </c>
      <c r="AA452">
        <f>Source!X171</f>
        <v>690.15</v>
      </c>
      <c r="AB452">
        <f>Source!Y171</f>
        <v>472.21</v>
      </c>
    </row>
    <row r="453" spans="1:28" ht="14.25" x14ac:dyDescent="0.2">
      <c r="C453" s="25" t="s">
        <v>1012</v>
      </c>
      <c r="D453" s="25">
        <f>Source!BA171</f>
        <v>6.53</v>
      </c>
      <c r="F453" s="12"/>
      <c r="G453" s="12"/>
      <c r="H453" s="12"/>
    </row>
    <row r="454" spans="1:28" x14ac:dyDescent="0.2">
      <c r="C454" s="25" t="s">
        <v>1013</v>
      </c>
      <c r="D454" s="25">
        <f>Source!BB171</f>
        <v>6.53</v>
      </c>
    </row>
    <row r="455" spans="1:28" x14ac:dyDescent="0.2">
      <c r="C455" s="25" t="s">
        <v>1014</v>
      </c>
      <c r="D455" s="25">
        <f>Source!BC171</f>
        <v>6.53</v>
      </c>
    </row>
    <row r="456" spans="1:28" x14ac:dyDescent="0.2">
      <c r="C456" s="25" t="s">
        <v>1015</v>
      </c>
      <c r="D456" s="25">
        <f>Source!BS171</f>
        <v>6.53</v>
      </c>
    </row>
    <row r="457" spans="1:28" x14ac:dyDescent="0.2">
      <c r="C457" s="9" t="s">
        <v>1016</v>
      </c>
      <c r="D457" s="33"/>
      <c r="E457" s="33"/>
      <c r="F457" s="33">
        <f>Source!BZ171</f>
        <v>95</v>
      </c>
      <c r="G457" s="57">
        <f>(Source!AF171+Source!AE171)*Source!FX171/100</f>
        <v>183.80599999999998</v>
      </c>
      <c r="H457" s="57">
        <f>Source!X171</f>
        <v>690.15</v>
      </c>
    </row>
    <row r="458" spans="1:28" x14ac:dyDescent="0.2">
      <c r="C458" s="9" t="s">
        <v>1017</v>
      </c>
      <c r="D458" s="33"/>
      <c r="E458" s="33"/>
      <c r="F458" s="33">
        <f>Source!CA171</f>
        <v>65</v>
      </c>
      <c r="G458" s="57">
        <f>(Source!AF171+Source!AE171)*Source!FY171/100</f>
        <v>125.76199999999999</v>
      </c>
      <c r="H458" s="57">
        <f>Source!Y171</f>
        <v>472.21</v>
      </c>
    </row>
    <row r="459" spans="1:28" x14ac:dyDescent="0.2">
      <c r="C459" s="9" t="s">
        <v>1018</v>
      </c>
      <c r="D459" s="33"/>
      <c r="E459" s="33"/>
      <c r="F459" s="33"/>
      <c r="G459" s="57">
        <f>((Source!AF171+Source!AE171)*Source!FX171/100)+((Source!AF171+Source!AE171)*Source!FY171/100)+Source!AB171</f>
        <v>596.48800000000006</v>
      </c>
      <c r="H459" s="57">
        <f>Source!O171+Source!X171+Source!Y171</f>
        <v>2239.67</v>
      </c>
    </row>
    <row r="460" spans="1:28" ht="28.5" x14ac:dyDescent="0.2">
      <c r="A460" s="46">
        <v>77</v>
      </c>
      <c r="B460" s="46" t="str">
        <f>Source!E172</f>
        <v>39,1</v>
      </c>
      <c r="C460" s="46" t="str">
        <f>Source!G172</f>
        <v>Кабель-канал (короб)  Efapel 110x50 мм прим.</v>
      </c>
      <c r="D460" s="46" t="str">
        <f>Source!F172</f>
        <v>20.2.05.04-0034</v>
      </c>
      <c r="E460" s="31" t="str">
        <f>Source!H172</f>
        <v>100 м</v>
      </c>
      <c r="F460" s="12">
        <f>Source!I172</f>
        <v>0.57499999999999996</v>
      </c>
      <c r="G460" s="23">
        <f>Source!AB172</f>
        <v>1360</v>
      </c>
      <c r="H460" s="23">
        <f>Source!O172</f>
        <v>5106.46</v>
      </c>
      <c r="T460">
        <f>Source!O172+Source!X172+Source!Y172</f>
        <v>5106.46</v>
      </c>
      <c r="U460">
        <f>Source!P172</f>
        <v>5106.46</v>
      </c>
      <c r="V460">
        <f>Source!S172</f>
        <v>0</v>
      </c>
      <c r="W460">
        <f>Source!Q172</f>
        <v>0</v>
      </c>
      <c r="X460">
        <f>Source!R172</f>
        <v>0</v>
      </c>
      <c r="Y460">
        <f>Source!U172</f>
        <v>0</v>
      </c>
      <c r="Z460">
        <f>Source!V172</f>
        <v>0</v>
      </c>
      <c r="AA460">
        <f>Source!X172</f>
        <v>0</v>
      </c>
      <c r="AB460">
        <f>Source!Y172</f>
        <v>0</v>
      </c>
    </row>
    <row r="461" spans="1:28" ht="14.25" x14ac:dyDescent="0.2">
      <c r="C461" s="25" t="s">
        <v>1014</v>
      </c>
      <c r="D461" s="25">
        <f>Source!BC172</f>
        <v>6.53</v>
      </c>
      <c r="F461" s="12"/>
      <c r="G461" s="12"/>
      <c r="H461" s="12"/>
    </row>
    <row r="462" spans="1:28" ht="28.5" x14ac:dyDescent="0.2">
      <c r="A462" s="46">
        <v>78</v>
      </c>
      <c r="B462" s="46" t="str">
        <f>Source!E173</f>
        <v>40</v>
      </c>
      <c r="C462" s="46" t="str">
        <f>Source!G173</f>
        <v>Прокладка труб гофрированных ПВХ для защиты проводов и кабелей</v>
      </c>
      <c r="D462" s="46" t="str">
        <f>Source!F173</f>
        <v>м08-10-010-01</v>
      </c>
      <c r="E462" s="31" t="str">
        <f>Source!H173</f>
        <v>100 м</v>
      </c>
      <c r="F462" s="12">
        <f>Source!I173</f>
        <v>3.76</v>
      </c>
      <c r="G462" s="23">
        <f>Source!AB173</f>
        <v>156.33000000000001</v>
      </c>
      <c r="H462" s="23">
        <f>Source!O173</f>
        <v>3838.34</v>
      </c>
      <c r="T462">
        <f>Source!O173+Source!X173+Source!Y173</f>
        <v>9320.11</v>
      </c>
      <c r="U462">
        <f>Source!P173</f>
        <v>412.24</v>
      </c>
      <c r="V462">
        <f>Source!S173</f>
        <v>3426.1</v>
      </c>
      <c r="W462">
        <f>Source!Q173</f>
        <v>0</v>
      </c>
      <c r="X462">
        <f>Source!R173</f>
        <v>0</v>
      </c>
      <c r="Y462">
        <f>Source!U173</f>
        <v>57.151999999999994</v>
      </c>
      <c r="Z462">
        <f>Source!V173</f>
        <v>0</v>
      </c>
      <c r="AA462">
        <f>Source!X173</f>
        <v>3254.8</v>
      </c>
      <c r="AB462">
        <f>Source!Y173</f>
        <v>2226.9699999999998</v>
      </c>
    </row>
    <row r="463" spans="1:28" ht="14.25" x14ac:dyDescent="0.2">
      <c r="C463" s="25" t="s">
        <v>1012</v>
      </c>
      <c r="D463" s="25">
        <f>Source!BA173</f>
        <v>6.53</v>
      </c>
      <c r="F463" s="12"/>
      <c r="G463" s="12"/>
      <c r="H463" s="12"/>
    </row>
    <row r="464" spans="1:28" x14ac:dyDescent="0.2">
      <c r="C464" s="25" t="s">
        <v>1013</v>
      </c>
      <c r="D464" s="25">
        <f>Source!BB173</f>
        <v>6.53</v>
      </c>
    </row>
    <row r="465" spans="1:28" x14ac:dyDescent="0.2">
      <c r="C465" s="25" t="s">
        <v>1014</v>
      </c>
      <c r="D465" s="25">
        <f>Source!BC173</f>
        <v>6.53</v>
      </c>
    </row>
    <row r="466" spans="1:28" x14ac:dyDescent="0.2">
      <c r="C466" s="25" t="s">
        <v>1015</v>
      </c>
      <c r="D466" s="25">
        <f>Source!BS173</f>
        <v>6.53</v>
      </c>
    </row>
    <row r="467" spans="1:28" x14ac:dyDescent="0.2">
      <c r="C467" s="9" t="s">
        <v>1016</v>
      </c>
      <c r="D467" s="33"/>
      <c r="E467" s="33"/>
      <c r="F467" s="33">
        <f>Source!BZ173</f>
        <v>95</v>
      </c>
      <c r="G467" s="57">
        <f>(Source!AF173+Source!AE173)*Source!FX173/100</f>
        <v>132.56299999999999</v>
      </c>
      <c r="H467" s="57">
        <f>Source!X173</f>
        <v>3254.8</v>
      </c>
    </row>
    <row r="468" spans="1:28" x14ac:dyDescent="0.2">
      <c r="C468" s="9" t="s">
        <v>1017</v>
      </c>
      <c r="D468" s="33"/>
      <c r="E468" s="33"/>
      <c r="F468" s="33">
        <f>Source!CA173</f>
        <v>65</v>
      </c>
      <c r="G468" s="57">
        <f>(Source!AF173+Source!AE173)*Source!FY173/100</f>
        <v>90.701000000000008</v>
      </c>
      <c r="H468" s="57">
        <f>Source!Y173</f>
        <v>2226.9699999999998</v>
      </c>
    </row>
    <row r="469" spans="1:28" x14ac:dyDescent="0.2">
      <c r="C469" s="9" t="s">
        <v>1018</v>
      </c>
      <c r="D469" s="33"/>
      <c r="E469" s="33"/>
      <c r="F469" s="33"/>
      <c r="G469" s="57">
        <f>((Source!AF173+Source!AE173)*Source!FX173/100)+((Source!AF173+Source!AE173)*Source!FY173/100)+Source!AB173</f>
        <v>379.59400000000005</v>
      </c>
      <c r="H469" s="57">
        <f>Source!O173+Source!X173+Source!Y173</f>
        <v>9320.11</v>
      </c>
    </row>
    <row r="470" spans="1:28" ht="42.75" x14ac:dyDescent="0.2">
      <c r="A470" s="46">
        <v>79</v>
      </c>
      <c r="B470" s="46" t="str">
        <f>Source!E174</f>
        <v>40,1</v>
      </c>
      <c r="C470" s="46" t="str">
        <f>Source!G174</f>
        <v>Трубы гибкие гофрированные легкие из ПНД, серии BL, с зондом, диаметром 20 мм</v>
      </c>
      <c r="D470" s="46" t="str">
        <f>Source!F174</f>
        <v>24.3.03.05-0012</v>
      </c>
      <c r="E470" s="31" t="str">
        <f>Source!H174</f>
        <v>10 м</v>
      </c>
      <c r="F470" s="12">
        <f>Source!I174</f>
        <v>37.6</v>
      </c>
      <c r="G470" s="23">
        <f>Source!AB174</f>
        <v>31.6</v>
      </c>
      <c r="H470" s="23">
        <f>Source!O174</f>
        <v>7758.68</v>
      </c>
      <c r="T470">
        <f>Source!O174+Source!X174+Source!Y174</f>
        <v>7758.68</v>
      </c>
      <c r="U470">
        <f>Source!P174</f>
        <v>7758.68</v>
      </c>
      <c r="V470">
        <f>Source!S174</f>
        <v>0</v>
      </c>
      <c r="W470">
        <f>Source!Q174</f>
        <v>0</v>
      </c>
      <c r="X470">
        <f>Source!R174</f>
        <v>0</v>
      </c>
      <c r="Y470">
        <f>Source!U174</f>
        <v>0</v>
      </c>
      <c r="Z470">
        <f>Source!V174</f>
        <v>0</v>
      </c>
      <c r="AA470">
        <f>Source!X174</f>
        <v>0</v>
      </c>
      <c r="AB470">
        <f>Source!Y174</f>
        <v>0</v>
      </c>
    </row>
    <row r="471" spans="1:28" ht="14.25" x14ac:dyDescent="0.2">
      <c r="C471" s="25" t="s">
        <v>1014</v>
      </c>
      <c r="D471" s="25">
        <f>Source!BC174</f>
        <v>6.53</v>
      </c>
      <c r="F471" s="12"/>
      <c r="G471" s="12"/>
      <c r="H471" s="12"/>
    </row>
    <row r="472" spans="1:28" ht="28.5" x14ac:dyDescent="0.2">
      <c r="A472" s="46">
        <v>80</v>
      </c>
      <c r="B472" s="46" t="str">
        <f>Source!E175</f>
        <v>41</v>
      </c>
      <c r="C472" s="46" t="str">
        <f>Source!G175</f>
        <v>Прокладка кабеля  в коробах, сечением до 35 мм2</v>
      </c>
      <c r="D472" s="46" t="str">
        <f>Source!F175</f>
        <v>м08-02-399-02</v>
      </c>
      <c r="E472" s="31" t="str">
        <f>Source!H175</f>
        <v>100 м</v>
      </c>
      <c r="F472" s="12">
        <f>Source!I175</f>
        <v>0.8</v>
      </c>
      <c r="G472" s="23">
        <f>Source!AB175</f>
        <v>50.72</v>
      </c>
      <c r="H472" s="23">
        <f>Source!O175</f>
        <v>264.97000000000003</v>
      </c>
      <c r="T472">
        <f>Source!O175+Source!X175+Source!Y175</f>
        <v>562.54000000000008</v>
      </c>
      <c r="U472">
        <f>Source!P175</f>
        <v>71.05</v>
      </c>
      <c r="V472">
        <f>Source!S175</f>
        <v>184.62</v>
      </c>
      <c r="W472">
        <f>Source!Q175</f>
        <v>9.3000000000000007</v>
      </c>
      <c r="X472">
        <f>Source!R175</f>
        <v>1.36</v>
      </c>
      <c r="Y472">
        <f>Source!U175</f>
        <v>3.008</v>
      </c>
      <c r="Z472">
        <f>Source!V175</f>
        <v>1.6E-2</v>
      </c>
      <c r="AA472">
        <f>Source!X175</f>
        <v>176.68</v>
      </c>
      <c r="AB472">
        <f>Source!Y175</f>
        <v>120.89</v>
      </c>
    </row>
    <row r="473" spans="1:28" ht="14.25" x14ac:dyDescent="0.2">
      <c r="C473" s="25" t="s">
        <v>1012</v>
      </c>
      <c r="D473" s="25">
        <f>Source!BA175</f>
        <v>6.53</v>
      </c>
      <c r="F473" s="12"/>
      <c r="G473" s="12"/>
      <c r="H473" s="12"/>
    </row>
    <row r="474" spans="1:28" x14ac:dyDescent="0.2">
      <c r="C474" s="25" t="s">
        <v>1013</v>
      </c>
      <c r="D474" s="25">
        <f>Source!BB175</f>
        <v>6.53</v>
      </c>
    </row>
    <row r="475" spans="1:28" x14ac:dyDescent="0.2">
      <c r="C475" s="25" t="s">
        <v>1014</v>
      </c>
      <c r="D475" s="25">
        <f>Source!BC175</f>
        <v>6.53</v>
      </c>
    </row>
    <row r="476" spans="1:28" x14ac:dyDescent="0.2">
      <c r="C476" s="25" t="s">
        <v>1015</v>
      </c>
      <c r="D476" s="25">
        <f>Source!BS175</f>
        <v>6.53</v>
      </c>
    </row>
    <row r="477" spans="1:28" x14ac:dyDescent="0.2">
      <c r="C477" s="9" t="s">
        <v>1016</v>
      </c>
      <c r="D477" s="33"/>
      <c r="E477" s="33"/>
      <c r="F477" s="33">
        <f>Source!BZ175</f>
        <v>95</v>
      </c>
      <c r="G477" s="57">
        <f>(Source!AF175+Source!AE175)*Source!FX175/100</f>
        <v>33.82</v>
      </c>
      <c r="H477" s="57">
        <f>Source!X175</f>
        <v>176.68</v>
      </c>
    </row>
    <row r="478" spans="1:28" x14ac:dyDescent="0.2">
      <c r="C478" s="9" t="s">
        <v>1017</v>
      </c>
      <c r="D478" s="33"/>
      <c r="E478" s="33"/>
      <c r="F478" s="33">
        <f>Source!CA175</f>
        <v>65</v>
      </c>
      <c r="G478" s="57">
        <f>(Source!AF175+Source!AE175)*Source!FY175/100</f>
        <v>23.14</v>
      </c>
      <c r="H478" s="57">
        <f>Source!Y175</f>
        <v>120.89</v>
      </c>
    </row>
    <row r="479" spans="1:28" x14ac:dyDescent="0.2">
      <c r="C479" s="9" t="s">
        <v>1018</v>
      </c>
      <c r="D479" s="33"/>
      <c r="E479" s="33"/>
      <c r="F479" s="33"/>
      <c r="G479" s="57">
        <f>((Source!AF175+Source!AE175)*Source!FX175/100)+((Source!AF175+Source!AE175)*Source!FY175/100)+Source!AB175</f>
        <v>107.68</v>
      </c>
      <c r="H479" s="57">
        <f>Source!O175+Source!X175+Source!Y175</f>
        <v>562.54000000000008</v>
      </c>
    </row>
    <row r="480" spans="1:28" ht="85.5" x14ac:dyDescent="0.2">
      <c r="A480" s="46">
        <v>81</v>
      </c>
      <c r="B480" s="46" t="str">
        <f>Source!E176</f>
        <v>41,1</v>
      </c>
      <c r="C480" s="46" t="str">
        <f>Source!G176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480" s="46" t="str">
        <f>Source!F176</f>
        <v>21.1.06.09-0152</v>
      </c>
      <c r="E480" s="31" t="str">
        <f>Source!H176</f>
        <v>1000 м</v>
      </c>
      <c r="F480" s="12">
        <f>Source!I176</f>
        <v>0.08</v>
      </c>
      <c r="G480" s="23">
        <f>Source!AB176</f>
        <v>6920.41</v>
      </c>
      <c r="H480" s="23">
        <f>Source!O176</f>
        <v>3615.22</v>
      </c>
      <c r="T480">
        <f>Source!O176+Source!X176+Source!Y176</f>
        <v>3615.22</v>
      </c>
      <c r="U480">
        <f>Source!P176</f>
        <v>3615.22</v>
      </c>
      <c r="V480">
        <f>Source!S176</f>
        <v>0</v>
      </c>
      <c r="W480">
        <f>Source!Q176</f>
        <v>0</v>
      </c>
      <c r="X480">
        <f>Source!R176</f>
        <v>0</v>
      </c>
      <c r="Y480">
        <f>Source!U176</f>
        <v>0</v>
      </c>
      <c r="Z480">
        <f>Source!V176</f>
        <v>0</v>
      </c>
      <c r="AA480">
        <f>Source!X176</f>
        <v>0</v>
      </c>
      <c r="AB480">
        <f>Source!Y176</f>
        <v>0</v>
      </c>
    </row>
    <row r="481" spans="1:28" ht="14.25" x14ac:dyDescent="0.2">
      <c r="C481" s="25" t="s">
        <v>1014</v>
      </c>
      <c r="D481" s="25">
        <f>Source!BC176</f>
        <v>6.53</v>
      </c>
      <c r="F481" s="12"/>
      <c r="G481" s="12"/>
      <c r="H481" s="12"/>
    </row>
    <row r="482" spans="1:28" ht="71.25" x14ac:dyDescent="0.2">
      <c r="A482" s="46">
        <v>82</v>
      </c>
      <c r="B482" s="46" t="str">
        <f>Source!E177</f>
        <v>42</v>
      </c>
      <c r="C482" s="46" t="str">
        <f>Source!G177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482" s="46" t="str">
        <f>Source!F177</f>
        <v>м08-02-412-03</v>
      </c>
      <c r="E482" s="31" t="str">
        <f>Source!H177</f>
        <v>100 м</v>
      </c>
      <c r="F482" s="12">
        <f>Source!I177</f>
        <v>7.06</v>
      </c>
      <c r="G482" s="23">
        <f>Source!AB177</f>
        <v>87.15</v>
      </c>
      <c r="H482" s="23">
        <f>Source!O177</f>
        <v>4017.77</v>
      </c>
      <c r="T482">
        <f>Source!O177+Source!X177+Source!Y177</f>
        <v>8435.44</v>
      </c>
      <c r="U482">
        <f>Source!P177</f>
        <v>1046.05</v>
      </c>
      <c r="V482">
        <f>Source!S177</f>
        <v>2726</v>
      </c>
      <c r="W482">
        <f>Source!Q177</f>
        <v>245.72</v>
      </c>
      <c r="X482">
        <f>Source!R177</f>
        <v>35.04</v>
      </c>
      <c r="Y482">
        <f>Source!U177</f>
        <v>44.407399999999996</v>
      </c>
      <c r="Z482">
        <f>Source!V177</f>
        <v>0.42359999999999998</v>
      </c>
      <c r="AA482">
        <f>Source!X177</f>
        <v>2622.99</v>
      </c>
      <c r="AB482">
        <f>Source!Y177</f>
        <v>1794.68</v>
      </c>
    </row>
    <row r="483" spans="1:28" ht="14.25" x14ac:dyDescent="0.2">
      <c r="C483" s="25" t="s">
        <v>1012</v>
      </c>
      <c r="D483" s="25">
        <f>Source!BA177</f>
        <v>6.53</v>
      </c>
      <c r="F483" s="12"/>
      <c r="G483" s="12"/>
      <c r="H483" s="12"/>
    </row>
    <row r="484" spans="1:28" x14ac:dyDescent="0.2">
      <c r="C484" s="25" t="s">
        <v>1013</v>
      </c>
      <c r="D484" s="25">
        <f>Source!BB177</f>
        <v>6.53</v>
      </c>
    </row>
    <row r="485" spans="1:28" x14ac:dyDescent="0.2">
      <c r="C485" s="25" t="s">
        <v>1014</v>
      </c>
      <c r="D485" s="25">
        <f>Source!BC177</f>
        <v>6.53</v>
      </c>
    </row>
    <row r="486" spans="1:28" x14ac:dyDescent="0.2">
      <c r="C486" s="25" t="s">
        <v>1015</v>
      </c>
      <c r="D486" s="25">
        <f>Source!BS177</f>
        <v>6.53</v>
      </c>
    </row>
    <row r="487" spans="1:28" x14ac:dyDescent="0.2">
      <c r="C487" s="9" t="s">
        <v>1016</v>
      </c>
      <c r="D487" s="33"/>
      <c r="E487" s="33"/>
      <c r="F487" s="33">
        <f>Source!BZ177</f>
        <v>95</v>
      </c>
      <c r="G487" s="57">
        <f>(Source!AF177+Source!AE177)*Source!FX177/100</f>
        <v>56.895499999999998</v>
      </c>
      <c r="H487" s="57">
        <f>Source!X177</f>
        <v>2622.99</v>
      </c>
    </row>
    <row r="488" spans="1:28" x14ac:dyDescent="0.2">
      <c r="C488" s="9" t="s">
        <v>1017</v>
      </c>
      <c r="D488" s="33"/>
      <c r="E488" s="33"/>
      <c r="F488" s="33">
        <f>Source!CA177</f>
        <v>65</v>
      </c>
      <c r="G488" s="57">
        <f>(Source!AF177+Source!AE177)*Source!FY177/100</f>
        <v>38.9285</v>
      </c>
      <c r="H488" s="57">
        <f>Source!Y177</f>
        <v>1794.68</v>
      </c>
    </row>
    <row r="489" spans="1:28" x14ac:dyDescent="0.2">
      <c r="C489" s="9" t="s">
        <v>1018</v>
      </c>
      <c r="D489" s="33"/>
      <c r="E489" s="33"/>
      <c r="F489" s="33"/>
      <c r="G489" s="57">
        <f>((Source!AF177+Source!AE177)*Source!FX177/100)+((Source!AF177+Source!AE177)*Source!FY177/100)+Source!AB177</f>
        <v>182.97399999999999</v>
      </c>
      <c r="H489" s="57">
        <f>Source!O177+Source!X177+Source!Y177</f>
        <v>8435.44</v>
      </c>
    </row>
    <row r="490" spans="1:28" ht="85.5" x14ac:dyDescent="0.2">
      <c r="A490" s="46">
        <v>83</v>
      </c>
      <c r="B490" s="46" t="str">
        <f>Source!E178</f>
        <v>42,1</v>
      </c>
      <c r="C490" s="46" t="str">
        <f>Source!G178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490" s="46" t="str">
        <f>Source!F178</f>
        <v>21.1.06.09-0152</v>
      </c>
      <c r="E490" s="31" t="str">
        <f>Source!H178</f>
        <v>1000 м</v>
      </c>
      <c r="F490" s="12">
        <f>Source!I178</f>
        <v>0.70599999999999996</v>
      </c>
      <c r="G490" s="23">
        <f>Source!AB178</f>
        <v>6920.41</v>
      </c>
      <c r="H490" s="23">
        <f>Source!O178</f>
        <v>31904.34</v>
      </c>
      <c r="T490">
        <f>Source!O178+Source!X178+Source!Y178</f>
        <v>31904.34</v>
      </c>
      <c r="U490">
        <f>Source!P178</f>
        <v>31904.34</v>
      </c>
      <c r="V490">
        <f>Source!S178</f>
        <v>0</v>
      </c>
      <c r="W490">
        <f>Source!Q178</f>
        <v>0</v>
      </c>
      <c r="X490">
        <f>Source!R178</f>
        <v>0</v>
      </c>
      <c r="Y490">
        <f>Source!U178</f>
        <v>0</v>
      </c>
      <c r="Z490">
        <f>Source!V178</f>
        <v>0</v>
      </c>
      <c r="AA490">
        <f>Source!X178</f>
        <v>0</v>
      </c>
      <c r="AB490">
        <f>Source!Y178</f>
        <v>0</v>
      </c>
    </row>
    <row r="491" spans="1:28" ht="14.25" x14ac:dyDescent="0.2">
      <c r="C491" s="25" t="s">
        <v>1014</v>
      </c>
      <c r="D491" s="25">
        <f>Source!BC178</f>
        <v>6.53</v>
      </c>
      <c r="F491" s="12"/>
      <c r="G491" s="12"/>
      <c r="H491" s="12"/>
    </row>
    <row r="492" spans="1:28" ht="42.75" x14ac:dyDescent="0.2">
      <c r="A492" s="46">
        <v>84</v>
      </c>
      <c r="B492" s="46" t="str">
        <f>Source!E179</f>
        <v>43</v>
      </c>
      <c r="C492" s="46" t="str">
        <f>Source!G179</f>
        <v>Выключатель двухклавишный неутопленного типа при открытой проводке</v>
      </c>
      <c r="D492" s="46" t="str">
        <f>Source!F179</f>
        <v>м08-03-591-04</v>
      </c>
      <c r="E492" s="31" t="str">
        <f>Source!H179</f>
        <v>100 ШТ</v>
      </c>
      <c r="F492" s="12">
        <f>Source!I179</f>
        <v>7.0000000000000007E-2</v>
      </c>
      <c r="G492" s="23">
        <f>Source!AB179</f>
        <v>456.35</v>
      </c>
      <c r="H492" s="23">
        <f>Source!O179</f>
        <v>208.59</v>
      </c>
      <c r="T492">
        <f>Source!O179+Source!X179+Source!Y179</f>
        <v>463.92</v>
      </c>
      <c r="U492">
        <f>Source!P179</f>
        <v>47.17</v>
      </c>
      <c r="V492">
        <f>Source!S179</f>
        <v>159.29</v>
      </c>
      <c r="W492">
        <f>Source!Q179</f>
        <v>2.13</v>
      </c>
      <c r="X492">
        <f>Source!R179</f>
        <v>0.28999999999999998</v>
      </c>
      <c r="Y492">
        <f>Source!U179</f>
        <v>2.4591000000000003</v>
      </c>
      <c r="Z492">
        <f>Source!V179</f>
        <v>3.5000000000000005E-3</v>
      </c>
      <c r="AA492">
        <f>Source!X179</f>
        <v>151.6</v>
      </c>
      <c r="AB492">
        <f>Source!Y179</f>
        <v>103.73</v>
      </c>
    </row>
    <row r="493" spans="1:28" ht="14.25" x14ac:dyDescent="0.2">
      <c r="C493" s="25" t="s">
        <v>1012</v>
      </c>
      <c r="D493" s="25">
        <f>Source!BA179</f>
        <v>6.53</v>
      </c>
      <c r="F493" s="12"/>
      <c r="G493" s="12"/>
      <c r="H493" s="12"/>
    </row>
    <row r="494" spans="1:28" x14ac:dyDescent="0.2">
      <c r="C494" s="25" t="s">
        <v>1013</v>
      </c>
      <c r="D494" s="25">
        <f>Source!BB179</f>
        <v>6.53</v>
      </c>
    </row>
    <row r="495" spans="1:28" x14ac:dyDescent="0.2">
      <c r="C495" s="25" t="s">
        <v>1014</v>
      </c>
      <c r="D495" s="25">
        <f>Source!BC179</f>
        <v>6.53</v>
      </c>
    </row>
    <row r="496" spans="1:28" x14ac:dyDescent="0.2">
      <c r="C496" s="25" t="s">
        <v>1015</v>
      </c>
      <c r="D496" s="25">
        <f>Source!BS179</f>
        <v>6.53</v>
      </c>
    </row>
    <row r="497" spans="1:28" x14ac:dyDescent="0.2">
      <c r="C497" s="9" t="s">
        <v>1016</v>
      </c>
      <c r="D497" s="33"/>
      <c r="E497" s="33"/>
      <c r="F497" s="33">
        <f>Source!BZ179</f>
        <v>95</v>
      </c>
      <c r="G497" s="57">
        <f>(Source!AF179+Source!AE179)*Source!FX179/100</f>
        <v>331.67349999999999</v>
      </c>
      <c r="H497" s="57">
        <f>Source!X179</f>
        <v>151.6</v>
      </c>
    </row>
    <row r="498" spans="1:28" x14ac:dyDescent="0.2">
      <c r="C498" s="9" t="s">
        <v>1017</v>
      </c>
      <c r="D498" s="33"/>
      <c r="E498" s="33"/>
      <c r="F498" s="33">
        <f>Source!CA179</f>
        <v>65</v>
      </c>
      <c r="G498" s="57">
        <f>(Source!AF179+Source!AE179)*Source!FY179/100</f>
        <v>226.93450000000001</v>
      </c>
      <c r="H498" s="57">
        <f>Source!Y179</f>
        <v>103.73</v>
      </c>
    </row>
    <row r="499" spans="1:28" x14ac:dyDescent="0.2">
      <c r="C499" s="9" t="s">
        <v>1018</v>
      </c>
      <c r="D499" s="33"/>
      <c r="E499" s="33"/>
      <c r="F499" s="33"/>
      <c r="G499" s="57">
        <f>((Source!AF179+Source!AE179)*Source!FX179/100)+((Source!AF179+Source!AE179)*Source!FY179/100)+Source!AB179</f>
        <v>1014.958</v>
      </c>
      <c r="H499" s="57">
        <f>Source!O179+Source!X179+Source!Y179</f>
        <v>463.92</v>
      </c>
    </row>
    <row r="500" spans="1:28" ht="57" x14ac:dyDescent="0.2">
      <c r="A500" s="46">
        <v>85</v>
      </c>
      <c r="B500" s="46" t="str">
        <f>Source!E180</f>
        <v>43,1</v>
      </c>
      <c r="C500" s="46" t="str">
        <f>Source!G180</f>
        <v>Выключатель двухклавишный для открытой проводки "EFAPEL" SBR(45х45мм),белый,с супортами прим.</v>
      </c>
      <c r="D500" s="46" t="str">
        <f>Source!F180</f>
        <v>20.4.01.01-0011</v>
      </c>
      <c r="E500" s="31" t="str">
        <f>Source!H180</f>
        <v>10 шт.</v>
      </c>
      <c r="F500" s="12">
        <f>Source!I180</f>
        <v>0.7</v>
      </c>
      <c r="G500" s="23">
        <f>Source!AB180</f>
        <v>85.6</v>
      </c>
      <c r="H500" s="23">
        <f>Source!O180</f>
        <v>391.28</v>
      </c>
      <c r="T500">
        <f>Source!O180+Source!X180+Source!Y180</f>
        <v>391.28</v>
      </c>
      <c r="U500">
        <f>Source!P180</f>
        <v>391.28</v>
      </c>
      <c r="V500">
        <f>Source!S180</f>
        <v>0</v>
      </c>
      <c r="W500">
        <f>Source!Q180</f>
        <v>0</v>
      </c>
      <c r="X500">
        <f>Source!R180</f>
        <v>0</v>
      </c>
      <c r="Y500">
        <f>Source!U180</f>
        <v>0</v>
      </c>
      <c r="Z500">
        <f>Source!V180</f>
        <v>0</v>
      </c>
      <c r="AA500">
        <f>Source!X180</f>
        <v>0</v>
      </c>
      <c r="AB500">
        <f>Source!Y180</f>
        <v>0</v>
      </c>
    </row>
    <row r="501" spans="1:28" ht="14.25" x14ac:dyDescent="0.2">
      <c r="C501" s="25" t="s">
        <v>1014</v>
      </c>
      <c r="D501" s="25">
        <f>Source!BC180</f>
        <v>6.53</v>
      </c>
      <c r="F501" s="12"/>
      <c r="G501" s="12"/>
      <c r="H501" s="12"/>
    </row>
    <row r="502" spans="1:28" ht="28.5" x14ac:dyDescent="0.2">
      <c r="A502" s="46">
        <v>86</v>
      </c>
      <c r="B502" s="46" t="str">
        <f>Source!E181</f>
        <v>44</v>
      </c>
      <c r="C502" s="46" t="str">
        <f>Source!G181</f>
        <v>Розетка штепсельная неутопленного типа при открытой проводке</v>
      </c>
      <c r="D502" s="46" t="str">
        <f>Source!F181</f>
        <v>м08-03-591-08</v>
      </c>
      <c r="E502" s="31" t="str">
        <f>Source!H181</f>
        <v>100 ШТ</v>
      </c>
      <c r="F502" s="12">
        <f>Source!I181</f>
        <v>0.39</v>
      </c>
      <c r="G502" s="23">
        <f>Source!AB181</f>
        <v>453.93</v>
      </c>
      <c r="H502" s="23">
        <f>Source!O181</f>
        <v>1156.02</v>
      </c>
      <c r="T502">
        <f>Source!O181+Source!X181+Source!Y181</f>
        <v>2555.6</v>
      </c>
      <c r="U502">
        <f>Source!P181</f>
        <v>271.02</v>
      </c>
      <c r="V502">
        <f>Source!S181</f>
        <v>873.11</v>
      </c>
      <c r="W502">
        <f>Source!Q181</f>
        <v>11.89</v>
      </c>
      <c r="X502">
        <f>Source!R181</f>
        <v>1.63</v>
      </c>
      <c r="Y502">
        <f>Source!U181</f>
        <v>13.478400000000001</v>
      </c>
      <c r="Z502">
        <f>Source!V181</f>
        <v>1.9500000000000003E-2</v>
      </c>
      <c r="AA502">
        <f>Source!X181</f>
        <v>831</v>
      </c>
      <c r="AB502">
        <f>Source!Y181</f>
        <v>568.58000000000004</v>
      </c>
    </row>
    <row r="503" spans="1:28" ht="14.25" x14ac:dyDescent="0.2">
      <c r="C503" s="25" t="s">
        <v>1012</v>
      </c>
      <c r="D503" s="25">
        <f>Source!BA181</f>
        <v>6.53</v>
      </c>
      <c r="F503" s="12"/>
      <c r="G503" s="12"/>
      <c r="H503" s="12"/>
    </row>
    <row r="504" spans="1:28" x14ac:dyDescent="0.2">
      <c r="C504" s="25" t="s">
        <v>1013</v>
      </c>
      <c r="D504" s="25">
        <f>Source!BB181</f>
        <v>6.53</v>
      </c>
    </row>
    <row r="505" spans="1:28" x14ac:dyDescent="0.2">
      <c r="C505" s="25" t="s">
        <v>1014</v>
      </c>
      <c r="D505" s="25">
        <f>Source!BC181</f>
        <v>6.53</v>
      </c>
    </row>
    <row r="506" spans="1:28" x14ac:dyDescent="0.2">
      <c r="C506" s="25" t="s">
        <v>1015</v>
      </c>
      <c r="D506" s="25">
        <f>Source!BS181</f>
        <v>6.53</v>
      </c>
    </row>
    <row r="507" spans="1:28" x14ac:dyDescent="0.2">
      <c r="C507" s="9" t="s">
        <v>1016</v>
      </c>
      <c r="D507" s="33"/>
      <c r="E507" s="33"/>
      <c r="F507" s="33">
        <f>Source!BZ181</f>
        <v>95</v>
      </c>
      <c r="G507" s="57">
        <f>(Source!AF181+Source!AE181)*Source!FX181/100</f>
        <v>326.30599999999993</v>
      </c>
      <c r="H507" s="57">
        <f>Source!X181</f>
        <v>831</v>
      </c>
    </row>
    <row r="508" spans="1:28" x14ac:dyDescent="0.2">
      <c r="C508" s="9" t="s">
        <v>1017</v>
      </c>
      <c r="D508" s="33"/>
      <c r="E508" s="33"/>
      <c r="F508" s="33">
        <f>Source!CA181</f>
        <v>65</v>
      </c>
      <c r="G508" s="57">
        <f>(Source!AF181+Source!AE181)*Source!FY181/100</f>
        <v>223.26199999999997</v>
      </c>
      <c r="H508" s="57">
        <f>Source!Y181</f>
        <v>568.58000000000004</v>
      </c>
    </row>
    <row r="509" spans="1:28" x14ac:dyDescent="0.2">
      <c r="C509" s="9" t="s">
        <v>1018</v>
      </c>
      <c r="D509" s="33"/>
      <c r="E509" s="33"/>
      <c r="F509" s="33"/>
      <c r="G509" s="57">
        <f>((Source!AF181+Source!AE181)*Source!FX181/100)+((Source!AF181+Source!AE181)*Source!FY181/100)+Source!AB181</f>
        <v>1003.4979999999998</v>
      </c>
      <c r="H509" s="57">
        <f>Source!O181+Source!X181+Source!Y181</f>
        <v>2555.6</v>
      </c>
    </row>
    <row r="510" spans="1:28" ht="42.75" x14ac:dyDescent="0.2">
      <c r="A510" s="46">
        <v>87</v>
      </c>
      <c r="B510" s="46" t="str">
        <f>Source!E182</f>
        <v>44,1</v>
      </c>
      <c r="C510" s="46" t="str">
        <f>Source!G182</f>
        <v>Розетка открытой проводки "EFAPEL" 220В2к+з,(45х45мм),белые с супортами в кабель-канал прим.</v>
      </c>
      <c r="D510" s="46" t="str">
        <f>Source!F182</f>
        <v>20.4.03.05-0004</v>
      </c>
      <c r="E510" s="31" t="str">
        <f>Source!H182</f>
        <v>100 шт.</v>
      </c>
      <c r="F510" s="12">
        <f>Source!I182</f>
        <v>0.32</v>
      </c>
      <c r="G510" s="23">
        <f>Source!AB182</f>
        <v>899</v>
      </c>
      <c r="H510" s="23">
        <f>Source!O182</f>
        <v>1878.55</v>
      </c>
      <c r="T510">
        <f>Source!O182+Source!X182+Source!Y182</f>
        <v>1878.55</v>
      </c>
      <c r="U510">
        <f>Source!P182</f>
        <v>1878.55</v>
      </c>
      <c r="V510">
        <f>Source!S182</f>
        <v>0</v>
      </c>
      <c r="W510">
        <f>Source!Q182</f>
        <v>0</v>
      </c>
      <c r="X510">
        <f>Source!R182</f>
        <v>0</v>
      </c>
      <c r="Y510">
        <f>Source!U182</f>
        <v>0</v>
      </c>
      <c r="Z510">
        <f>Source!V182</f>
        <v>0</v>
      </c>
      <c r="AA510">
        <f>Source!X182</f>
        <v>0</v>
      </c>
      <c r="AB510">
        <f>Source!Y182</f>
        <v>0</v>
      </c>
    </row>
    <row r="511" spans="1:28" ht="14.25" x14ac:dyDescent="0.2">
      <c r="C511" s="25" t="s">
        <v>1014</v>
      </c>
      <c r="D511" s="25">
        <f>Source!BC182</f>
        <v>6.53</v>
      </c>
      <c r="F511" s="12"/>
      <c r="G511" s="12"/>
      <c r="H511" s="12"/>
    </row>
    <row r="512" spans="1:28" ht="28.5" x14ac:dyDescent="0.2">
      <c r="A512" s="46">
        <v>88</v>
      </c>
      <c r="B512" s="46" t="str">
        <f>Source!E183</f>
        <v>44,2</v>
      </c>
      <c r="C512" s="46" t="str">
        <f>Source!G183</f>
        <v>Розетка  для открытой проводки (согласно тех.задания)</v>
      </c>
      <c r="D512" s="46" t="str">
        <f>Source!F183</f>
        <v>20.4.03.05-0005</v>
      </c>
      <c r="E512" s="31" t="str">
        <f>Source!H183</f>
        <v>100 шт.</v>
      </c>
      <c r="F512" s="12">
        <f>Source!I183</f>
        <v>7.0000000000000007E-2</v>
      </c>
      <c r="G512" s="23">
        <f>Source!AB183</f>
        <v>734</v>
      </c>
      <c r="H512" s="23">
        <f>Source!O183</f>
        <v>335.51</v>
      </c>
      <c r="T512">
        <f>Source!O183+Source!X183+Source!Y183</f>
        <v>335.51</v>
      </c>
      <c r="U512">
        <f>Source!P183</f>
        <v>335.51</v>
      </c>
      <c r="V512">
        <f>Source!S183</f>
        <v>0</v>
      </c>
      <c r="W512">
        <f>Source!Q183</f>
        <v>0</v>
      </c>
      <c r="X512">
        <f>Source!R183</f>
        <v>0</v>
      </c>
      <c r="Y512">
        <f>Source!U183</f>
        <v>0</v>
      </c>
      <c r="Z512">
        <f>Source!V183</f>
        <v>0</v>
      </c>
      <c r="AA512">
        <f>Source!X183</f>
        <v>0</v>
      </c>
      <c r="AB512">
        <f>Source!Y183</f>
        <v>0</v>
      </c>
    </row>
    <row r="513" spans="1:28" ht="14.25" x14ac:dyDescent="0.2">
      <c r="C513" s="25" t="s">
        <v>1014</v>
      </c>
      <c r="D513" s="25">
        <f>Source!BC183</f>
        <v>6.53</v>
      </c>
      <c r="F513" s="12"/>
      <c r="G513" s="12"/>
      <c r="H513" s="12"/>
    </row>
    <row r="514" spans="1:28" ht="28.5" x14ac:dyDescent="0.2">
      <c r="A514" s="46">
        <v>89</v>
      </c>
      <c r="B514" s="46" t="str">
        <f>Source!E184</f>
        <v>45</v>
      </c>
      <c r="C514" s="46" t="str">
        <f>Source!G184</f>
        <v>Щиток до трех групп, устанавливаемый в нише цоколя</v>
      </c>
      <c r="D514" s="46" t="str">
        <f>Source!F184</f>
        <v>м08-02-370-02 прим.</v>
      </c>
      <c r="E514" s="31" t="str">
        <f>Source!H184</f>
        <v>ШТ</v>
      </c>
      <c r="F514" s="12">
        <f>Source!I184</f>
        <v>7</v>
      </c>
      <c r="G514" s="23">
        <f>Source!AB184</f>
        <v>33.42</v>
      </c>
      <c r="H514" s="23">
        <f>Source!O184</f>
        <v>1527.63</v>
      </c>
      <c r="T514">
        <f>Source!O184+Source!X184+Source!Y184</f>
        <v>2402.34</v>
      </c>
      <c r="U514">
        <f>Source!P184</f>
        <v>283.39999999999998</v>
      </c>
      <c r="V514">
        <f>Source!S184</f>
        <v>431.96</v>
      </c>
      <c r="W514">
        <f>Source!Q184</f>
        <v>812.27</v>
      </c>
      <c r="X514">
        <f>Source!R184</f>
        <v>114.73</v>
      </c>
      <c r="Y514">
        <f>Source!U184</f>
        <v>6.3</v>
      </c>
      <c r="Z514">
        <f>Source!V184</f>
        <v>1.4000000000000001</v>
      </c>
      <c r="AA514">
        <f>Source!X184</f>
        <v>519.36</v>
      </c>
      <c r="AB514">
        <f>Source!Y184</f>
        <v>355.35</v>
      </c>
    </row>
    <row r="515" spans="1:28" ht="14.25" x14ac:dyDescent="0.2">
      <c r="C515" s="25" t="s">
        <v>1012</v>
      </c>
      <c r="D515" s="25">
        <f>Source!BA184</f>
        <v>6.53</v>
      </c>
      <c r="F515" s="12"/>
      <c r="G515" s="12"/>
      <c r="H515" s="12"/>
    </row>
    <row r="516" spans="1:28" x14ac:dyDescent="0.2">
      <c r="C516" s="25" t="s">
        <v>1013</v>
      </c>
      <c r="D516" s="25">
        <f>Source!BB184</f>
        <v>6.53</v>
      </c>
    </row>
    <row r="517" spans="1:28" x14ac:dyDescent="0.2">
      <c r="C517" s="25" t="s">
        <v>1014</v>
      </c>
      <c r="D517" s="25">
        <f>Source!BC184</f>
        <v>6.53</v>
      </c>
    </row>
    <row r="518" spans="1:28" x14ac:dyDescent="0.2">
      <c r="C518" s="25" t="s">
        <v>1015</v>
      </c>
      <c r="D518" s="25">
        <f>Source!BS184</f>
        <v>6.53</v>
      </c>
    </row>
    <row r="519" spans="1:28" x14ac:dyDescent="0.2">
      <c r="C519" s="9" t="s">
        <v>1016</v>
      </c>
      <c r="D519" s="33"/>
      <c r="E519" s="33"/>
      <c r="F519" s="33">
        <f>Source!BZ184</f>
        <v>95</v>
      </c>
      <c r="G519" s="57">
        <f>(Source!AF184+Source!AE184)*Source!FX184/100</f>
        <v>11.361999999999998</v>
      </c>
      <c r="H519" s="57">
        <f>Source!X184</f>
        <v>519.36</v>
      </c>
    </row>
    <row r="520" spans="1:28" x14ac:dyDescent="0.2">
      <c r="C520" s="9" t="s">
        <v>1017</v>
      </c>
      <c r="D520" s="33"/>
      <c r="E520" s="33"/>
      <c r="F520" s="33">
        <f>Source!CA184</f>
        <v>65</v>
      </c>
      <c r="G520" s="57">
        <f>(Source!AF184+Source!AE184)*Source!FY184/100</f>
        <v>7.774</v>
      </c>
      <c r="H520" s="57">
        <f>Source!Y184</f>
        <v>355.35</v>
      </c>
    </row>
    <row r="521" spans="1:28" x14ac:dyDescent="0.2">
      <c r="C521" s="9" t="s">
        <v>1018</v>
      </c>
      <c r="D521" s="33"/>
      <c r="E521" s="33"/>
      <c r="F521" s="33"/>
      <c r="G521" s="57">
        <f>((Source!AF184+Source!AE184)*Source!FX184/100)+((Source!AF184+Source!AE184)*Source!FY184/100)+Source!AB184</f>
        <v>52.555999999999997</v>
      </c>
      <c r="H521" s="57">
        <f>Source!O184+Source!X184+Source!Y184</f>
        <v>2402.34</v>
      </c>
    </row>
    <row r="522" spans="1:28" ht="57" x14ac:dyDescent="0.2">
      <c r="A522" s="46">
        <v>90</v>
      </c>
      <c r="B522" s="46" t="str">
        <f>Source!E185</f>
        <v>45,1</v>
      </c>
      <c r="C522" s="46" t="str">
        <f>Source!G185</f>
        <v>Щит навесной IEK ШРН-18э1 38,18 модулей ,IP31 с клемником(АВВ) с замком,материал корпуса металл прим.</v>
      </c>
      <c r="D522" s="46" t="str">
        <f>Source!F185</f>
        <v>62.1.02.03-0003</v>
      </c>
      <c r="E522" s="31" t="str">
        <f>Source!H185</f>
        <v>10 шт.</v>
      </c>
      <c r="F522" s="12">
        <f>Source!I185</f>
        <v>0.7</v>
      </c>
      <c r="G522" s="23">
        <f>Source!AB185</f>
        <v>188.5</v>
      </c>
      <c r="H522" s="23">
        <f>Source!O185</f>
        <v>861.63</v>
      </c>
      <c r="T522">
        <f>Source!O185+Source!X185+Source!Y185</f>
        <v>861.63</v>
      </c>
      <c r="U522">
        <f>Source!P185</f>
        <v>861.63</v>
      </c>
      <c r="V522">
        <f>Source!S185</f>
        <v>0</v>
      </c>
      <c r="W522">
        <f>Source!Q185</f>
        <v>0</v>
      </c>
      <c r="X522">
        <f>Source!R185</f>
        <v>0</v>
      </c>
      <c r="Y522">
        <f>Source!U185</f>
        <v>0</v>
      </c>
      <c r="Z522">
        <f>Source!V185</f>
        <v>0</v>
      </c>
      <c r="AA522">
        <f>Source!X185</f>
        <v>0</v>
      </c>
      <c r="AB522">
        <f>Source!Y185</f>
        <v>0</v>
      </c>
    </row>
    <row r="523" spans="1:28" ht="14.25" x14ac:dyDescent="0.2">
      <c r="C523" s="25" t="s">
        <v>1014</v>
      </c>
      <c r="D523" s="25">
        <f>Source!BC185</f>
        <v>6.53</v>
      </c>
      <c r="F523" s="12"/>
      <c r="G523" s="12"/>
      <c r="H523" s="12"/>
    </row>
    <row r="524" spans="1:28" ht="42.75" x14ac:dyDescent="0.2">
      <c r="A524" s="46">
        <v>91</v>
      </c>
      <c r="B524" s="46" t="str">
        <f>Source!E186</f>
        <v>46</v>
      </c>
      <c r="C524" s="46" t="str">
        <f>Source!G186</f>
        <v>Автомат одно-, двух-, трехполюсный, устанавливаемый на конструкции на стене или колонне, на ток до 25 А</v>
      </c>
      <c r="D524" s="46" t="str">
        <f>Source!F186</f>
        <v>м08-03-526-01</v>
      </c>
      <c r="E524" s="31" t="str">
        <f>Source!H186</f>
        <v>ШТ</v>
      </c>
      <c r="F524" s="12">
        <f>Source!I186</f>
        <v>44</v>
      </c>
      <c r="G524" s="23">
        <f>Source!AB186</f>
        <v>35.979999999999997</v>
      </c>
      <c r="H524" s="23">
        <f>Source!O186</f>
        <v>10337.780000000001</v>
      </c>
      <c r="T524">
        <f>Source!O186+Source!X186+Source!Y186</f>
        <v>17159.91</v>
      </c>
      <c r="U524">
        <f>Source!P186</f>
        <v>5772.26</v>
      </c>
      <c r="V524">
        <f>Source!S186</f>
        <v>4263.83</v>
      </c>
      <c r="W524">
        <f>Source!Q186</f>
        <v>301.69</v>
      </c>
      <c r="X524">
        <f>Source!R186</f>
        <v>0</v>
      </c>
      <c r="Y524">
        <f>Source!U186</f>
        <v>68.64</v>
      </c>
      <c r="Z524">
        <f>Source!V186</f>
        <v>0</v>
      </c>
      <c r="AA524">
        <f>Source!X186</f>
        <v>4050.64</v>
      </c>
      <c r="AB524">
        <f>Source!Y186</f>
        <v>2771.49</v>
      </c>
    </row>
    <row r="525" spans="1:28" ht="14.25" x14ac:dyDescent="0.2">
      <c r="C525" s="25" t="s">
        <v>1012</v>
      </c>
      <c r="D525" s="25">
        <f>Source!BA186</f>
        <v>6.53</v>
      </c>
      <c r="F525" s="12"/>
      <c r="G525" s="12"/>
      <c r="H525" s="12"/>
    </row>
    <row r="526" spans="1:28" x14ac:dyDescent="0.2">
      <c r="C526" s="25" t="s">
        <v>1013</v>
      </c>
      <c r="D526" s="25">
        <f>Source!BB186</f>
        <v>6.53</v>
      </c>
    </row>
    <row r="527" spans="1:28" x14ac:dyDescent="0.2">
      <c r="C527" s="25" t="s">
        <v>1014</v>
      </c>
      <c r="D527" s="25">
        <f>Source!BC186</f>
        <v>6.53</v>
      </c>
    </row>
    <row r="528" spans="1:28" x14ac:dyDescent="0.2">
      <c r="C528" s="25" t="s">
        <v>1015</v>
      </c>
      <c r="D528" s="25">
        <f>Source!BS186</f>
        <v>6.53</v>
      </c>
    </row>
    <row r="529" spans="1:28" x14ac:dyDescent="0.2">
      <c r="C529" s="9" t="s">
        <v>1016</v>
      </c>
      <c r="D529" s="33"/>
      <c r="E529" s="33"/>
      <c r="F529" s="33">
        <f>Source!BZ186</f>
        <v>95</v>
      </c>
      <c r="G529" s="57">
        <f>(Source!AF186+Source!AE186)*Source!FX186/100</f>
        <v>14.097999999999999</v>
      </c>
      <c r="H529" s="57">
        <f>Source!X186</f>
        <v>4050.64</v>
      </c>
    </row>
    <row r="530" spans="1:28" x14ac:dyDescent="0.2">
      <c r="C530" s="9" t="s">
        <v>1017</v>
      </c>
      <c r="D530" s="33"/>
      <c r="E530" s="33"/>
      <c r="F530" s="33">
        <f>Source!CA186</f>
        <v>65</v>
      </c>
      <c r="G530" s="57">
        <f>(Source!AF186+Source!AE186)*Source!FY186/100</f>
        <v>9.6460000000000008</v>
      </c>
      <c r="H530" s="57">
        <f>Source!Y186</f>
        <v>2771.49</v>
      </c>
    </row>
    <row r="531" spans="1:28" x14ac:dyDescent="0.2">
      <c r="C531" s="9" t="s">
        <v>1018</v>
      </c>
      <c r="D531" s="33"/>
      <c r="E531" s="33"/>
      <c r="F531" s="33"/>
      <c r="G531" s="57">
        <f>((Source!AF186+Source!AE186)*Source!FX186/100)+((Source!AF186+Source!AE186)*Source!FY186/100)+Source!AB186</f>
        <v>59.723999999999997</v>
      </c>
      <c r="H531" s="57">
        <f>Source!O186+Source!X186+Source!Y186</f>
        <v>17159.91</v>
      </c>
    </row>
    <row r="532" spans="1:28" ht="28.5" x14ac:dyDescent="0.2">
      <c r="A532" s="46">
        <v>92</v>
      </c>
      <c r="B532" s="46" t="str">
        <f>Source!E187</f>
        <v>46,1</v>
      </c>
      <c r="C532" s="46" t="str">
        <f>Source!G187</f>
        <v>Выключатели автоматические АВВ 1Р 16А  прим.</v>
      </c>
      <c r="D532" s="46" t="str">
        <f>Source!F187</f>
        <v>62.1.01.09-0050</v>
      </c>
      <c r="E532" s="31" t="str">
        <f>Source!H187</f>
        <v>шт.</v>
      </c>
      <c r="F532" s="12">
        <f>Source!I187</f>
        <v>16</v>
      </c>
      <c r="G532" s="23">
        <f>Source!AB187</f>
        <v>66.48</v>
      </c>
      <c r="H532" s="23">
        <f>Source!O187</f>
        <v>6945.83</v>
      </c>
      <c r="T532">
        <f>Source!O187+Source!X187+Source!Y187</f>
        <v>6945.83</v>
      </c>
      <c r="U532">
        <f>Source!P187</f>
        <v>6945.83</v>
      </c>
      <c r="V532">
        <f>Source!S187</f>
        <v>0</v>
      </c>
      <c r="W532">
        <f>Source!Q187</f>
        <v>0</v>
      </c>
      <c r="X532">
        <f>Source!R187</f>
        <v>0</v>
      </c>
      <c r="Y532">
        <f>Source!U187</f>
        <v>0</v>
      </c>
      <c r="Z532">
        <f>Source!V187</f>
        <v>0</v>
      </c>
      <c r="AA532">
        <f>Source!X187</f>
        <v>0</v>
      </c>
      <c r="AB532">
        <f>Source!Y187</f>
        <v>0</v>
      </c>
    </row>
    <row r="533" spans="1:28" ht="14.25" x14ac:dyDescent="0.2">
      <c r="C533" s="25" t="s">
        <v>1014</v>
      </c>
      <c r="D533" s="25">
        <f>Source!BC187</f>
        <v>6.53</v>
      </c>
      <c r="F533" s="12"/>
      <c r="G533" s="12"/>
      <c r="H533" s="12"/>
    </row>
    <row r="534" spans="1:28" ht="28.5" x14ac:dyDescent="0.2">
      <c r="A534" s="46">
        <v>93</v>
      </c>
      <c r="B534" s="46" t="str">
        <f>Source!E188</f>
        <v>46,2</v>
      </c>
      <c r="C534" s="46" t="str">
        <f>Source!G188</f>
        <v>Выключатели автоматические «АВВ" 1Р 10А прим.</v>
      </c>
      <c r="D534" s="46" t="str">
        <f>Source!F188</f>
        <v>62.1.01.09-0049</v>
      </c>
      <c r="E534" s="31" t="str">
        <f>Source!H188</f>
        <v>шт.</v>
      </c>
      <c r="F534" s="12">
        <f>Source!I188</f>
        <v>7</v>
      </c>
      <c r="G534" s="23">
        <f>Source!AB188</f>
        <v>73.63</v>
      </c>
      <c r="H534" s="23">
        <f>Source!O188</f>
        <v>3365.63</v>
      </c>
      <c r="T534">
        <f>Source!O188+Source!X188+Source!Y188</f>
        <v>3365.63</v>
      </c>
      <c r="U534">
        <f>Source!P188</f>
        <v>3365.63</v>
      </c>
      <c r="V534">
        <f>Source!S188</f>
        <v>0</v>
      </c>
      <c r="W534">
        <f>Source!Q188</f>
        <v>0</v>
      </c>
      <c r="X534">
        <f>Source!R188</f>
        <v>0</v>
      </c>
      <c r="Y534">
        <f>Source!U188</f>
        <v>0</v>
      </c>
      <c r="Z534">
        <f>Source!V188</f>
        <v>0</v>
      </c>
      <c r="AA534">
        <f>Source!X188</f>
        <v>0</v>
      </c>
      <c r="AB534">
        <f>Source!Y188</f>
        <v>0</v>
      </c>
    </row>
    <row r="535" spans="1:28" ht="14.25" x14ac:dyDescent="0.2">
      <c r="C535" s="25" t="s">
        <v>1014</v>
      </c>
      <c r="D535" s="25">
        <f>Source!BC188</f>
        <v>6.53</v>
      </c>
      <c r="F535" s="12"/>
      <c r="G535" s="12"/>
      <c r="H535" s="12"/>
    </row>
    <row r="536" spans="1:28" ht="28.5" x14ac:dyDescent="0.2">
      <c r="A536" s="46">
        <v>94</v>
      </c>
      <c r="B536" s="46" t="str">
        <f>Source!E189</f>
        <v>46,3</v>
      </c>
      <c r="C536" s="46" t="str">
        <f>Source!G189</f>
        <v>Выключатели автоматические «АВВ" 3Р 10А прим.</v>
      </c>
      <c r="D536" s="46" t="str">
        <f>Source!F189</f>
        <v>62.1.01.09-0065</v>
      </c>
      <c r="E536" s="31" t="str">
        <f>Source!H189</f>
        <v>шт.</v>
      </c>
      <c r="F536" s="12">
        <f>Source!I189</f>
        <v>7</v>
      </c>
      <c r="G536" s="23">
        <f>Source!AB189</f>
        <v>231.3</v>
      </c>
      <c r="H536" s="23">
        <f>Source!O189</f>
        <v>10572.72</v>
      </c>
      <c r="T536">
        <f>Source!O189+Source!X189+Source!Y189</f>
        <v>10572.72</v>
      </c>
      <c r="U536">
        <f>Source!P189</f>
        <v>10572.72</v>
      </c>
      <c r="V536">
        <f>Source!S189</f>
        <v>0</v>
      </c>
      <c r="W536">
        <f>Source!Q189</f>
        <v>0</v>
      </c>
      <c r="X536">
        <f>Source!R189</f>
        <v>0</v>
      </c>
      <c r="Y536">
        <f>Source!U189</f>
        <v>0</v>
      </c>
      <c r="Z536">
        <f>Source!V189</f>
        <v>0</v>
      </c>
      <c r="AA536">
        <f>Source!X189</f>
        <v>0</v>
      </c>
      <c r="AB536">
        <f>Source!Y189</f>
        <v>0</v>
      </c>
    </row>
    <row r="537" spans="1:28" ht="14.25" x14ac:dyDescent="0.2">
      <c r="C537" s="25" t="s">
        <v>1014</v>
      </c>
      <c r="D537" s="25">
        <f>Source!BC189</f>
        <v>6.53</v>
      </c>
      <c r="F537" s="12"/>
      <c r="G537" s="12"/>
      <c r="H537" s="12"/>
    </row>
    <row r="538" spans="1:28" ht="28.5" x14ac:dyDescent="0.2">
      <c r="A538" s="46">
        <v>95</v>
      </c>
      <c r="B538" s="46" t="str">
        <f>Source!E190</f>
        <v>46,4</v>
      </c>
      <c r="C538" s="46" t="str">
        <f>Source!G190</f>
        <v>Выключатели автоматические  АВВ 3Р 25А прим.</v>
      </c>
      <c r="D538" s="46" t="str">
        <f>Source!F190</f>
        <v>62.1.01.09-0067</v>
      </c>
      <c r="E538" s="31" t="str">
        <f>Source!H190</f>
        <v>шт.</v>
      </c>
      <c r="F538" s="12">
        <f>Source!I190</f>
        <v>7</v>
      </c>
      <c r="G538" s="23">
        <f>Source!AB190</f>
        <v>302.16000000000003</v>
      </c>
      <c r="H538" s="23">
        <f>Source!O190</f>
        <v>13811.73</v>
      </c>
      <c r="T538">
        <f>Source!O190+Source!X190+Source!Y190</f>
        <v>13811.73</v>
      </c>
      <c r="U538">
        <f>Source!P190</f>
        <v>13811.73</v>
      </c>
      <c r="V538">
        <f>Source!S190</f>
        <v>0</v>
      </c>
      <c r="W538">
        <f>Source!Q190</f>
        <v>0</v>
      </c>
      <c r="X538">
        <f>Source!R190</f>
        <v>0</v>
      </c>
      <c r="Y538">
        <f>Source!U190</f>
        <v>0</v>
      </c>
      <c r="Z538">
        <f>Source!V190</f>
        <v>0</v>
      </c>
      <c r="AA538">
        <f>Source!X190</f>
        <v>0</v>
      </c>
      <c r="AB538">
        <f>Source!Y190</f>
        <v>0</v>
      </c>
    </row>
    <row r="539" spans="1:28" ht="14.25" x14ac:dyDescent="0.2">
      <c r="C539" s="25" t="s">
        <v>1014</v>
      </c>
      <c r="D539" s="25">
        <f>Source!BC190</f>
        <v>6.53</v>
      </c>
      <c r="F539" s="12"/>
      <c r="G539" s="12"/>
      <c r="H539" s="12"/>
    </row>
    <row r="540" spans="1:28" ht="28.5" x14ac:dyDescent="0.2">
      <c r="A540" s="46">
        <v>96</v>
      </c>
      <c r="B540" s="46" t="str">
        <f>Source!E191</f>
        <v>46,5</v>
      </c>
      <c r="C540" s="46" t="str">
        <f>Source!G191</f>
        <v>Выключатели автоматические «АВВ" 1Р 20А прим.</v>
      </c>
      <c r="D540" s="46" t="str">
        <f>Source!F191</f>
        <v>62.1.01.09-0051</v>
      </c>
      <c r="E540" s="31" t="str">
        <f>Source!H191</f>
        <v>шт.</v>
      </c>
      <c r="F540" s="12">
        <f>Source!I191</f>
        <v>7</v>
      </c>
      <c r="G540" s="23">
        <f>Source!AB191</f>
        <v>73.290000000000006</v>
      </c>
      <c r="H540" s="23">
        <f>Source!O191</f>
        <v>3350.09</v>
      </c>
      <c r="T540">
        <f>Source!O191+Source!X191+Source!Y191</f>
        <v>3350.09</v>
      </c>
      <c r="U540">
        <f>Source!P191</f>
        <v>3350.09</v>
      </c>
      <c r="V540">
        <f>Source!S191</f>
        <v>0</v>
      </c>
      <c r="W540">
        <f>Source!Q191</f>
        <v>0</v>
      </c>
      <c r="X540">
        <f>Source!R191</f>
        <v>0</v>
      </c>
      <c r="Y540">
        <f>Source!U191</f>
        <v>0</v>
      </c>
      <c r="Z540">
        <f>Source!V191</f>
        <v>0</v>
      </c>
      <c r="AA540">
        <f>Source!X191</f>
        <v>0</v>
      </c>
      <c r="AB540">
        <f>Source!Y191</f>
        <v>0</v>
      </c>
    </row>
    <row r="541" spans="1:28" ht="14.25" x14ac:dyDescent="0.2">
      <c r="C541" s="25" t="s">
        <v>1014</v>
      </c>
      <c r="D541" s="25">
        <f>Source!BC191</f>
        <v>6.53</v>
      </c>
      <c r="F541" s="12"/>
      <c r="G541" s="12"/>
      <c r="H541" s="12"/>
    </row>
    <row r="542" spans="1:28" ht="57" x14ac:dyDescent="0.2">
      <c r="A542" s="46">
        <v>97</v>
      </c>
      <c r="B542" s="46" t="str">
        <f>Source!E192</f>
        <v>47</v>
      </c>
      <c r="C542" s="46" t="str">
        <f>Source!G192</f>
        <v>Установка светильников  в подвесных потолках, устанавливаемый на профиле, количество ламп в светильнике до 4</v>
      </c>
      <c r="D542" s="46" t="str">
        <f>Source!F192</f>
        <v>м08-03-594-14 прим.</v>
      </c>
      <c r="E542" s="31" t="str">
        <f>Source!H192</f>
        <v>100 ШТ</v>
      </c>
      <c r="F542" s="12">
        <f>Source!I192</f>
        <v>0.96</v>
      </c>
      <c r="G542" s="23">
        <f>Source!AB192</f>
        <v>3323.23</v>
      </c>
      <c r="H542" s="23">
        <f>Source!O192</f>
        <v>20832.66</v>
      </c>
      <c r="T542">
        <f>Source!O192+Source!X192+Source!Y192</f>
        <v>42334.740000000005</v>
      </c>
      <c r="U542">
        <f>Source!P192</f>
        <v>6388.97</v>
      </c>
      <c r="V542">
        <f>Source!S192</f>
        <v>13283.02</v>
      </c>
      <c r="W542">
        <f>Source!Q192</f>
        <v>1160.67</v>
      </c>
      <c r="X542">
        <f>Source!R192</f>
        <v>155.78</v>
      </c>
      <c r="Y542">
        <f>Source!U192</f>
        <v>205.05599999999998</v>
      </c>
      <c r="Z542">
        <f>Source!V192</f>
        <v>1.9007999999999998</v>
      </c>
      <c r="AA542">
        <f>Source!X192</f>
        <v>12766.86</v>
      </c>
      <c r="AB542">
        <f>Source!Y192</f>
        <v>8735.2199999999993</v>
      </c>
    </row>
    <row r="543" spans="1:28" ht="14.25" x14ac:dyDescent="0.2">
      <c r="C543" s="25" t="s">
        <v>1012</v>
      </c>
      <c r="D543" s="25">
        <f>Source!BA192</f>
        <v>6.53</v>
      </c>
      <c r="F543" s="12"/>
      <c r="G543" s="12"/>
      <c r="H543" s="12"/>
    </row>
    <row r="544" spans="1:28" x14ac:dyDescent="0.2">
      <c r="C544" s="25" t="s">
        <v>1013</v>
      </c>
      <c r="D544" s="25">
        <f>Source!BB192</f>
        <v>6.53</v>
      </c>
    </row>
    <row r="545" spans="1:28" x14ac:dyDescent="0.2">
      <c r="C545" s="25" t="s">
        <v>1014</v>
      </c>
      <c r="D545" s="25">
        <f>Source!BC192</f>
        <v>6.53</v>
      </c>
    </row>
    <row r="546" spans="1:28" x14ac:dyDescent="0.2">
      <c r="C546" s="25" t="s">
        <v>1015</v>
      </c>
      <c r="D546" s="25">
        <f>Source!BS192</f>
        <v>6.53</v>
      </c>
    </row>
    <row r="547" spans="1:28" x14ac:dyDescent="0.2">
      <c r="C547" s="9" t="s">
        <v>1016</v>
      </c>
      <c r="D547" s="33"/>
      <c r="E547" s="33"/>
      <c r="F547" s="33">
        <f>Source!BZ192</f>
        <v>95</v>
      </c>
      <c r="G547" s="57">
        <f>(Source!AF192+Source!AE192)*Source!FX192/100</f>
        <v>2036.5719999999999</v>
      </c>
      <c r="H547" s="57">
        <f>Source!X192</f>
        <v>12766.86</v>
      </c>
    </row>
    <row r="548" spans="1:28" x14ac:dyDescent="0.2">
      <c r="C548" s="9" t="s">
        <v>1017</v>
      </c>
      <c r="D548" s="33"/>
      <c r="E548" s="33"/>
      <c r="F548" s="33">
        <f>Source!CA192</f>
        <v>65</v>
      </c>
      <c r="G548" s="57">
        <f>(Source!AF192+Source!AE192)*Source!FY192/100</f>
        <v>1393.444</v>
      </c>
      <c r="H548" s="57">
        <f>Source!Y192</f>
        <v>8735.2199999999993</v>
      </c>
    </row>
    <row r="549" spans="1:28" x14ac:dyDescent="0.2">
      <c r="C549" s="9" t="s">
        <v>1018</v>
      </c>
      <c r="D549" s="33"/>
      <c r="E549" s="33"/>
      <c r="F549" s="33"/>
      <c r="G549" s="57">
        <f>((Source!AF192+Source!AE192)*Source!FX192/100)+((Source!AF192+Source!AE192)*Source!FY192/100)+Source!AB192</f>
        <v>6753.2459999999992</v>
      </c>
      <c r="H549" s="57">
        <f>Source!O192+Source!X192+Source!Y192</f>
        <v>42334.740000000005</v>
      </c>
    </row>
    <row r="550" spans="1:28" ht="71.25" x14ac:dyDescent="0.2">
      <c r="A550" s="46">
        <v>98</v>
      </c>
      <c r="B550" s="46" t="str">
        <f>Source!E193</f>
        <v>47,1</v>
      </c>
      <c r="C550" s="46" t="str">
        <f>Source!G193</f>
        <v>Светильник потолочный со светодиодными лампами  "Oskar LED"595х595х40мм,встраиваемые в подвесной потолок "Армстронг",36 Вт,3000Лм,IP40 прим.</v>
      </c>
      <c r="D550" s="46" t="str">
        <f>Source!F193</f>
        <v>20.3.03.07-0099</v>
      </c>
      <c r="E550" s="31" t="str">
        <f>Source!H193</f>
        <v>шт.</v>
      </c>
      <c r="F550" s="12">
        <f>Source!I193</f>
        <v>96</v>
      </c>
      <c r="G550" s="23">
        <f>Source!AB193</f>
        <v>846.15</v>
      </c>
      <c r="H550" s="23">
        <f>Source!O193</f>
        <v>530434.51</v>
      </c>
      <c r="T550">
        <f>Source!O193+Source!X193+Source!Y193</f>
        <v>530434.51</v>
      </c>
      <c r="U550">
        <f>Source!P193</f>
        <v>530434.51</v>
      </c>
      <c r="V550">
        <f>Source!S193</f>
        <v>0</v>
      </c>
      <c r="W550">
        <f>Source!Q193</f>
        <v>0</v>
      </c>
      <c r="X550">
        <f>Source!R193</f>
        <v>0</v>
      </c>
      <c r="Y550">
        <f>Source!U193</f>
        <v>0</v>
      </c>
      <c r="Z550">
        <f>Source!V193</f>
        <v>0</v>
      </c>
      <c r="AA550">
        <f>Source!X193</f>
        <v>0</v>
      </c>
      <c r="AB550">
        <f>Source!Y193</f>
        <v>0</v>
      </c>
    </row>
    <row r="551" spans="1:28" ht="14.25" x14ac:dyDescent="0.2">
      <c r="C551" s="25" t="s">
        <v>1014</v>
      </c>
      <c r="D551" s="25">
        <f>Source!BC193</f>
        <v>6.53</v>
      </c>
      <c r="F551" s="12"/>
      <c r="G551" s="12"/>
      <c r="H551" s="12"/>
    </row>
    <row r="552" spans="1:28" ht="114" x14ac:dyDescent="0.2">
      <c r="A552" s="46">
        <v>99</v>
      </c>
      <c r="B552" s="46" t="str">
        <f>Source!E194</f>
        <v>48</v>
      </c>
      <c r="C552" s="46" t="str">
        <f>Source!G194</f>
        <v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v>
      </c>
      <c r="D552" s="46" t="str">
        <f>Source!F194</f>
        <v>п01-11-028-01</v>
      </c>
      <c r="E552" s="31" t="str">
        <f>Source!H194</f>
        <v>ШТ</v>
      </c>
      <c r="F552" s="12">
        <f>Source!I194</f>
        <v>44</v>
      </c>
      <c r="G552" s="23">
        <f>Source!AB194</f>
        <v>3.28</v>
      </c>
      <c r="H552" s="23">
        <f>Source!O194</f>
        <v>2720.43</v>
      </c>
      <c r="T552">
        <f>Source!O194+Source!X194+Source!Y194</f>
        <v>5576.88</v>
      </c>
      <c r="U552">
        <f>Source!P194</f>
        <v>0</v>
      </c>
      <c r="V552">
        <f>Source!S194</f>
        <v>2720.43</v>
      </c>
      <c r="W552">
        <f>Source!Q194</f>
        <v>0</v>
      </c>
      <c r="X552">
        <f>Source!R194</f>
        <v>0</v>
      </c>
      <c r="Y552">
        <f>Source!U194</f>
        <v>11.263999999999999</v>
      </c>
      <c r="Z552">
        <f>Source!V194</f>
        <v>0</v>
      </c>
      <c r="AA552">
        <f>Source!X194</f>
        <v>1768.28</v>
      </c>
      <c r="AB552">
        <f>Source!Y194</f>
        <v>1088.17</v>
      </c>
    </row>
    <row r="553" spans="1:28" ht="14.25" x14ac:dyDescent="0.2">
      <c r="C553" s="25" t="s">
        <v>1012</v>
      </c>
      <c r="D553" s="25">
        <f>Source!BA194</f>
        <v>18.850000000000001</v>
      </c>
      <c r="F553" s="12"/>
      <c r="G553" s="12"/>
      <c r="H553" s="12"/>
    </row>
    <row r="554" spans="1:28" x14ac:dyDescent="0.2">
      <c r="C554" s="9" t="s">
        <v>1016</v>
      </c>
      <c r="D554" s="33"/>
      <c r="E554" s="33"/>
      <c r="F554" s="33">
        <f>Source!BZ194</f>
        <v>65</v>
      </c>
      <c r="G554" s="57">
        <f>(Source!AF194+Source!AE194)*Source!FX194/100</f>
        <v>2.1319999999999997</v>
      </c>
      <c r="H554" s="57">
        <f>Source!X194</f>
        <v>1768.28</v>
      </c>
    </row>
    <row r="555" spans="1:28" x14ac:dyDescent="0.2">
      <c r="C555" s="9" t="s">
        <v>1017</v>
      </c>
      <c r="D555" s="33"/>
      <c r="E555" s="33"/>
      <c r="F555" s="33">
        <f>Source!CA194</f>
        <v>40</v>
      </c>
      <c r="G555" s="57">
        <f>(Source!AF194+Source!AE194)*Source!FY194/100</f>
        <v>1.3119999999999998</v>
      </c>
      <c r="H555" s="57">
        <f>Source!Y194</f>
        <v>1088.17</v>
      </c>
    </row>
    <row r="556" spans="1:28" x14ac:dyDescent="0.2">
      <c r="C556" s="9" t="s">
        <v>1018</v>
      </c>
      <c r="D556" s="33"/>
      <c r="E556" s="33"/>
      <c r="F556" s="33"/>
      <c r="G556" s="57">
        <f>((Source!AF194+Source!AE194)*Source!FX194/100)+((Source!AF194+Source!AE194)*Source!FY194/100)+Source!AB194</f>
        <v>6.7239999999999993</v>
      </c>
      <c r="H556" s="57">
        <f>Source!O194+Source!X194+Source!Y194</f>
        <v>5576.88</v>
      </c>
    </row>
    <row r="557" spans="1:28" ht="42.75" x14ac:dyDescent="0.2">
      <c r="A557" s="46">
        <v>100</v>
      </c>
      <c r="B557" s="46" t="str">
        <f>Source!E195</f>
        <v>49</v>
      </c>
      <c r="C557" s="46" t="str">
        <f>Source!G195</f>
        <v>Проверка наличия цепи между заземлителями и заземленными элементами</v>
      </c>
      <c r="D557" s="46" t="str">
        <f>Source!F195</f>
        <v>п01-11-011-01</v>
      </c>
      <c r="E557" s="31" t="str">
        <f>Source!H195</f>
        <v>100 измерений</v>
      </c>
      <c r="F557" s="12">
        <f>Source!I195</f>
        <v>7.0000000000000007E-2</v>
      </c>
      <c r="G557" s="23">
        <f>Source!AB195</f>
        <v>132.76</v>
      </c>
      <c r="H557" s="23">
        <f>Source!O195</f>
        <v>175.18</v>
      </c>
      <c r="T557">
        <f>Source!O195+Source!X195+Source!Y195</f>
        <v>359.12</v>
      </c>
      <c r="U557">
        <f>Source!P195</f>
        <v>0</v>
      </c>
      <c r="V557">
        <f>Source!S195</f>
        <v>175.18</v>
      </c>
      <c r="W557">
        <f>Source!Q195</f>
        <v>0</v>
      </c>
      <c r="X557">
        <f>Source!R195</f>
        <v>0</v>
      </c>
      <c r="Y557">
        <f>Source!U195</f>
        <v>0.72576000000000018</v>
      </c>
      <c r="Z557">
        <f>Source!V195</f>
        <v>0</v>
      </c>
      <c r="AA557">
        <f>Source!X195</f>
        <v>113.87</v>
      </c>
      <c r="AB557">
        <f>Source!Y195</f>
        <v>70.069999999999993</v>
      </c>
    </row>
    <row r="558" spans="1:28" ht="14.25" x14ac:dyDescent="0.2">
      <c r="C558" s="25" t="s">
        <v>1012</v>
      </c>
      <c r="D558" s="25">
        <f>Source!BA195</f>
        <v>18.850000000000001</v>
      </c>
      <c r="F558" s="12"/>
      <c r="G558" s="12"/>
      <c r="H558" s="12"/>
    </row>
    <row r="559" spans="1:28" x14ac:dyDescent="0.2">
      <c r="C559" s="9" t="s">
        <v>1016</v>
      </c>
      <c r="D559" s="33"/>
      <c r="E559" s="33"/>
      <c r="F559" s="33">
        <f>Source!BZ195</f>
        <v>65</v>
      </c>
      <c r="G559" s="57">
        <f>(Source!AF195+Source!AE195)*Source!FX195/100</f>
        <v>86.293999999999997</v>
      </c>
      <c r="H559" s="57">
        <f>Source!X195</f>
        <v>113.87</v>
      </c>
    </row>
    <row r="560" spans="1:28" x14ac:dyDescent="0.2">
      <c r="C560" s="9" t="s">
        <v>1017</v>
      </c>
      <c r="D560" s="33"/>
      <c r="E560" s="33"/>
      <c r="F560" s="33">
        <f>Source!CA195</f>
        <v>40</v>
      </c>
      <c r="G560" s="57">
        <f>(Source!AF195+Source!AE195)*Source!FY195/100</f>
        <v>53.103999999999999</v>
      </c>
      <c r="H560" s="57">
        <f>Source!Y195</f>
        <v>70.069999999999993</v>
      </c>
    </row>
    <row r="561" spans="1:28" x14ac:dyDescent="0.2">
      <c r="C561" s="9" t="s">
        <v>1018</v>
      </c>
      <c r="D561" s="33"/>
      <c r="E561" s="33"/>
      <c r="F561" s="33"/>
      <c r="G561" s="57">
        <f>((Source!AF195+Source!AE195)*Source!FX195/100)+((Source!AF195+Source!AE195)*Source!FY195/100)+Source!AB195</f>
        <v>272.15800000000002</v>
      </c>
      <c r="H561" s="57">
        <f>Source!O195+Source!X195+Source!Y195</f>
        <v>359.12</v>
      </c>
    </row>
    <row r="562" spans="1:28" ht="28.5" x14ac:dyDescent="0.2">
      <c r="A562" s="46">
        <v>101</v>
      </c>
      <c r="B562" s="46" t="str">
        <f>Source!E196</f>
        <v>50</v>
      </c>
      <c r="C562" s="46" t="str">
        <f>Source!G196</f>
        <v>Замер полного сопротивления цепи "фаза-нуль"</v>
      </c>
      <c r="D562" s="46" t="str">
        <f>Source!F196</f>
        <v>п01-11-013-01</v>
      </c>
      <c r="E562" s="31" t="str">
        <f>Source!H196</f>
        <v>ШТ</v>
      </c>
      <c r="F562" s="12">
        <f>Source!I196</f>
        <v>39</v>
      </c>
      <c r="G562" s="23">
        <f>Source!AB196</f>
        <v>12.5</v>
      </c>
      <c r="H562" s="23">
        <f>Source!O196</f>
        <v>9189.3799999999992</v>
      </c>
      <c r="T562">
        <f>Source!O196+Source!X196+Source!Y196</f>
        <v>18838.23</v>
      </c>
      <c r="U562">
        <f>Source!P196</f>
        <v>0</v>
      </c>
      <c r="V562">
        <f>Source!S196</f>
        <v>9189.3799999999992</v>
      </c>
      <c r="W562">
        <f>Source!Q196</f>
        <v>0</v>
      </c>
      <c r="X562">
        <f>Source!R196</f>
        <v>0</v>
      </c>
      <c r="Y562">
        <f>Source!U196</f>
        <v>38.064</v>
      </c>
      <c r="Z562">
        <f>Source!V196</f>
        <v>0</v>
      </c>
      <c r="AA562">
        <f>Source!X196</f>
        <v>5973.1</v>
      </c>
      <c r="AB562">
        <f>Source!Y196</f>
        <v>3675.75</v>
      </c>
    </row>
    <row r="563" spans="1:28" ht="14.25" x14ac:dyDescent="0.2">
      <c r="C563" s="25" t="s">
        <v>1012</v>
      </c>
      <c r="D563" s="25">
        <f>Source!BA196</f>
        <v>18.850000000000001</v>
      </c>
      <c r="F563" s="12"/>
      <c r="G563" s="12"/>
      <c r="H563" s="12"/>
    </row>
    <row r="564" spans="1:28" x14ac:dyDescent="0.2">
      <c r="C564" s="9" t="s">
        <v>1016</v>
      </c>
      <c r="D564" s="33"/>
      <c r="E564" s="33"/>
      <c r="F564" s="33">
        <f>Source!BZ196</f>
        <v>65</v>
      </c>
      <c r="G564" s="57">
        <f>(Source!AF196+Source!AE196)*Source!FX196/100</f>
        <v>8.125</v>
      </c>
      <c r="H564" s="57">
        <f>Source!X196</f>
        <v>5973.1</v>
      </c>
    </row>
    <row r="565" spans="1:28" x14ac:dyDescent="0.2">
      <c r="C565" s="9" t="s">
        <v>1017</v>
      </c>
      <c r="D565" s="33"/>
      <c r="E565" s="33"/>
      <c r="F565" s="33">
        <f>Source!CA196</f>
        <v>40</v>
      </c>
      <c r="G565" s="57">
        <f>(Source!AF196+Source!AE196)*Source!FY196/100</f>
        <v>5</v>
      </c>
      <c r="H565" s="57">
        <f>Source!Y196</f>
        <v>3675.75</v>
      </c>
    </row>
    <row r="566" spans="1:28" x14ac:dyDescent="0.2">
      <c r="C566" s="9" t="s">
        <v>1018</v>
      </c>
      <c r="D566" s="33"/>
      <c r="E566" s="33"/>
      <c r="F566" s="33"/>
      <c r="G566" s="57">
        <f>((Source!AF196+Source!AE196)*Source!FX196/100)+((Source!AF196+Source!AE196)*Source!FY196/100)+Source!AB196</f>
        <v>25.625</v>
      </c>
      <c r="H566" s="57">
        <f>Source!O196+Source!X196+Source!Y196</f>
        <v>18838.23</v>
      </c>
    </row>
    <row r="567" spans="1:28" ht="57" x14ac:dyDescent="0.2">
      <c r="A567" s="46">
        <v>102</v>
      </c>
      <c r="B567" s="46" t="str">
        <f>Source!E197</f>
        <v>51</v>
      </c>
      <c r="C567" s="46" t="str">
        <f>Source!G197</f>
        <v>Испытание аппарата коммутационного напряжением до 35 кВ (Автоматические выключатели до 1000 В)</v>
      </c>
      <c r="D567" s="46" t="str">
        <f>Source!F197</f>
        <v>п01-12-021-02</v>
      </c>
      <c r="E567" s="31" t="str">
        <f>Source!H197</f>
        <v>испытание</v>
      </c>
      <c r="F567" s="12">
        <f>Source!I197</f>
        <v>44</v>
      </c>
      <c r="G567" s="23">
        <f>Source!AB197</f>
        <v>27.45</v>
      </c>
      <c r="H567" s="23">
        <f>Source!O197</f>
        <v>22767.03</v>
      </c>
      <c r="T567">
        <f>Source!O197+Source!X197+Source!Y197</f>
        <v>46672.409999999996</v>
      </c>
      <c r="U567">
        <f>Source!P197</f>
        <v>0</v>
      </c>
      <c r="V567">
        <f>Source!S197</f>
        <v>22767.03</v>
      </c>
      <c r="W567">
        <f>Source!Q197</f>
        <v>0</v>
      </c>
      <c r="X567">
        <f>Source!R197</f>
        <v>0</v>
      </c>
      <c r="Y567">
        <f>Source!U197</f>
        <v>99.616000000000014</v>
      </c>
      <c r="Z567">
        <f>Source!V197</f>
        <v>0</v>
      </c>
      <c r="AA567">
        <f>Source!X197</f>
        <v>14798.57</v>
      </c>
      <c r="AB567">
        <f>Source!Y197</f>
        <v>9106.81</v>
      </c>
    </row>
    <row r="568" spans="1:28" ht="14.25" x14ac:dyDescent="0.2">
      <c r="C568" s="25" t="s">
        <v>1012</v>
      </c>
      <c r="D568" s="25">
        <f>Source!BA197</f>
        <v>18.850000000000001</v>
      </c>
      <c r="F568" s="12"/>
      <c r="G568" s="12"/>
      <c r="H568" s="12"/>
    </row>
    <row r="569" spans="1:28" x14ac:dyDescent="0.2">
      <c r="C569" s="9" t="s">
        <v>1016</v>
      </c>
      <c r="D569" s="33"/>
      <c r="E569" s="33"/>
      <c r="F569" s="33">
        <f>Source!BZ197</f>
        <v>65</v>
      </c>
      <c r="G569" s="57">
        <f>(Source!AF197+Source!AE197)*Source!FX197/100</f>
        <v>17.842500000000001</v>
      </c>
      <c r="H569" s="57">
        <f>Source!X197</f>
        <v>14798.57</v>
      </c>
    </row>
    <row r="570" spans="1:28" x14ac:dyDescent="0.2">
      <c r="C570" s="9" t="s">
        <v>1017</v>
      </c>
      <c r="D570" s="33"/>
      <c r="E570" s="33"/>
      <c r="F570" s="33">
        <f>Source!CA197</f>
        <v>40</v>
      </c>
      <c r="G570" s="57">
        <f>(Source!AF197+Source!AE197)*Source!FY197/100</f>
        <v>10.98</v>
      </c>
      <c r="H570" s="57">
        <f>Source!Y197</f>
        <v>9106.81</v>
      </c>
    </row>
    <row r="571" spans="1:28" x14ac:dyDescent="0.2">
      <c r="C571" s="9" t="s">
        <v>1018</v>
      </c>
      <c r="D571" s="33"/>
      <c r="E571" s="33"/>
      <c r="F571" s="33"/>
      <c r="G571" s="57">
        <f>((Source!AF197+Source!AE197)*Source!FX197/100)+((Source!AF197+Source!AE197)*Source!FY197/100)+Source!AB197</f>
        <v>56.272500000000001</v>
      </c>
      <c r="H571" s="57">
        <f>Source!O197+Source!X197+Source!Y197</f>
        <v>46672.409999999996</v>
      </c>
    </row>
    <row r="573" spans="1:28" ht="15" x14ac:dyDescent="0.25">
      <c r="A573" s="58"/>
      <c r="B573" s="58"/>
      <c r="C573" s="64" t="str">
        <f>CONCATENATE("Итого по разделу: ",IF(Source!G199&lt;&gt;"Новый раздел", Source!G199, ""))</f>
        <v>Итого по разделу: 3 Электромонтажные работы</v>
      </c>
      <c r="D573" s="64"/>
      <c r="E573" s="64"/>
      <c r="F573" s="64"/>
      <c r="G573" s="58"/>
      <c r="H573" s="59">
        <f>IF(SUM(T375:T572)=0, "-", SUM(T375:T572))</f>
        <v>801058.9800000001</v>
      </c>
    </row>
    <row r="574" spans="1:28" ht="15" x14ac:dyDescent="0.25">
      <c r="A574" s="58"/>
      <c r="B574" s="58"/>
      <c r="C574" s="58"/>
      <c r="D574" s="58"/>
      <c r="E574" s="58"/>
      <c r="F574" s="58"/>
      <c r="G574" s="58"/>
      <c r="H574" s="58"/>
    </row>
    <row r="576" spans="1:28" ht="14.25" x14ac:dyDescent="0.2">
      <c r="C576" s="79" t="str">
        <f>Source!H227</f>
        <v>Итого</v>
      </c>
      <c r="D576" s="79"/>
      <c r="E576" s="79"/>
      <c r="F576" s="79"/>
      <c r="G576" s="70">
        <f>IF(Source!F227=0, "", Source!F227)</f>
        <v>801058.98</v>
      </c>
      <c r="H576" s="70"/>
    </row>
    <row r="577" spans="1:28" ht="14.25" x14ac:dyDescent="0.2">
      <c r="C577" s="79" t="str">
        <f>Source!H228</f>
        <v>НДС 18%</v>
      </c>
      <c r="D577" s="79"/>
      <c r="E577" s="79"/>
      <c r="F577" s="79"/>
      <c r="G577" s="70">
        <f>IF(Source!F228=0, "", Source!F228)</f>
        <v>144190.62</v>
      </c>
      <c r="H577" s="70"/>
    </row>
    <row r="578" spans="1:28" ht="14.25" x14ac:dyDescent="0.2">
      <c r="C578" s="79" t="str">
        <f>Source!H229</f>
        <v>Всего</v>
      </c>
      <c r="D578" s="79"/>
      <c r="E578" s="79"/>
      <c r="F578" s="79"/>
      <c r="G578" s="70">
        <f>IF(Source!F229=0, "", Source!F229)</f>
        <v>945249.6</v>
      </c>
      <c r="H578" s="70"/>
    </row>
    <row r="580" spans="1:28" ht="16.5" x14ac:dyDescent="0.25">
      <c r="A580" s="66" t="str">
        <f>CONCATENATE("Раздел: ",IF(Source!G231&lt;&gt;"Новый раздел", Source!G231, ""))</f>
        <v>Раздел: 4 АПС</v>
      </c>
      <c r="B580" s="66"/>
      <c r="C580" s="66"/>
      <c r="D580" s="66"/>
      <c r="E580" s="66"/>
      <c r="F580" s="66"/>
      <c r="G580" s="66"/>
      <c r="H580" s="66"/>
    </row>
    <row r="581" spans="1:28" ht="57" x14ac:dyDescent="0.2">
      <c r="A581" s="46">
        <v>103</v>
      </c>
      <c r="B581" s="46" t="str">
        <f>Source!E235</f>
        <v>52</v>
      </c>
      <c r="C581" s="46" t="str">
        <f>Source!G235</f>
        <v>Демонтаж:Монтаж извещателя ПС автоматического теплового электро-контактный, магнитоконтактный в нормальном исполнении</v>
      </c>
      <c r="D581" s="46" t="str">
        <f>Source!F235</f>
        <v>м10-08-002-01</v>
      </c>
      <c r="E581" s="31" t="str">
        <f>Source!H235</f>
        <v>ШТ</v>
      </c>
      <c r="F581" s="12">
        <f>Source!I235</f>
        <v>23</v>
      </c>
      <c r="G581" s="23">
        <f>Source!AB235</f>
        <v>2.42</v>
      </c>
      <c r="H581" s="23">
        <f>Source!O235</f>
        <v>363.46</v>
      </c>
      <c r="T581">
        <f>Source!O235+Source!X235+Source!Y235</f>
        <v>872.31000000000006</v>
      </c>
      <c r="U581">
        <f>Source!P235</f>
        <v>0</v>
      </c>
      <c r="V581">
        <f>Source!S235</f>
        <v>363.46</v>
      </c>
      <c r="W581">
        <f>Source!Q235</f>
        <v>0</v>
      </c>
      <c r="X581">
        <f>Source!R235</f>
        <v>0</v>
      </c>
      <c r="Y581">
        <f>Source!U235</f>
        <v>5.7960000000000003</v>
      </c>
      <c r="Z581">
        <f>Source!V235</f>
        <v>0</v>
      </c>
      <c r="AA581">
        <f>Source!X235</f>
        <v>290.77</v>
      </c>
      <c r="AB581">
        <f>Source!Y235</f>
        <v>218.08</v>
      </c>
    </row>
    <row r="582" spans="1:28" ht="14.25" x14ac:dyDescent="0.2">
      <c r="C582" s="25" t="s">
        <v>1012</v>
      </c>
      <c r="D582" s="25">
        <f>Source!BA235</f>
        <v>6.53</v>
      </c>
      <c r="F582" s="12"/>
      <c r="G582" s="12"/>
      <c r="H582" s="12"/>
    </row>
    <row r="583" spans="1:28" x14ac:dyDescent="0.2">
      <c r="C583" s="25" t="s">
        <v>1013</v>
      </c>
      <c r="D583" s="25">
        <f>Source!BB235</f>
        <v>6.53</v>
      </c>
    </row>
    <row r="584" spans="1:28" x14ac:dyDescent="0.2">
      <c r="C584" s="25" t="s">
        <v>1014</v>
      </c>
      <c r="D584" s="25">
        <f>Source!BC235</f>
        <v>6.53</v>
      </c>
    </row>
    <row r="585" spans="1:28" x14ac:dyDescent="0.2">
      <c r="C585" s="25" t="s">
        <v>1015</v>
      </c>
      <c r="D585" s="25">
        <f>Source!BS235</f>
        <v>6.53</v>
      </c>
    </row>
    <row r="586" spans="1:28" x14ac:dyDescent="0.2">
      <c r="C586" s="9" t="s">
        <v>1016</v>
      </c>
      <c r="D586" s="33"/>
      <c r="E586" s="33"/>
      <c r="F586" s="33">
        <f>Source!BZ235</f>
        <v>80</v>
      </c>
      <c r="G586" s="57">
        <f>(Source!AF235+Source!AE235)*Source!FX235/100</f>
        <v>1.9359999999999999</v>
      </c>
      <c r="H586" s="57">
        <f>Source!X235</f>
        <v>290.77</v>
      </c>
    </row>
    <row r="587" spans="1:28" x14ac:dyDescent="0.2">
      <c r="C587" s="9" t="s">
        <v>1017</v>
      </c>
      <c r="D587" s="33"/>
      <c r="E587" s="33"/>
      <c r="F587" s="33">
        <f>Source!CA235</f>
        <v>60</v>
      </c>
      <c r="G587" s="57">
        <f>(Source!AF235+Source!AE235)*Source!FY235/100</f>
        <v>1.452</v>
      </c>
      <c r="H587" s="57">
        <f>Source!Y235</f>
        <v>218.08</v>
      </c>
    </row>
    <row r="588" spans="1:28" x14ac:dyDescent="0.2">
      <c r="C588" s="9" t="s">
        <v>1018</v>
      </c>
      <c r="D588" s="33"/>
      <c r="E588" s="33"/>
      <c r="F588" s="33"/>
      <c r="G588" s="57">
        <f>((Source!AF235+Source!AE235)*Source!FX235/100)+((Source!AF235+Source!AE235)*Source!FY235/100)+Source!AB235</f>
        <v>5.8079999999999998</v>
      </c>
      <c r="H588" s="57">
        <f>Source!O235+Source!X235+Source!Y235</f>
        <v>872.31000000000006</v>
      </c>
    </row>
    <row r="589" spans="1:28" ht="57" x14ac:dyDescent="0.2">
      <c r="A589" s="46">
        <v>104</v>
      </c>
      <c r="B589" s="46" t="str">
        <f>Source!E236</f>
        <v>53</v>
      </c>
      <c r="C589" s="46" t="str">
        <f>Source!G236</f>
        <v>Монтаж извещателя ПС автоматического теплового электро-контактный, магнитоконтактный в нормальном исполнении</v>
      </c>
      <c r="D589" s="46" t="str">
        <f>Source!F236</f>
        <v>м10-08-002-01</v>
      </c>
      <c r="E589" s="31" t="str">
        <f>Source!H236</f>
        <v>ШТ</v>
      </c>
      <c r="F589" s="12">
        <f>Source!I236</f>
        <v>46</v>
      </c>
      <c r="G589" s="23">
        <f>Source!AB236</f>
        <v>9.36</v>
      </c>
      <c r="H589" s="23">
        <f>Source!O236</f>
        <v>2811.56</v>
      </c>
      <c r="T589">
        <f>Source!O236+Source!X236+Source!Y236</f>
        <v>6209.46</v>
      </c>
      <c r="U589">
        <f>Source!P236</f>
        <v>384.49</v>
      </c>
      <c r="V589">
        <f>Source!S236</f>
        <v>2427.0700000000002</v>
      </c>
      <c r="W589">
        <f>Source!Q236</f>
        <v>0</v>
      </c>
      <c r="X589">
        <f>Source!R236</f>
        <v>0</v>
      </c>
      <c r="Y589">
        <f>Source!U236</f>
        <v>38.64</v>
      </c>
      <c r="Z589">
        <f>Source!V236</f>
        <v>0</v>
      </c>
      <c r="AA589">
        <f>Source!X236</f>
        <v>1941.66</v>
      </c>
      <c r="AB589">
        <f>Source!Y236</f>
        <v>1456.24</v>
      </c>
    </row>
    <row r="590" spans="1:28" ht="14.25" x14ac:dyDescent="0.2">
      <c r="C590" s="25" t="s">
        <v>1012</v>
      </c>
      <c r="D590" s="25">
        <f>Source!BA236</f>
        <v>6.53</v>
      </c>
      <c r="F590" s="12"/>
      <c r="G590" s="12"/>
      <c r="H590" s="12"/>
    </row>
    <row r="591" spans="1:28" x14ac:dyDescent="0.2">
      <c r="C591" s="25" t="s">
        <v>1013</v>
      </c>
      <c r="D591" s="25">
        <f>Source!BB236</f>
        <v>6.53</v>
      </c>
    </row>
    <row r="592" spans="1:28" x14ac:dyDescent="0.2">
      <c r="C592" s="25" t="s">
        <v>1014</v>
      </c>
      <c r="D592" s="25">
        <f>Source!BC236</f>
        <v>6.53</v>
      </c>
    </row>
    <row r="593" spans="1:28" x14ac:dyDescent="0.2">
      <c r="C593" s="25" t="s">
        <v>1015</v>
      </c>
      <c r="D593" s="25">
        <f>Source!BS236</f>
        <v>6.53</v>
      </c>
    </row>
    <row r="594" spans="1:28" x14ac:dyDescent="0.2">
      <c r="C594" s="9" t="s">
        <v>1016</v>
      </c>
      <c r="D594" s="33"/>
      <c r="E594" s="33"/>
      <c r="F594" s="33">
        <f>Source!BZ236</f>
        <v>80</v>
      </c>
      <c r="G594" s="57">
        <f>(Source!AF236+Source!AE236)*Source!FX236/100</f>
        <v>6.4639999999999995</v>
      </c>
      <c r="H594" s="57">
        <f>Source!X236</f>
        <v>1941.66</v>
      </c>
    </row>
    <row r="595" spans="1:28" x14ac:dyDescent="0.2">
      <c r="C595" s="9" t="s">
        <v>1017</v>
      </c>
      <c r="D595" s="33"/>
      <c r="E595" s="33"/>
      <c r="F595" s="33">
        <f>Source!CA236</f>
        <v>60</v>
      </c>
      <c r="G595" s="57">
        <f>(Source!AF236+Source!AE236)*Source!FY236/100</f>
        <v>4.8479999999999999</v>
      </c>
      <c r="H595" s="57">
        <f>Source!Y236</f>
        <v>1456.24</v>
      </c>
    </row>
    <row r="596" spans="1:28" x14ac:dyDescent="0.2">
      <c r="C596" s="9" t="s">
        <v>1018</v>
      </c>
      <c r="D596" s="33"/>
      <c r="E596" s="33"/>
      <c r="F596" s="33"/>
      <c r="G596" s="57">
        <f>((Source!AF236+Source!AE236)*Source!FX236/100)+((Source!AF236+Source!AE236)*Source!FY236/100)+Source!AB236</f>
        <v>20.671999999999997</v>
      </c>
      <c r="H596" s="57">
        <f>Source!O236+Source!X236+Source!Y236</f>
        <v>6209.46</v>
      </c>
    </row>
    <row r="597" spans="1:28" ht="28.5" x14ac:dyDescent="0.2">
      <c r="A597" s="46">
        <v>105</v>
      </c>
      <c r="B597" s="46" t="str">
        <f>Source!E237</f>
        <v>53,1</v>
      </c>
      <c r="C597" s="46" t="str">
        <f>Source!G237</f>
        <v>Извещатель пожарный дымовой ИП 212-41М (ДИП-41М) прим.</v>
      </c>
      <c r="D597" s="46" t="str">
        <f>Source!F237</f>
        <v>61.2.02.01-0072</v>
      </c>
      <c r="E597" s="31" t="str">
        <f>Source!H237</f>
        <v>10 шт.</v>
      </c>
      <c r="F597" s="12">
        <f>Source!I237</f>
        <v>4.5999999999999996</v>
      </c>
      <c r="G597" s="23">
        <f>Source!AB237</f>
        <v>287.27999999999997</v>
      </c>
      <c r="H597" s="23">
        <f>Source!O237</f>
        <v>8629.32</v>
      </c>
      <c r="T597">
        <f>Source!O237+Source!X237+Source!Y237</f>
        <v>8629.32</v>
      </c>
      <c r="U597">
        <f>Source!P237</f>
        <v>8629.32</v>
      </c>
      <c r="V597">
        <f>Source!S237</f>
        <v>0</v>
      </c>
      <c r="W597">
        <f>Source!Q237</f>
        <v>0</v>
      </c>
      <c r="X597">
        <f>Source!R237</f>
        <v>0</v>
      </c>
      <c r="Y597">
        <f>Source!U237</f>
        <v>0</v>
      </c>
      <c r="Z597">
        <f>Source!V237</f>
        <v>0</v>
      </c>
      <c r="AA597">
        <f>Source!X237</f>
        <v>0</v>
      </c>
      <c r="AB597">
        <f>Source!Y237</f>
        <v>0</v>
      </c>
    </row>
    <row r="598" spans="1:28" ht="14.25" x14ac:dyDescent="0.2">
      <c r="C598" s="25" t="s">
        <v>1014</v>
      </c>
      <c r="D598" s="25">
        <f>Source!BC237</f>
        <v>6.53</v>
      </c>
      <c r="F598" s="12"/>
      <c r="G598" s="12"/>
      <c r="H598" s="12"/>
    </row>
    <row r="599" spans="1:28" ht="42.75" x14ac:dyDescent="0.2">
      <c r="A599" s="46">
        <v>106</v>
      </c>
      <c r="B599" s="46" t="str">
        <f>Source!E238</f>
        <v>54</v>
      </c>
      <c r="C599" s="46" t="str">
        <f>Source!G238</f>
        <v>Приборы ПС приемно-контрольные, пусковые, концентратор блок линейный</v>
      </c>
      <c r="D599" s="46" t="str">
        <f>Source!F238</f>
        <v>м10-08-001-03</v>
      </c>
      <c r="E599" s="31" t="str">
        <f>Source!H238</f>
        <v>10 лучей</v>
      </c>
      <c r="F599" s="12">
        <f>Source!I238</f>
        <v>2.2999999999999998</v>
      </c>
      <c r="G599" s="23">
        <f>Source!AB238</f>
        <v>66.180000000000007</v>
      </c>
      <c r="H599" s="23">
        <f>Source!O238</f>
        <v>993.96</v>
      </c>
      <c r="T599">
        <f>Source!O238+Source!X238+Source!Y238</f>
        <v>2120.3599999999997</v>
      </c>
      <c r="U599">
        <f>Source!P238</f>
        <v>189.39</v>
      </c>
      <c r="V599">
        <f>Source!S238</f>
        <v>804.57</v>
      </c>
      <c r="W599">
        <f>Source!Q238</f>
        <v>0</v>
      </c>
      <c r="X599">
        <f>Source!R238</f>
        <v>0</v>
      </c>
      <c r="Y599">
        <f>Source!U238</f>
        <v>12.42</v>
      </c>
      <c r="Z599">
        <f>Source!V238</f>
        <v>0</v>
      </c>
      <c r="AA599">
        <f>Source!X238</f>
        <v>643.66</v>
      </c>
      <c r="AB599">
        <f>Source!Y238</f>
        <v>482.74</v>
      </c>
    </row>
    <row r="600" spans="1:28" ht="14.25" x14ac:dyDescent="0.2">
      <c r="C600" s="25" t="s">
        <v>1012</v>
      </c>
      <c r="D600" s="25">
        <f>Source!BA238</f>
        <v>6.53</v>
      </c>
      <c r="F600" s="12"/>
      <c r="G600" s="12"/>
      <c r="H600" s="12"/>
    </row>
    <row r="601" spans="1:28" x14ac:dyDescent="0.2">
      <c r="C601" s="25" t="s">
        <v>1013</v>
      </c>
      <c r="D601" s="25">
        <f>Source!BB238</f>
        <v>6.53</v>
      </c>
    </row>
    <row r="602" spans="1:28" x14ac:dyDescent="0.2">
      <c r="C602" s="25" t="s">
        <v>1014</v>
      </c>
      <c r="D602" s="25">
        <f>Source!BC238</f>
        <v>6.53</v>
      </c>
    </row>
    <row r="603" spans="1:28" x14ac:dyDescent="0.2">
      <c r="C603" s="25" t="s">
        <v>1015</v>
      </c>
      <c r="D603" s="25">
        <f>Source!BS238</f>
        <v>6.53</v>
      </c>
    </row>
    <row r="604" spans="1:28" x14ac:dyDescent="0.2">
      <c r="C604" s="9" t="s">
        <v>1016</v>
      </c>
      <c r="D604" s="33"/>
      <c r="E604" s="33"/>
      <c r="F604" s="33">
        <f>Source!BZ238</f>
        <v>80</v>
      </c>
      <c r="G604" s="57">
        <f>(Source!AF238+Source!AE238)*Source!FX238/100</f>
        <v>42.856000000000002</v>
      </c>
      <c r="H604" s="57">
        <f>Source!X238</f>
        <v>643.66</v>
      </c>
    </row>
    <row r="605" spans="1:28" x14ac:dyDescent="0.2">
      <c r="C605" s="9" t="s">
        <v>1017</v>
      </c>
      <c r="D605" s="33"/>
      <c r="E605" s="33"/>
      <c r="F605" s="33">
        <f>Source!CA238</f>
        <v>60</v>
      </c>
      <c r="G605" s="57">
        <f>(Source!AF238+Source!AE238)*Source!FY238/100</f>
        <v>32.141999999999996</v>
      </c>
      <c r="H605" s="57">
        <f>Source!Y238</f>
        <v>482.74</v>
      </c>
    </row>
    <row r="606" spans="1:28" x14ac:dyDescent="0.2">
      <c r="C606" s="9" t="s">
        <v>1018</v>
      </c>
      <c r="D606" s="33"/>
      <c r="E606" s="33"/>
      <c r="F606" s="33"/>
      <c r="G606" s="57">
        <f>((Source!AF238+Source!AE238)*Source!FX238/100)+((Source!AF238+Source!AE238)*Source!FY238/100)+Source!AB238</f>
        <v>141.178</v>
      </c>
      <c r="H606" s="57">
        <f>Source!O238+Source!X238+Source!Y238</f>
        <v>2120.3599999999997</v>
      </c>
    </row>
    <row r="607" spans="1:28" ht="28.5" x14ac:dyDescent="0.2">
      <c r="A607" s="46">
        <v>107</v>
      </c>
      <c r="B607" s="46" t="str">
        <f>Source!E239</f>
        <v>54,1</v>
      </c>
      <c r="C607" s="46" t="str">
        <f>Source!G239</f>
        <v>Устройство контроля шлейфа УШК-01 прим.</v>
      </c>
      <c r="D607" s="46" t="str">
        <f>Source!F239</f>
        <v>61.2.07.04-0051</v>
      </c>
      <c r="E607" s="31" t="str">
        <f>Source!H239</f>
        <v>шт.</v>
      </c>
      <c r="F607" s="12">
        <f>Source!I239</f>
        <v>23</v>
      </c>
      <c r="G607" s="23">
        <f>Source!AB239</f>
        <v>57.92</v>
      </c>
      <c r="H607" s="23">
        <f>Source!O239</f>
        <v>8699</v>
      </c>
      <c r="T607">
        <f>Source!O239+Source!X239+Source!Y239</f>
        <v>8699</v>
      </c>
      <c r="U607">
        <f>Source!P239</f>
        <v>8699</v>
      </c>
      <c r="V607">
        <f>Source!S239</f>
        <v>0</v>
      </c>
      <c r="W607">
        <f>Source!Q239</f>
        <v>0</v>
      </c>
      <c r="X607">
        <f>Source!R239</f>
        <v>0</v>
      </c>
      <c r="Y607">
        <f>Source!U239</f>
        <v>0</v>
      </c>
      <c r="Z607">
        <f>Source!V239</f>
        <v>0</v>
      </c>
      <c r="AA607">
        <f>Source!X239</f>
        <v>0</v>
      </c>
      <c r="AB607">
        <f>Source!Y239</f>
        <v>0</v>
      </c>
    </row>
    <row r="608" spans="1:28" ht="14.25" x14ac:dyDescent="0.2">
      <c r="C608" s="25" t="s">
        <v>1014</v>
      </c>
      <c r="D608" s="25">
        <f>Source!BC239</f>
        <v>6.53</v>
      </c>
      <c r="F608" s="12"/>
      <c r="G608" s="12"/>
      <c r="H608" s="12"/>
    </row>
    <row r="609" spans="1:28" ht="28.5" x14ac:dyDescent="0.2">
      <c r="A609" s="46">
        <v>108</v>
      </c>
      <c r="B609" s="46" t="str">
        <f>Source!E240</f>
        <v>55</v>
      </c>
      <c r="C609" s="46" t="str">
        <f>Source!G240</f>
        <v>Прокладка труб гофрированных ПВХ для защиты проводов и кабелей</v>
      </c>
      <c r="D609" s="46" t="str">
        <f>Source!F240</f>
        <v>м08-10-010-01</v>
      </c>
      <c r="E609" s="31" t="str">
        <f>Source!H240</f>
        <v>100 м</v>
      </c>
      <c r="F609" s="12">
        <f>Source!I240</f>
        <v>0.48</v>
      </c>
      <c r="G609" s="23">
        <f>Source!AB240</f>
        <v>156.33000000000001</v>
      </c>
      <c r="H609" s="23">
        <f>Source!O240</f>
        <v>490</v>
      </c>
      <c r="T609">
        <f>Source!O240+Source!X240+Source!Y240</f>
        <v>1189.79</v>
      </c>
      <c r="U609">
        <f>Source!P240</f>
        <v>52.63</v>
      </c>
      <c r="V609">
        <f>Source!S240</f>
        <v>437.37</v>
      </c>
      <c r="W609">
        <f>Source!Q240</f>
        <v>0</v>
      </c>
      <c r="X609">
        <f>Source!R240</f>
        <v>0</v>
      </c>
      <c r="Y609">
        <f>Source!U240</f>
        <v>7.2959999999999994</v>
      </c>
      <c r="Z609">
        <f>Source!V240</f>
        <v>0</v>
      </c>
      <c r="AA609">
        <f>Source!X240</f>
        <v>415.5</v>
      </c>
      <c r="AB609">
        <f>Source!Y240</f>
        <v>284.29000000000002</v>
      </c>
    </row>
    <row r="610" spans="1:28" ht="14.25" x14ac:dyDescent="0.2">
      <c r="C610" s="25" t="s">
        <v>1012</v>
      </c>
      <c r="D610" s="25">
        <f>Source!BA240</f>
        <v>6.53</v>
      </c>
      <c r="F610" s="12"/>
      <c r="G610" s="12"/>
      <c r="H610" s="12"/>
    </row>
    <row r="611" spans="1:28" x14ac:dyDescent="0.2">
      <c r="C611" s="25" t="s">
        <v>1013</v>
      </c>
      <c r="D611" s="25">
        <f>Source!BB240</f>
        <v>6.53</v>
      </c>
    </row>
    <row r="612" spans="1:28" x14ac:dyDescent="0.2">
      <c r="C612" s="25" t="s">
        <v>1014</v>
      </c>
      <c r="D612" s="25">
        <f>Source!BC240</f>
        <v>6.53</v>
      </c>
    </row>
    <row r="613" spans="1:28" x14ac:dyDescent="0.2">
      <c r="C613" s="25" t="s">
        <v>1015</v>
      </c>
      <c r="D613" s="25">
        <f>Source!BS240</f>
        <v>6.53</v>
      </c>
    </row>
    <row r="614" spans="1:28" x14ac:dyDescent="0.2">
      <c r="C614" s="9" t="s">
        <v>1016</v>
      </c>
      <c r="D614" s="33"/>
      <c r="E614" s="33"/>
      <c r="F614" s="33">
        <f>Source!BZ240</f>
        <v>95</v>
      </c>
      <c r="G614" s="57">
        <f>(Source!AF240+Source!AE240)*Source!FX240/100</f>
        <v>132.56299999999999</v>
      </c>
      <c r="H614" s="57">
        <f>Source!X240</f>
        <v>415.5</v>
      </c>
    </row>
    <row r="615" spans="1:28" x14ac:dyDescent="0.2">
      <c r="C615" s="9" t="s">
        <v>1017</v>
      </c>
      <c r="D615" s="33"/>
      <c r="E615" s="33"/>
      <c r="F615" s="33">
        <f>Source!CA240</f>
        <v>65</v>
      </c>
      <c r="G615" s="57">
        <f>(Source!AF240+Source!AE240)*Source!FY240/100</f>
        <v>90.701000000000008</v>
      </c>
      <c r="H615" s="57">
        <f>Source!Y240</f>
        <v>284.29000000000002</v>
      </c>
    </row>
    <row r="616" spans="1:28" x14ac:dyDescent="0.2">
      <c r="C616" s="9" t="s">
        <v>1018</v>
      </c>
      <c r="D616" s="33"/>
      <c r="E616" s="33"/>
      <c r="F616" s="33"/>
      <c r="G616" s="57">
        <f>((Source!AF240+Source!AE240)*Source!FX240/100)+((Source!AF240+Source!AE240)*Source!FY240/100)+Source!AB240</f>
        <v>379.59400000000005</v>
      </c>
      <c r="H616" s="57">
        <f>Source!O240+Source!X240+Source!Y240</f>
        <v>1189.79</v>
      </c>
    </row>
    <row r="617" spans="1:28" ht="42.75" x14ac:dyDescent="0.2">
      <c r="A617" s="46">
        <v>109</v>
      </c>
      <c r="B617" s="46" t="str">
        <f>Source!E241</f>
        <v>55,1</v>
      </c>
      <c r="C617" s="46" t="str">
        <f>Source!G241</f>
        <v>Трубы гибкие гофрированные легкие из ПНД, серии BL, с зондом, диаметром 16 мм</v>
      </c>
      <c r="D617" s="46" t="str">
        <f>Source!F241</f>
        <v>24.3.03.05-0011</v>
      </c>
      <c r="E617" s="31" t="str">
        <f>Source!H241</f>
        <v>10 м</v>
      </c>
      <c r="F617" s="12">
        <f>Source!I241</f>
        <v>4.8</v>
      </c>
      <c r="G617" s="23">
        <f>Source!AB241</f>
        <v>24.54</v>
      </c>
      <c r="H617" s="23">
        <f>Source!O241</f>
        <v>769.18</v>
      </c>
      <c r="T617">
        <f>Source!O241+Source!X241+Source!Y241</f>
        <v>769.18</v>
      </c>
      <c r="U617">
        <f>Source!P241</f>
        <v>769.18</v>
      </c>
      <c r="V617">
        <f>Source!S241</f>
        <v>0</v>
      </c>
      <c r="W617">
        <f>Source!Q241</f>
        <v>0</v>
      </c>
      <c r="X617">
        <f>Source!R241</f>
        <v>0</v>
      </c>
      <c r="Y617">
        <f>Source!U241</f>
        <v>0</v>
      </c>
      <c r="Z617">
        <f>Source!V241</f>
        <v>0</v>
      </c>
      <c r="AA617">
        <f>Source!X241</f>
        <v>0</v>
      </c>
      <c r="AB617">
        <f>Source!Y241</f>
        <v>0</v>
      </c>
    </row>
    <row r="618" spans="1:28" ht="14.25" x14ac:dyDescent="0.2">
      <c r="C618" s="25" t="s">
        <v>1014</v>
      </c>
      <c r="D618" s="25">
        <f>Source!BC241</f>
        <v>6.53</v>
      </c>
      <c r="F618" s="12"/>
      <c r="G618" s="12"/>
      <c r="H618" s="12"/>
    </row>
    <row r="619" spans="1:28" ht="71.25" x14ac:dyDescent="0.2">
      <c r="A619" s="46">
        <v>110</v>
      </c>
      <c r="B619" s="46" t="str">
        <f>Source!E242</f>
        <v>56</v>
      </c>
      <c r="C619" s="46" t="str">
        <f>Source!G242</f>
        <v>Затягивание провода в проложенные трубы и металлические рукава первого одножильного или многожильного в общей оплетке, суммарное сечение до 6 мм2</v>
      </c>
      <c r="D619" s="46" t="str">
        <f>Source!F242</f>
        <v>м08-02-412-02</v>
      </c>
      <c r="E619" s="31" t="str">
        <f>Source!H242</f>
        <v>100 м</v>
      </c>
      <c r="F619" s="12">
        <f>Source!I242</f>
        <v>0.64</v>
      </c>
      <c r="G619" s="23">
        <f>Source!AB242</f>
        <v>68.7</v>
      </c>
      <c r="H619" s="23">
        <f>Source!O242</f>
        <v>287.11</v>
      </c>
      <c r="T619">
        <f>Source!O242+Source!X242+Source!Y242</f>
        <v>629.27</v>
      </c>
      <c r="U619">
        <f>Source!P242</f>
        <v>60.51</v>
      </c>
      <c r="V619">
        <f>Source!S242</f>
        <v>211.76</v>
      </c>
      <c r="W619">
        <f>Source!Q242</f>
        <v>14.84</v>
      </c>
      <c r="X619">
        <f>Source!R242</f>
        <v>2.09</v>
      </c>
      <c r="Y619">
        <f>Source!U242</f>
        <v>3.4495999999999998</v>
      </c>
      <c r="Z619">
        <f>Source!V242</f>
        <v>2.5600000000000001E-2</v>
      </c>
      <c r="AA619">
        <f>Source!X242</f>
        <v>203.16</v>
      </c>
      <c r="AB619">
        <f>Source!Y242</f>
        <v>139</v>
      </c>
    </row>
    <row r="620" spans="1:28" ht="14.25" x14ac:dyDescent="0.2">
      <c r="C620" s="25" t="s">
        <v>1012</v>
      </c>
      <c r="D620" s="25">
        <f>Source!BA242</f>
        <v>6.53</v>
      </c>
      <c r="F620" s="12"/>
      <c r="G620" s="12"/>
      <c r="H620" s="12"/>
    </row>
    <row r="621" spans="1:28" x14ac:dyDescent="0.2">
      <c r="C621" s="25" t="s">
        <v>1013</v>
      </c>
      <c r="D621" s="25">
        <f>Source!BB242</f>
        <v>6.53</v>
      </c>
    </row>
    <row r="622" spans="1:28" x14ac:dyDescent="0.2">
      <c r="C622" s="25" t="s">
        <v>1014</v>
      </c>
      <c r="D622" s="25">
        <f>Source!BC242</f>
        <v>6.53</v>
      </c>
    </row>
    <row r="623" spans="1:28" x14ac:dyDescent="0.2">
      <c r="C623" s="25" t="s">
        <v>1015</v>
      </c>
      <c r="D623" s="25">
        <f>Source!BS242</f>
        <v>6.53</v>
      </c>
    </row>
    <row r="624" spans="1:28" x14ac:dyDescent="0.2">
      <c r="C624" s="9" t="s">
        <v>1016</v>
      </c>
      <c r="D624" s="33"/>
      <c r="E624" s="33"/>
      <c r="F624" s="33">
        <f>Source!BZ242</f>
        <v>95</v>
      </c>
      <c r="G624" s="57">
        <f>(Source!AF242+Source!AE242)*Source!FX242/100</f>
        <v>48.611500000000007</v>
      </c>
      <c r="H624" s="57">
        <f>Source!X242</f>
        <v>203.16</v>
      </c>
    </row>
    <row r="625" spans="1:28" x14ac:dyDescent="0.2">
      <c r="C625" s="9" t="s">
        <v>1017</v>
      </c>
      <c r="D625" s="33"/>
      <c r="E625" s="33"/>
      <c r="F625" s="33">
        <f>Source!CA242</f>
        <v>65</v>
      </c>
      <c r="G625" s="57">
        <f>(Source!AF242+Source!AE242)*Source!FY242/100</f>
        <v>33.2605</v>
      </c>
      <c r="H625" s="57">
        <f>Source!Y242</f>
        <v>139</v>
      </c>
    </row>
    <row r="626" spans="1:28" x14ac:dyDescent="0.2">
      <c r="C626" s="9" t="s">
        <v>1018</v>
      </c>
      <c r="D626" s="33"/>
      <c r="E626" s="33"/>
      <c r="F626" s="33"/>
      <c r="G626" s="57">
        <f>((Source!AF242+Source!AE242)*Source!FX242/100)+((Source!AF242+Source!AE242)*Source!FY242/100)+Source!AB242</f>
        <v>150.572</v>
      </c>
      <c r="H626" s="57">
        <f>Source!O242+Source!X242+Source!Y242</f>
        <v>629.27</v>
      </c>
    </row>
    <row r="627" spans="1:28" ht="128.25" x14ac:dyDescent="0.2">
      <c r="A627" s="46">
        <v>111</v>
      </c>
      <c r="B627" s="46" t="str">
        <f>Source!E243</f>
        <v>56,1</v>
      </c>
      <c r="C627" s="46" t="str">
        <f>Source!G243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ПВХ, не распространяющий горение, с низким дымо- и газовыделением, с экраном из алюмолавсановой ленты, марки КПСЭнг-FRLS 1х2х0,75</v>
      </c>
      <c r="D627" s="46" t="str">
        <f>Source!F243</f>
        <v>21.1.08.01-0151</v>
      </c>
      <c r="E627" s="31" t="str">
        <f>Source!H243</f>
        <v>1000 м</v>
      </c>
      <c r="F627" s="12">
        <f>Source!I243</f>
        <v>6.4000000000000001E-2</v>
      </c>
      <c r="G627" s="23">
        <f>Source!AB243</f>
        <v>4284.0200000000004</v>
      </c>
      <c r="H627" s="23">
        <f>Source!O243</f>
        <v>1790.38</v>
      </c>
      <c r="T627">
        <f>Source!O243+Source!X243+Source!Y243</f>
        <v>1790.38</v>
      </c>
      <c r="U627">
        <f>Source!P243</f>
        <v>1790.38</v>
      </c>
      <c r="V627">
        <f>Source!S243</f>
        <v>0</v>
      </c>
      <c r="W627">
        <f>Source!Q243</f>
        <v>0</v>
      </c>
      <c r="X627">
        <f>Source!R243</f>
        <v>0</v>
      </c>
      <c r="Y627">
        <f>Source!U243</f>
        <v>0</v>
      </c>
      <c r="Z627">
        <f>Source!V243</f>
        <v>0</v>
      </c>
      <c r="AA627">
        <f>Source!X243</f>
        <v>0</v>
      </c>
      <c r="AB627">
        <f>Source!Y243</f>
        <v>0</v>
      </c>
    </row>
    <row r="628" spans="1:28" ht="14.25" x14ac:dyDescent="0.2">
      <c r="C628" s="25" t="s">
        <v>1014</v>
      </c>
      <c r="D628" s="25">
        <f>Source!BC243</f>
        <v>6.53</v>
      </c>
      <c r="F628" s="12"/>
      <c r="G628" s="12"/>
      <c r="H628" s="12"/>
    </row>
    <row r="629" spans="1:28" ht="28.5" x14ac:dyDescent="0.2">
      <c r="A629" s="46">
        <v>112</v>
      </c>
      <c r="B629" s="46" t="str">
        <f>Source!E244</f>
        <v>57</v>
      </c>
      <c r="C629" s="46" t="str">
        <f>Source!G244</f>
        <v>Электрическая проверка и настройка оборудования</v>
      </c>
      <c r="D629" s="46" t="str">
        <f>Source!F244</f>
        <v>м10-02-054-06</v>
      </c>
      <c r="E629" s="31" t="str">
        <f>Source!H244</f>
        <v>КОМПЛ</v>
      </c>
      <c r="F629" s="12">
        <f>Source!I244</f>
        <v>1</v>
      </c>
      <c r="G629" s="23">
        <f>Source!AB244</f>
        <v>4.53</v>
      </c>
      <c r="H629" s="23">
        <f>Source!O244</f>
        <v>29.58</v>
      </c>
      <c r="T629">
        <f>Source!O244+Source!X244+Source!Y244</f>
        <v>70.16</v>
      </c>
      <c r="U629">
        <f>Source!P244</f>
        <v>0.59</v>
      </c>
      <c r="V629">
        <f>Source!S244</f>
        <v>28.99</v>
      </c>
      <c r="W629">
        <f>Source!Q244</f>
        <v>0</v>
      </c>
      <c r="X629">
        <f>Source!R244</f>
        <v>0</v>
      </c>
      <c r="Y629">
        <f>Source!U244</f>
        <v>0.4</v>
      </c>
      <c r="Z629">
        <f>Source!V244</f>
        <v>0</v>
      </c>
      <c r="AA629">
        <f>Source!X244</f>
        <v>23.19</v>
      </c>
      <c r="AB629">
        <f>Source!Y244</f>
        <v>17.39</v>
      </c>
    </row>
    <row r="630" spans="1:28" ht="14.25" x14ac:dyDescent="0.2">
      <c r="C630" s="25" t="s">
        <v>1012</v>
      </c>
      <c r="D630" s="25">
        <f>Source!BA244</f>
        <v>6.53</v>
      </c>
      <c r="F630" s="12"/>
      <c r="G630" s="12"/>
      <c r="H630" s="12"/>
    </row>
    <row r="631" spans="1:28" x14ac:dyDescent="0.2">
      <c r="C631" s="25" t="s">
        <v>1013</v>
      </c>
      <c r="D631" s="25">
        <f>Source!BB244</f>
        <v>6.53</v>
      </c>
    </row>
    <row r="632" spans="1:28" x14ac:dyDescent="0.2">
      <c r="C632" s="25" t="s">
        <v>1014</v>
      </c>
      <c r="D632" s="25">
        <f>Source!BC244</f>
        <v>6.53</v>
      </c>
    </row>
    <row r="633" spans="1:28" x14ac:dyDescent="0.2">
      <c r="C633" s="25" t="s">
        <v>1015</v>
      </c>
      <c r="D633" s="25">
        <f>Source!BS244</f>
        <v>6.53</v>
      </c>
    </row>
    <row r="634" spans="1:28" x14ac:dyDescent="0.2">
      <c r="C634" s="9" t="s">
        <v>1016</v>
      </c>
      <c r="D634" s="33"/>
      <c r="E634" s="33"/>
      <c r="F634" s="33">
        <f>Source!BZ244</f>
        <v>80</v>
      </c>
      <c r="G634" s="57">
        <f>(Source!AF244+Source!AE244)*Source!FX244/100</f>
        <v>3.5520000000000005</v>
      </c>
      <c r="H634" s="57">
        <f>Source!X244</f>
        <v>23.19</v>
      </c>
    </row>
    <row r="635" spans="1:28" x14ac:dyDescent="0.2">
      <c r="C635" s="9" t="s">
        <v>1017</v>
      </c>
      <c r="D635" s="33"/>
      <c r="E635" s="33"/>
      <c r="F635" s="33">
        <f>Source!CA244</f>
        <v>60</v>
      </c>
      <c r="G635" s="57">
        <f>(Source!AF244+Source!AE244)*Source!FY244/100</f>
        <v>2.6640000000000001</v>
      </c>
      <c r="H635" s="57">
        <f>Source!Y244</f>
        <v>17.39</v>
      </c>
    </row>
    <row r="636" spans="1:28" x14ac:dyDescent="0.2">
      <c r="C636" s="9" t="s">
        <v>1018</v>
      </c>
      <c r="D636" s="33"/>
      <c r="E636" s="33"/>
      <c r="F636" s="33"/>
      <c r="G636" s="57">
        <f>((Source!AF244+Source!AE244)*Source!FX244/100)+((Source!AF244+Source!AE244)*Source!FY244/100)+Source!AB244</f>
        <v>10.746000000000002</v>
      </c>
      <c r="H636" s="57">
        <f>Source!O244+Source!X244+Source!Y244</f>
        <v>70.16</v>
      </c>
    </row>
    <row r="638" spans="1:28" ht="15" x14ac:dyDescent="0.25">
      <c r="A638" s="58"/>
      <c r="B638" s="58"/>
      <c r="C638" s="64" t="str">
        <f>CONCATENATE("Итого по разделу: ",IF(Source!G246&lt;&gt;"Новый раздел", Source!G246, ""))</f>
        <v>Итого по разделу: 4 АПС</v>
      </c>
      <c r="D638" s="64"/>
      <c r="E638" s="64"/>
      <c r="F638" s="64"/>
      <c r="G638" s="58"/>
      <c r="H638" s="59">
        <f>IF(SUM(T580:T637)=0, "-", SUM(T580:T637))</f>
        <v>30979.230000000003</v>
      </c>
    </row>
    <row r="639" spans="1:28" ht="15" x14ac:dyDescent="0.25">
      <c r="A639" s="58"/>
      <c r="B639" s="58"/>
      <c r="C639" s="58"/>
      <c r="D639" s="58"/>
      <c r="E639" s="58"/>
      <c r="F639" s="58"/>
      <c r="G639" s="58"/>
      <c r="H639" s="58"/>
    </row>
    <row r="642" spans="1:12" ht="15" x14ac:dyDescent="0.25">
      <c r="A642" s="58"/>
      <c r="B642" s="58"/>
      <c r="C642" s="64" t="str">
        <f>CONCATENATE("Итого по локальной смете: ",IF(Source!G275&lt;&gt;"Новая локальная смета", Source!G275, ""))</f>
        <v xml:space="preserve">Итого по локальной смете: </v>
      </c>
      <c r="D642" s="64"/>
      <c r="E642" s="64"/>
      <c r="F642" s="64"/>
      <c r="G642" s="58"/>
      <c r="H642" s="59">
        <f>IF(SUM(T36:T641)=0, "-", SUM(T36:T641))</f>
        <v>2204929.04</v>
      </c>
    </row>
    <row r="643" spans="1:12" ht="15" x14ac:dyDescent="0.25">
      <c r="A643" s="58"/>
      <c r="B643" s="58"/>
      <c r="C643" s="58"/>
      <c r="D643" s="58"/>
      <c r="E643" s="58"/>
      <c r="F643" s="58"/>
      <c r="G643" s="58"/>
      <c r="H643" s="58"/>
    </row>
    <row r="645" spans="1:12" ht="14.25" x14ac:dyDescent="0.2">
      <c r="C645" s="79" t="str">
        <f>Source!H303</f>
        <v>Итого</v>
      </c>
      <c r="D645" s="79"/>
      <c r="E645" s="79"/>
      <c r="F645" s="79"/>
      <c r="G645" s="70">
        <f>IF(Source!F303=0, "", Source!F303)</f>
        <v>2204929.04</v>
      </c>
      <c r="H645" s="70"/>
    </row>
    <row r="646" spans="1:12" ht="14.25" x14ac:dyDescent="0.2">
      <c r="C646" s="79" t="str">
        <f>Source!H304</f>
        <v>НДС 18%</v>
      </c>
      <c r="D646" s="79"/>
      <c r="E646" s="79"/>
      <c r="F646" s="79"/>
      <c r="G646" s="70">
        <f>IF(Source!F304=0, "", Source!F304)</f>
        <v>396887.23</v>
      </c>
      <c r="H646" s="70"/>
    </row>
    <row r="647" spans="1:12" ht="14.25" x14ac:dyDescent="0.2">
      <c r="C647" s="79" t="str">
        <f>Source!H305</f>
        <v>Всего</v>
      </c>
      <c r="D647" s="79"/>
      <c r="E647" s="79"/>
      <c r="F647" s="79"/>
      <c r="G647" s="70">
        <f>IF(Source!F305=0, "", Source!F305)</f>
        <v>2601816.27</v>
      </c>
      <c r="H647" s="70"/>
    </row>
    <row r="650" spans="1:12" ht="15" thickBot="1" x14ac:dyDescent="0.25">
      <c r="A650" s="80" t="s">
        <v>1022</v>
      </c>
      <c r="B650" s="80"/>
      <c r="C650" s="60" t="str">
        <f>IF(Source!AC12&lt;&gt;"", Source!AC12," ")</f>
        <v xml:space="preserve"> </v>
      </c>
      <c r="D650" s="12"/>
      <c r="E650" s="61"/>
      <c r="F650" s="12"/>
      <c r="G650" s="81" t="str">
        <f>IF(Source!AB12&lt;&gt;"", Source!AB12," ")</f>
        <v xml:space="preserve"> </v>
      </c>
      <c r="H650" s="81"/>
      <c r="I650" s="12"/>
      <c r="J650" s="12"/>
      <c r="K650" s="12"/>
      <c r="L650" s="12"/>
    </row>
    <row r="651" spans="1:12" ht="14.25" x14ac:dyDescent="0.2">
      <c r="A651" s="12"/>
      <c r="B651" s="12"/>
      <c r="C651" s="62" t="s">
        <v>1023</v>
      </c>
      <c r="D651" s="12"/>
      <c r="E651" s="62" t="s">
        <v>1024</v>
      </c>
      <c r="F651" s="12"/>
      <c r="G651" s="78" t="s">
        <v>1025</v>
      </c>
      <c r="H651" s="78"/>
      <c r="I651" s="12"/>
      <c r="J651" s="12"/>
      <c r="K651" s="12"/>
      <c r="L651" s="12"/>
    </row>
    <row r="652" spans="1:12" ht="14.25" x14ac:dyDescent="0.2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</row>
    <row r="653" spans="1:12" ht="14.25" x14ac:dyDescent="0.2">
      <c r="A653" s="12"/>
      <c r="B653" s="12"/>
      <c r="C653" s="13" t="s">
        <v>1026</v>
      </c>
      <c r="D653" s="12"/>
      <c r="E653" s="12"/>
      <c r="F653" s="12"/>
      <c r="G653" s="12"/>
      <c r="H653" s="12"/>
      <c r="I653" s="12"/>
      <c r="J653" s="12"/>
      <c r="K653" s="12"/>
      <c r="L653" s="12"/>
    </row>
    <row r="654" spans="1:12" ht="14.25" x14ac:dyDescent="0.2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</row>
    <row r="655" spans="1:12" ht="15" thickBot="1" x14ac:dyDescent="0.25">
      <c r="A655" s="80" t="s">
        <v>1027</v>
      </c>
      <c r="B655" s="80"/>
      <c r="C655" s="60" t="str">
        <f>IF(Source!AG12&lt;&gt;"", Source!AG12," ")</f>
        <v xml:space="preserve"> </v>
      </c>
      <c r="D655" s="12"/>
      <c r="E655" s="61"/>
      <c r="F655" s="12"/>
      <c r="G655" s="81" t="str">
        <f>IF(Source!AF12&lt;&gt;"", Source!AF12," ")</f>
        <v xml:space="preserve"> </v>
      </c>
      <c r="H655" s="81"/>
      <c r="I655" s="12"/>
      <c r="J655" s="12"/>
      <c r="K655" s="12"/>
      <c r="L655" s="12"/>
    </row>
    <row r="656" spans="1:12" ht="14.25" x14ac:dyDescent="0.2">
      <c r="A656" s="12"/>
      <c r="B656" s="12"/>
      <c r="C656" s="62" t="s">
        <v>1023</v>
      </c>
      <c r="D656" s="12"/>
      <c r="E656" s="62" t="s">
        <v>1024</v>
      </c>
      <c r="F656" s="12"/>
      <c r="G656" s="78" t="s">
        <v>1025</v>
      </c>
      <c r="H656" s="78"/>
      <c r="I656" s="12"/>
      <c r="J656" s="12"/>
      <c r="K656" s="12"/>
      <c r="L656" s="12"/>
    </row>
    <row r="657" spans="1:12" ht="14.25" x14ac:dyDescent="0.2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</row>
    <row r="658" spans="1:12" ht="14.25" x14ac:dyDescent="0.2">
      <c r="A658" s="12"/>
      <c r="B658" s="12"/>
      <c r="C658" s="13" t="s">
        <v>1026</v>
      </c>
      <c r="D658" s="12"/>
      <c r="E658" s="12"/>
      <c r="F658" s="12"/>
      <c r="G658" s="12"/>
      <c r="H658" s="12"/>
      <c r="I658" s="12"/>
      <c r="J658" s="12"/>
      <c r="K658" s="12"/>
      <c r="L658" s="12"/>
    </row>
  </sheetData>
  <mergeCells count="64">
    <mergeCell ref="G8:H9"/>
    <mergeCell ref="C9:E9"/>
    <mergeCell ref="E2:H2"/>
    <mergeCell ref="E3:H3"/>
    <mergeCell ref="E4:H4"/>
    <mergeCell ref="G6:H6"/>
    <mergeCell ref="G7:H7"/>
    <mergeCell ref="C10:E10"/>
    <mergeCell ref="G10:H11"/>
    <mergeCell ref="C11:E11"/>
    <mergeCell ref="C12:E12"/>
    <mergeCell ref="G12:H13"/>
    <mergeCell ref="C13:E13"/>
    <mergeCell ref="C14:E14"/>
    <mergeCell ref="G14:H15"/>
    <mergeCell ref="C15:E15"/>
    <mergeCell ref="C16:E16"/>
    <mergeCell ref="G16:H17"/>
    <mergeCell ref="C17:E17"/>
    <mergeCell ref="A29:H29"/>
    <mergeCell ref="C18:E18"/>
    <mergeCell ref="D19:F19"/>
    <mergeCell ref="G19:H19"/>
    <mergeCell ref="D20:E20"/>
    <mergeCell ref="G20:H20"/>
    <mergeCell ref="G21:H21"/>
    <mergeCell ref="G22:H22"/>
    <mergeCell ref="D24:D25"/>
    <mergeCell ref="E24:E25"/>
    <mergeCell ref="F24:G24"/>
    <mergeCell ref="A28:H28"/>
    <mergeCell ref="C573:F573"/>
    <mergeCell ref="F31:G31"/>
    <mergeCell ref="A33:B33"/>
    <mergeCell ref="C33:C34"/>
    <mergeCell ref="D33:D34"/>
    <mergeCell ref="E33:E34"/>
    <mergeCell ref="F33:H33"/>
    <mergeCell ref="A37:H37"/>
    <mergeCell ref="C309:F309"/>
    <mergeCell ref="A313:H313"/>
    <mergeCell ref="C371:F371"/>
    <mergeCell ref="A375:H375"/>
    <mergeCell ref="C646:F646"/>
    <mergeCell ref="G646:H646"/>
    <mergeCell ref="C576:F576"/>
    <mergeCell ref="G576:H576"/>
    <mergeCell ref="C577:F577"/>
    <mergeCell ref="G577:H577"/>
    <mergeCell ref="C578:F578"/>
    <mergeCell ref="G578:H578"/>
    <mergeCell ref="A580:H580"/>
    <mergeCell ref="C638:F638"/>
    <mergeCell ref="C642:F642"/>
    <mergeCell ref="C645:F645"/>
    <mergeCell ref="G645:H645"/>
    <mergeCell ref="G656:H656"/>
    <mergeCell ref="C647:F647"/>
    <mergeCell ref="G647:H647"/>
    <mergeCell ref="A650:B650"/>
    <mergeCell ref="G650:H650"/>
    <mergeCell ref="G651:H651"/>
    <mergeCell ref="A655:B655"/>
    <mergeCell ref="G655:H655"/>
  </mergeCells>
  <pageMargins left="0.4" right="0.2" top="0.2" bottom="0.4" header="0.2" footer="0.2"/>
  <pageSetup paperSize="9" scale="85" fitToHeight="0" orientation="portrait" r:id="rId1"/>
  <headerFooter>
    <oddHeader>&amp;L&amp;8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370"/>
  <sheetViews>
    <sheetView workbookViewId="0">
      <selection activeCell="H6" sqref="H6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365</v>
      </c>
      <c r="C12" s="1">
        <v>0</v>
      </c>
      <c r="D12" s="1">
        <f>ROW(A307)</f>
        <v>307</v>
      </c>
      <c r="E12" s="1">
        <v>0</v>
      </c>
      <c r="F12" s="1" t="s">
        <v>4</v>
      </c>
      <c r="G12" s="1" t="s">
        <v>1029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B307</f>
        <v>365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объект_(Копия)_(Копия)</v>
      </c>
      <c r="G18" s="2" t="str">
        <f t="shared" si="0"/>
        <v>на капитальный ремонт  учебных аудиторий  4-го этажа учебно-научного корпуса "К" НИЯУ МИФИ по адресу: г. Москва, Каширское шоссе, д.31, стр.46</v>
      </c>
      <c r="H18" s="2"/>
      <c r="I18" s="2"/>
      <c r="J18" s="2"/>
      <c r="K18" s="2"/>
      <c r="L18" s="2"/>
      <c r="M18" s="2"/>
      <c r="N18" s="2"/>
      <c r="O18" s="2">
        <f t="shared" ref="O18:AT18" si="1">O307</f>
        <v>1970855.46</v>
      </c>
      <c r="P18" s="2">
        <f t="shared" si="1"/>
        <v>1794567.45</v>
      </c>
      <c r="Q18" s="2">
        <f t="shared" si="1"/>
        <v>14459.14</v>
      </c>
      <c r="R18" s="2">
        <f t="shared" si="1"/>
        <v>3141.31</v>
      </c>
      <c r="S18" s="2">
        <f t="shared" si="1"/>
        <v>161828.87</v>
      </c>
      <c r="T18" s="2">
        <f t="shared" si="1"/>
        <v>0</v>
      </c>
      <c r="U18" s="2">
        <f t="shared" si="1"/>
        <v>2288.6531055</v>
      </c>
      <c r="V18" s="2">
        <f t="shared" si="1"/>
        <v>42.035352250000003</v>
      </c>
      <c r="W18" s="2">
        <f t="shared" si="1"/>
        <v>0</v>
      </c>
      <c r="X18" s="2">
        <f t="shared" si="1"/>
        <v>145731.99</v>
      </c>
      <c r="Y18" s="2">
        <f t="shared" si="1"/>
        <v>87729.21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2204929.04</v>
      </c>
      <c r="AS18" s="2">
        <f t="shared" si="1"/>
        <v>1374710.65</v>
      </c>
      <c r="AT18" s="2">
        <f t="shared" si="1"/>
        <v>758771.75</v>
      </c>
      <c r="AU18" s="2">
        <f t="shared" ref="AU18:BZ18" si="2">AU307</f>
        <v>71446.64</v>
      </c>
      <c r="AV18" s="2">
        <f t="shared" si="2"/>
        <v>1794567.45</v>
      </c>
      <c r="AW18" s="2">
        <f t="shared" si="2"/>
        <v>1794567.45</v>
      </c>
      <c r="AX18" s="2">
        <f t="shared" si="2"/>
        <v>0</v>
      </c>
      <c r="AY18" s="2">
        <f t="shared" si="2"/>
        <v>1794567.45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CA307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DG307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EM307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FS307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ROW(A275)</f>
        <v>275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 t="shared" ref="B22:G22" si="7">B275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O275</f>
        <v>1970855.46</v>
      </c>
      <c r="P22" s="2">
        <f t="shared" si="8"/>
        <v>1794567.45</v>
      </c>
      <c r="Q22" s="2">
        <f t="shared" si="8"/>
        <v>14459.14</v>
      </c>
      <c r="R22" s="2">
        <f t="shared" si="8"/>
        <v>3141.31</v>
      </c>
      <c r="S22" s="2">
        <f t="shared" si="8"/>
        <v>161828.87</v>
      </c>
      <c r="T22" s="2">
        <f t="shared" si="8"/>
        <v>0</v>
      </c>
      <c r="U22" s="2">
        <f t="shared" si="8"/>
        <v>2288.6531055</v>
      </c>
      <c r="V22" s="2">
        <f t="shared" si="8"/>
        <v>42.035352250000003</v>
      </c>
      <c r="W22" s="2">
        <f t="shared" si="8"/>
        <v>0</v>
      </c>
      <c r="X22" s="2">
        <f t="shared" si="8"/>
        <v>145731.99</v>
      </c>
      <c r="Y22" s="2">
        <f t="shared" si="8"/>
        <v>87729.21</v>
      </c>
      <c r="Z22" s="2">
        <f t="shared" si="8"/>
        <v>0</v>
      </c>
      <c r="AA22" s="2">
        <f t="shared" si="8"/>
        <v>0</v>
      </c>
      <c r="AB22" s="2">
        <f t="shared" si="8"/>
        <v>0</v>
      </c>
      <c r="AC22" s="2">
        <f t="shared" si="8"/>
        <v>0</v>
      </c>
      <c r="AD22" s="2">
        <f t="shared" si="8"/>
        <v>0</v>
      </c>
      <c r="AE22" s="2">
        <f t="shared" si="8"/>
        <v>0</v>
      </c>
      <c r="AF22" s="2">
        <f t="shared" si="8"/>
        <v>0</v>
      </c>
      <c r="AG22" s="2">
        <f t="shared" si="8"/>
        <v>0</v>
      </c>
      <c r="AH22" s="2">
        <f t="shared" si="8"/>
        <v>0</v>
      </c>
      <c r="AI22" s="2">
        <f t="shared" si="8"/>
        <v>0</v>
      </c>
      <c r="AJ22" s="2">
        <f t="shared" si="8"/>
        <v>0</v>
      </c>
      <c r="AK22" s="2">
        <f t="shared" si="8"/>
        <v>0</v>
      </c>
      <c r="AL22" s="2">
        <f t="shared" si="8"/>
        <v>0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2204929.04</v>
      </c>
      <c r="AS22" s="2">
        <f t="shared" si="8"/>
        <v>1374710.65</v>
      </c>
      <c r="AT22" s="2">
        <f t="shared" si="8"/>
        <v>758771.75</v>
      </c>
      <c r="AU22" s="2">
        <f t="shared" ref="AU22:BZ22" si="9">AU275</f>
        <v>71446.64</v>
      </c>
      <c r="AV22" s="2">
        <f t="shared" si="9"/>
        <v>1794567.45</v>
      </c>
      <c r="AW22" s="2">
        <f t="shared" si="9"/>
        <v>1794567.45</v>
      </c>
      <c r="AX22" s="2">
        <f t="shared" si="9"/>
        <v>0</v>
      </c>
      <c r="AY22" s="2">
        <f t="shared" si="9"/>
        <v>1794567.45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CA275</f>
        <v>0</v>
      </c>
      <c r="CB22" s="2">
        <f t="shared" si="10"/>
        <v>0</v>
      </c>
      <c r="CC22" s="2">
        <f t="shared" si="10"/>
        <v>0</v>
      </c>
      <c r="CD22" s="2">
        <f t="shared" si="10"/>
        <v>0</v>
      </c>
      <c r="CE22" s="2">
        <f t="shared" si="10"/>
        <v>0</v>
      </c>
      <c r="CF22" s="2">
        <f t="shared" si="10"/>
        <v>0</v>
      </c>
      <c r="CG22" s="2">
        <f t="shared" si="10"/>
        <v>0</v>
      </c>
      <c r="CH22" s="2">
        <f t="shared" si="10"/>
        <v>0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DG275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EM275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FS275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 s="1">
        <v>4</v>
      </c>
      <c r="B24" s="1">
        <v>1</v>
      </c>
      <c r="C24" s="1"/>
      <c r="D24" s="1">
        <f>ROW(A83)</f>
        <v>83</v>
      </c>
      <c r="E24" s="1"/>
      <c r="F24" s="1" t="s">
        <v>12</v>
      </c>
      <c r="G24" s="1" t="s">
        <v>13</v>
      </c>
      <c r="H24" s="1" t="s">
        <v>3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3</v>
      </c>
      <c r="V24" s="1">
        <v>0</v>
      </c>
      <c r="W24" s="1"/>
      <c r="X24" s="1"/>
      <c r="Y24" s="1"/>
      <c r="Z24" s="1"/>
      <c r="AA24" s="1"/>
      <c r="AB24" s="1" t="s">
        <v>3</v>
      </c>
      <c r="AC24" s="1" t="s">
        <v>3</v>
      </c>
      <c r="AD24" s="1" t="s">
        <v>3</v>
      </c>
      <c r="AE24" s="1" t="s">
        <v>3</v>
      </c>
      <c r="AF24" s="1" t="s">
        <v>3</v>
      </c>
      <c r="AG24" s="1" t="s">
        <v>3</v>
      </c>
      <c r="AH24" s="1"/>
      <c r="AI24" s="1"/>
      <c r="AJ24" s="1"/>
      <c r="AK24" s="1"/>
      <c r="AL24" s="1"/>
      <c r="AM24" s="1"/>
      <c r="AN24" s="1"/>
      <c r="AO24" s="1"/>
      <c r="AP24" s="1" t="s">
        <v>3</v>
      </c>
      <c r="AQ24" s="1" t="s">
        <v>3</v>
      </c>
      <c r="AR24" s="1" t="s">
        <v>3</v>
      </c>
      <c r="AS24" s="1"/>
      <c r="AT24" s="1"/>
      <c r="AU24" s="1"/>
      <c r="AV24" s="1"/>
      <c r="AW24" s="1"/>
      <c r="AX24" s="1"/>
      <c r="AY24" s="1"/>
      <c r="AZ24" s="1" t="s">
        <v>3</v>
      </c>
      <c r="BA24" s="1"/>
      <c r="BB24" s="1" t="s">
        <v>3</v>
      </c>
      <c r="BC24" s="1" t="s">
        <v>3</v>
      </c>
      <c r="BD24" s="1" t="s">
        <v>3</v>
      </c>
      <c r="BE24" s="1" t="s">
        <v>3</v>
      </c>
      <c r="BF24" s="1" t="s">
        <v>3</v>
      </c>
      <c r="BG24" s="1" t="s">
        <v>3</v>
      </c>
      <c r="BH24" s="1" t="s">
        <v>3</v>
      </c>
      <c r="BI24" s="1" t="s">
        <v>3</v>
      </c>
      <c r="BJ24" s="1" t="s">
        <v>3</v>
      </c>
      <c r="BK24" s="1" t="s">
        <v>3</v>
      </c>
      <c r="BL24" s="1" t="s">
        <v>3</v>
      </c>
      <c r="BM24" s="1" t="s">
        <v>3</v>
      </c>
      <c r="BN24" s="1" t="s">
        <v>3</v>
      </c>
      <c r="BO24" s="1" t="s">
        <v>3</v>
      </c>
      <c r="BP24" s="1" t="s">
        <v>3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45" x14ac:dyDescent="0.2">
      <c r="A26" s="2">
        <v>52</v>
      </c>
      <c r="B26" s="2">
        <f t="shared" ref="B26:G26" si="14">B83</f>
        <v>1</v>
      </c>
      <c r="C26" s="2">
        <f t="shared" si="14"/>
        <v>4</v>
      </c>
      <c r="D26" s="2">
        <f t="shared" si="14"/>
        <v>24</v>
      </c>
      <c r="E26" s="2">
        <f t="shared" si="14"/>
        <v>0</v>
      </c>
      <c r="F26" s="2" t="str">
        <f t="shared" si="14"/>
        <v>Новый раздел</v>
      </c>
      <c r="G26" s="2" t="str">
        <f t="shared" si="14"/>
        <v>1 Общестроительные работы</v>
      </c>
      <c r="H26" s="2"/>
      <c r="I26" s="2"/>
      <c r="J26" s="2"/>
      <c r="K26" s="2"/>
      <c r="L26" s="2"/>
      <c r="M26" s="2"/>
      <c r="N26" s="2"/>
      <c r="O26" s="2">
        <f t="shared" ref="O26:AT26" si="15">O83</f>
        <v>1004846.58</v>
      </c>
      <c r="P26" s="2">
        <f t="shared" si="15"/>
        <v>912062.98</v>
      </c>
      <c r="Q26" s="2">
        <f t="shared" si="15"/>
        <v>10200.379999999999</v>
      </c>
      <c r="R26" s="2">
        <f t="shared" si="15"/>
        <v>2626.99</v>
      </c>
      <c r="S26" s="2">
        <f t="shared" si="15"/>
        <v>82583.22</v>
      </c>
      <c r="T26" s="2">
        <f t="shared" si="15"/>
        <v>0</v>
      </c>
      <c r="U26" s="2">
        <f t="shared" si="15"/>
        <v>1424.4292555000002</v>
      </c>
      <c r="V26" s="2">
        <f t="shared" si="15"/>
        <v>35.762058250000003</v>
      </c>
      <c r="W26" s="2">
        <f t="shared" si="15"/>
        <v>0</v>
      </c>
      <c r="X26" s="2">
        <f t="shared" si="15"/>
        <v>80808.27</v>
      </c>
      <c r="Y26" s="2">
        <f t="shared" si="15"/>
        <v>44968.37</v>
      </c>
      <c r="Z26" s="2">
        <f t="shared" si="15"/>
        <v>0</v>
      </c>
      <c r="AA26" s="2">
        <f t="shared" si="15"/>
        <v>0</v>
      </c>
      <c r="AB26" s="2">
        <f t="shared" si="15"/>
        <v>1004846.58</v>
      </c>
      <c r="AC26" s="2">
        <f t="shared" si="15"/>
        <v>912062.98</v>
      </c>
      <c r="AD26" s="2">
        <f t="shared" si="15"/>
        <v>10200.379999999999</v>
      </c>
      <c r="AE26" s="2">
        <f t="shared" si="15"/>
        <v>2626.99</v>
      </c>
      <c r="AF26" s="2">
        <f t="shared" si="15"/>
        <v>82583.22</v>
      </c>
      <c r="AG26" s="2">
        <f t="shared" si="15"/>
        <v>0</v>
      </c>
      <c r="AH26" s="2">
        <f t="shared" si="15"/>
        <v>1424.4292555000002</v>
      </c>
      <c r="AI26" s="2">
        <f t="shared" si="15"/>
        <v>35.762058250000003</v>
      </c>
      <c r="AJ26" s="2">
        <f t="shared" si="15"/>
        <v>0</v>
      </c>
      <c r="AK26" s="2">
        <f t="shared" si="15"/>
        <v>80808.27</v>
      </c>
      <c r="AL26" s="2">
        <f t="shared" si="15"/>
        <v>44968.37</v>
      </c>
      <c r="AM26" s="2">
        <f t="shared" si="15"/>
        <v>0</v>
      </c>
      <c r="AN26" s="2">
        <f t="shared" si="15"/>
        <v>0</v>
      </c>
      <c r="AO26" s="2">
        <f t="shared" si="15"/>
        <v>0</v>
      </c>
      <c r="AP26" s="2">
        <f t="shared" si="15"/>
        <v>0</v>
      </c>
      <c r="AQ26" s="2">
        <f t="shared" si="15"/>
        <v>0</v>
      </c>
      <c r="AR26" s="2">
        <f t="shared" si="15"/>
        <v>1131235.6000000001</v>
      </c>
      <c r="AS26" s="2">
        <f t="shared" si="15"/>
        <v>1131235.6000000001</v>
      </c>
      <c r="AT26" s="2">
        <f t="shared" si="15"/>
        <v>0</v>
      </c>
      <c r="AU26" s="2">
        <f t="shared" ref="AU26:BZ26" si="16">AU83</f>
        <v>0</v>
      </c>
      <c r="AV26" s="2">
        <f t="shared" si="16"/>
        <v>912062.98</v>
      </c>
      <c r="AW26" s="2">
        <f t="shared" si="16"/>
        <v>912062.98</v>
      </c>
      <c r="AX26" s="2">
        <f t="shared" si="16"/>
        <v>0</v>
      </c>
      <c r="AY26" s="2">
        <f t="shared" si="16"/>
        <v>912062.98</v>
      </c>
      <c r="AZ26" s="2">
        <f t="shared" si="16"/>
        <v>0</v>
      </c>
      <c r="BA26" s="2">
        <f t="shared" si="16"/>
        <v>0</v>
      </c>
      <c r="BB26" s="2">
        <f t="shared" si="16"/>
        <v>0</v>
      </c>
      <c r="BC26" s="2">
        <f t="shared" si="16"/>
        <v>0</v>
      </c>
      <c r="BD26" s="2">
        <f t="shared" si="16"/>
        <v>0</v>
      </c>
      <c r="BE26" s="2">
        <f t="shared" si="16"/>
        <v>0</v>
      </c>
      <c r="BF26" s="2">
        <f t="shared" si="16"/>
        <v>0</v>
      </c>
      <c r="BG26" s="2">
        <f t="shared" si="16"/>
        <v>0</v>
      </c>
      <c r="BH26" s="2">
        <f t="shared" si="16"/>
        <v>0</v>
      </c>
      <c r="BI26" s="2">
        <f t="shared" si="16"/>
        <v>0</v>
      </c>
      <c r="BJ26" s="2">
        <f t="shared" si="16"/>
        <v>0</v>
      </c>
      <c r="BK26" s="2">
        <f t="shared" si="16"/>
        <v>0</v>
      </c>
      <c r="BL26" s="2">
        <f t="shared" si="16"/>
        <v>0</v>
      </c>
      <c r="BM26" s="2">
        <f t="shared" si="16"/>
        <v>0</v>
      </c>
      <c r="BN26" s="2">
        <f t="shared" si="16"/>
        <v>0</v>
      </c>
      <c r="BO26" s="2">
        <f t="shared" si="16"/>
        <v>0</v>
      </c>
      <c r="BP26" s="2">
        <f t="shared" si="16"/>
        <v>0</v>
      </c>
      <c r="BQ26" s="2">
        <f t="shared" si="16"/>
        <v>0</v>
      </c>
      <c r="BR26" s="2">
        <f t="shared" si="16"/>
        <v>0</v>
      </c>
      <c r="BS26" s="2">
        <f t="shared" si="16"/>
        <v>0</v>
      </c>
      <c r="BT26" s="2">
        <f t="shared" si="16"/>
        <v>0</v>
      </c>
      <c r="BU26" s="2">
        <f t="shared" si="16"/>
        <v>0</v>
      </c>
      <c r="BV26" s="2">
        <f t="shared" si="16"/>
        <v>0</v>
      </c>
      <c r="BW26" s="2">
        <f t="shared" si="16"/>
        <v>0</v>
      </c>
      <c r="BX26" s="2">
        <f t="shared" si="16"/>
        <v>0</v>
      </c>
      <c r="BY26" s="2">
        <f t="shared" si="16"/>
        <v>0</v>
      </c>
      <c r="BZ26" s="2">
        <f t="shared" si="16"/>
        <v>0</v>
      </c>
      <c r="CA26" s="2">
        <f t="shared" ref="CA26:DF26" si="17">CA83</f>
        <v>1131235.6000000001</v>
      </c>
      <c r="CB26" s="2">
        <f t="shared" si="17"/>
        <v>1131235.6000000001</v>
      </c>
      <c r="CC26" s="2">
        <f t="shared" si="17"/>
        <v>0</v>
      </c>
      <c r="CD26" s="2">
        <f t="shared" si="17"/>
        <v>0</v>
      </c>
      <c r="CE26" s="2">
        <f t="shared" si="17"/>
        <v>912062.98</v>
      </c>
      <c r="CF26" s="2">
        <f t="shared" si="17"/>
        <v>912062.98</v>
      </c>
      <c r="CG26" s="2">
        <f t="shared" si="17"/>
        <v>0</v>
      </c>
      <c r="CH26" s="2">
        <f t="shared" si="17"/>
        <v>912062.98</v>
      </c>
      <c r="CI26" s="2">
        <f t="shared" si="17"/>
        <v>0</v>
      </c>
      <c r="CJ26" s="2">
        <f t="shared" si="17"/>
        <v>0</v>
      </c>
      <c r="CK26" s="2">
        <f t="shared" si="17"/>
        <v>0</v>
      </c>
      <c r="CL26" s="2">
        <f t="shared" si="17"/>
        <v>0</v>
      </c>
      <c r="CM26" s="2">
        <f t="shared" si="17"/>
        <v>0</v>
      </c>
      <c r="CN26" s="2">
        <f t="shared" si="17"/>
        <v>0</v>
      </c>
      <c r="CO26" s="2">
        <f t="shared" si="17"/>
        <v>0</v>
      </c>
      <c r="CP26" s="2">
        <f t="shared" si="17"/>
        <v>0</v>
      </c>
      <c r="CQ26" s="2">
        <f t="shared" si="17"/>
        <v>0</v>
      </c>
      <c r="CR26" s="2">
        <f t="shared" si="17"/>
        <v>0</v>
      </c>
      <c r="CS26" s="2">
        <f t="shared" si="17"/>
        <v>0</v>
      </c>
      <c r="CT26" s="2">
        <f t="shared" si="17"/>
        <v>0</v>
      </c>
      <c r="CU26" s="2">
        <f t="shared" si="17"/>
        <v>0</v>
      </c>
      <c r="CV26" s="2">
        <f t="shared" si="17"/>
        <v>0</v>
      </c>
      <c r="CW26" s="2">
        <f t="shared" si="17"/>
        <v>0</v>
      </c>
      <c r="CX26" s="2">
        <f t="shared" si="17"/>
        <v>0</v>
      </c>
      <c r="CY26" s="2">
        <f t="shared" si="17"/>
        <v>0</v>
      </c>
      <c r="CZ26" s="2">
        <f t="shared" si="17"/>
        <v>0</v>
      </c>
      <c r="DA26" s="2">
        <f t="shared" si="17"/>
        <v>0</v>
      </c>
      <c r="DB26" s="2">
        <f t="shared" si="17"/>
        <v>0</v>
      </c>
      <c r="DC26" s="2">
        <f t="shared" si="17"/>
        <v>0</v>
      </c>
      <c r="DD26" s="2">
        <f t="shared" si="17"/>
        <v>0</v>
      </c>
      <c r="DE26" s="2">
        <f t="shared" si="17"/>
        <v>0</v>
      </c>
      <c r="DF26" s="2">
        <f t="shared" si="17"/>
        <v>0</v>
      </c>
      <c r="DG26" s="3">
        <f t="shared" ref="DG26:EL26" si="18">DG83</f>
        <v>0</v>
      </c>
      <c r="DH26" s="3">
        <f t="shared" si="18"/>
        <v>0</v>
      </c>
      <c r="DI26" s="3">
        <f t="shared" si="18"/>
        <v>0</v>
      </c>
      <c r="DJ26" s="3">
        <f t="shared" si="18"/>
        <v>0</v>
      </c>
      <c r="DK26" s="3">
        <f t="shared" si="18"/>
        <v>0</v>
      </c>
      <c r="DL26" s="3">
        <f t="shared" si="18"/>
        <v>0</v>
      </c>
      <c r="DM26" s="3">
        <f t="shared" si="18"/>
        <v>0</v>
      </c>
      <c r="DN26" s="3">
        <f t="shared" si="18"/>
        <v>0</v>
      </c>
      <c r="DO26" s="3">
        <f t="shared" si="18"/>
        <v>0</v>
      </c>
      <c r="DP26" s="3">
        <f t="shared" si="18"/>
        <v>0</v>
      </c>
      <c r="DQ26" s="3">
        <f t="shared" si="18"/>
        <v>0</v>
      </c>
      <c r="DR26" s="3">
        <f t="shared" si="18"/>
        <v>0</v>
      </c>
      <c r="DS26" s="3">
        <f t="shared" si="18"/>
        <v>0</v>
      </c>
      <c r="DT26" s="3">
        <f t="shared" si="18"/>
        <v>0</v>
      </c>
      <c r="DU26" s="3">
        <f t="shared" si="18"/>
        <v>0</v>
      </c>
      <c r="DV26" s="3">
        <f t="shared" si="18"/>
        <v>0</v>
      </c>
      <c r="DW26" s="3">
        <f t="shared" si="18"/>
        <v>0</v>
      </c>
      <c r="DX26" s="3">
        <f t="shared" si="18"/>
        <v>0</v>
      </c>
      <c r="DY26" s="3">
        <f t="shared" si="18"/>
        <v>0</v>
      </c>
      <c r="DZ26" s="3">
        <f t="shared" si="18"/>
        <v>0</v>
      </c>
      <c r="EA26" s="3">
        <f t="shared" si="18"/>
        <v>0</v>
      </c>
      <c r="EB26" s="3">
        <f t="shared" si="18"/>
        <v>0</v>
      </c>
      <c r="EC26" s="3">
        <f t="shared" si="18"/>
        <v>0</v>
      </c>
      <c r="ED26" s="3">
        <f t="shared" si="18"/>
        <v>0</v>
      </c>
      <c r="EE26" s="3">
        <f t="shared" si="18"/>
        <v>0</v>
      </c>
      <c r="EF26" s="3">
        <f t="shared" si="18"/>
        <v>0</v>
      </c>
      <c r="EG26" s="3">
        <f t="shared" si="18"/>
        <v>0</v>
      </c>
      <c r="EH26" s="3">
        <f t="shared" si="18"/>
        <v>0</v>
      </c>
      <c r="EI26" s="3">
        <f t="shared" si="18"/>
        <v>0</v>
      </c>
      <c r="EJ26" s="3">
        <f t="shared" si="18"/>
        <v>0</v>
      </c>
      <c r="EK26" s="3">
        <f t="shared" si="18"/>
        <v>0</v>
      </c>
      <c r="EL26" s="3">
        <f t="shared" si="18"/>
        <v>0</v>
      </c>
      <c r="EM26" s="3">
        <f t="shared" ref="EM26:FR26" si="19">EM83</f>
        <v>0</v>
      </c>
      <c r="EN26" s="3">
        <f t="shared" si="19"/>
        <v>0</v>
      </c>
      <c r="EO26" s="3">
        <f t="shared" si="19"/>
        <v>0</v>
      </c>
      <c r="EP26" s="3">
        <f t="shared" si="19"/>
        <v>0</v>
      </c>
      <c r="EQ26" s="3">
        <f t="shared" si="19"/>
        <v>0</v>
      </c>
      <c r="ER26" s="3">
        <f t="shared" si="19"/>
        <v>0</v>
      </c>
      <c r="ES26" s="3">
        <f t="shared" si="19"/>
        <v>0</v>
      </c>
      <c r="ET26" s="3">
        <f t="shared" si="19"/>
        <v>0</v>
      </c>
      <c r="EU26" s="3">
        <f t="shared" si="19"/>
        <v>0</v>
      </c>
      <c r="EV26" s="3">
        <f t="shared" si="19"/>
        <v>0</v>
      </c>
      <c r="EW26" s="3">
        <f t="shared" si="19"/>
        <v>0</v>
      </c>
      <c r="EX26" s="3">
        <f t="shared" si="19"/>
        <v>0</v>
      </c>
      <c r="EY26" s="3">
        <f t="shared" si="19"/>
        <v>0</v>
      </c>
      <c r="EZ26" s="3">
        <f t="shared" si="19"/>
        <v>0</v>
      </c>
      <c r="FA26" s="3">
        <f t="shared" si="19"/>
        <v>0</v>
      </c>
      <c r="FB26" s="3">
        <f t="shared" si="19"/>
        <v>0</v>
      </c>
      <c r="FC26" s="3">
        <f t="shared" si="19"/>
        <v>0</v>
      </c>
      <c r="FD26" s="3">
        <f t="shared" si="19"/>
        <v>0</v>
      </c>
      <c r="FE26" s="3">
        <f t="shared" si="19"/>
        <v>0</v>
      </c>
      <c r="FF26" s="3">
        <f t="shared" si="19"/>
        <v>0</v>
      </c>
      <c r="FG26" s="3">
        <f t="shared" si="19"/>
        <v>0</v>
      </c>
      <c r="FH26" s="3">
        <f t="shared" si="19"/>
        <v>0</v>
      </c>
      <c r="FI26" s="3">
        <f t="shared" si="19"/>
        <v>0</v>
      </c>
      <c r="FJ26" s="3">
        <f t="shared" si="19"/>
        <v>0</v>
      </c>
      <c r="FK26" s="3">
        <f t="shared" si="19"/>
        <v>0</v>
      </c>
      <c r="FL26" s="3">
        <f t="shared" si="19"/>
        <v>0</v>
      </c>
      <c r="FM26" s="3">
        <f t="shared" si="19"/>
        <v>0</v>
      </c>
      <c r="FN26" s="3">
        <f t="shared" si="19"/>
        <v>0</v>
      </c>
      <c r="FO26" s="3">
        <f t="shared" si="19"/>
        <v>0</v>
      </c>
      <c r="FP26" s="3">
        <f t="shared" si="19"/>
        <v>0</v>
      </c>
      <c r="FQ26" s="3">
        <f t="shared" si="19"/>
        <v>0</v>
      </c>
      <c r="FR26" s="3">
        <f t="shared" si="19"/>
        <v>0</v>
      </c>
      <c r="FS26" s="3">
        <f t="shared" ref="FS26:GX26" si="20">FS83</f>
        <v>0</v>
      </c>
      <c r="FT26" s="3">
        <f t="shared" si="20"/>
        <v>0</v>
      </c>
      <c r="FU26" s="3">
        <f t="shared" si="20"/>
        <v>0</v>
      </c>
      <c r="FV26" s="3">
        <f t="shared" si="20"/>
        <v>0</v>
      </c>
      <c r="FW26" s="3">
        <f t="shared" si="20"/>
        <v>0</v>
      </c>
      <c r="FX26" s="3">
        <f t="shared" si="20"/>
        <v>0</v>
      </c>
      <c r="FY26" s="3">
        <f t="shared" si="20"/>
        <v>0</v>
      </c>
      <c r="FZ26" s="3">
        <f t="shared" si="20"/>
        <v>0</v>
      </c>
      <c r="GA26" s="3">
        <f t="shared" si="20"/>
        <v>0</v>
      </c>
      <c r="GB26" s="3">
        <f t="shared" si="20"/>
        <v>0</v>
      </c>
      <c r="GC26" s="3">
        <f t="shared" si="20"/>
        <v>0</v>
      </c>
      <c r="GD26" s="3">
        <f t="shared" si="20"/>
        <v>0</v>
      </c>
      <c r="GE26" s="3">
        <f t="shared" si="20"/>
        <v>0</v>
      </c>
      <c r="GF26" s="3">
        <f t="shared" si="20"/>
        <v>0</v>
      </c>
      <c r="GG26" s="3">
        <f t="shared" si="20"/>
        <v>0</v>
      </c>
      <c r="GH26" s="3">
        <f t="shared" si="20"/>
        <v>0</v>
      </c>
      <c r="GI26" s="3">
        <f t="shared" si="20"/>
        <v>0</v>
      </c>
      <c r="GJ26" s="3">
        <f t="shared" si="20"/>
        <v>0</v>
      </c>
      <c r="GK26" s="3">
        <f t="shared" si="20"/>
        <v>0</v>
      </c>
      <c r="GL26" s="3">
        <f t="shared" si="20"/>
        <v>0</v>
      </c>
      <c r="GM26" s="3">
        <f t="shared" si="20"/>
        <v>0</v>
      </c>
      <c r="GN26" s="3">
        <f t="shared" si="20"/>
        <v>0</v>
      </c>
      <c r="GO26" s="3">
        <f t="shared" si="20"/>
        <v>0</v>
      </c>
      <c r="GP26" s="3">
        <f t="shared" si="20"/>
        <v>0</v>
      </c>
      <c r="GQ26" s="3">
        <f t="shared" si="20"/>
        <v>0</v>
      </c>
      <c r="GR26" s="3">
        <f t="shared" si="20"/>
        <v>0</v>
      </c>
      <c r="GS26" s="3">
        <f t="shared" si="20"/>
        <v>0</v>
      </c>
      <c r="GT26" s="3">
        <f t="shared" si="20"/>
        <v>0</v>
      </c>
      <c r="GU26" s="3">
        <f t="shared" si="20"/>
        <v>0</v>
      </c>
      <c r="GV26" s="3">
        <f t="shared" si="20"/>
        <v>0</v>
      </c>
      <c r="GW26" s="3">
        <f t="shared" si="20"/>
        <v>0</v>
      </c>
      <c r="GX26" s="3">
        <f t="shared" si="20"/>
        <v>0</v>
      </c>
    </row>
    <row r="28" spans="1:245" x14ac:dyDescent="0.2">
      <c r="A28">
        <v>17</v>
      </c>
      <c r="B28">
        <v>1</v>
      </c>
      <c r="C28">
        <f>ROW(SmtRes!A1)</f>
        <v>1</v>
      </c>
      <c r="D28">
        <f>ROW(EtalonRes!A2)</f>
        <v>2</v>
      </c>
      <c r="E28" t="s">
        <v>14</v>
      </c>
      <c r="F28" t="s">
        <v>15</v>
      </c>
      <c r="G28" t="s">
        <v>16</v>
      </c>
      <c r="H28" t="s">
        <v>17</v>
      </c>
      <c r="I28">
        <v>1.7048000000000001</v>
      </c>
      <c r="J28">
        <v>0</v>
      </c>
      <c r="O28">
        <f t="shared" ref="O28:O59" si="21">ROUND(CP28,2)</f>
        <v>327.39999999999998</v>
      </c>
      <c r="P28">
        <f t="shared" ref="P28:P59" si="22">ROUND(CQ28*I28,2)</f>
        <v>0</v>
      </c>
      <c r="Q28">
        <f t="shared" ref="Q28:Q59" si="23">ROUND(CR28*I28,2)</f>
        <v>0</v>
      </c>
      <c r="R28">
        <f t="shared" ref="R28:R59" si="24">ROUND(CS28*I28,2)</f>
        <v>0</v>
      </c>
      <c r="S28">
        <f t="shared" ref="S28:S59" si="25">ROUND(CT28*I28,2)</f>
        <v>327.39999999999998</v>
      </c>
      <c r="T28">
        <f t="shared" ref="T28:T59" si="26">ROUND(CU28*I28,2)</f>
        <v>0</v>
      </c>
      <c r="U28">
        <f t="shared" ref="U28:U59" si="27">CV28*I28</f>
        <v>6.4270960000000006</v>
      </c>
      <c r="V28">
        <f t="shared" ref="V28:V59" si="28">CW28*I28</f>
        <v>0</v>
      </c>
      <c r="W28">
        <f t="shared" ref="W28:W59" si="29">ROUND(CX28*I28,2)</f>
        <v>0</v>
      </c>
      <c r="X28">
        <f t="shared" ref="X28:X59" si="30">ROUND(CY28,2)</f>
        <v>261.92</v>
      </c>
      <c r="Y28">
        <f t="shared" ref="Y28:Y59" si="31">ROUND(CZ28,2)</f>
        <v>222.63</v>
      </c>
      <c r="AA28">
        <v>39099382</v>
      </c>
      <c r="AB28">
        <f t="shared" ref="AB28:AB59" si="32">ROUND((AC28+AD28+AF28),2)</f>
        <v>29.41</v>
      </c>
      <c r="AC28">
        <f t="shared" ref="AC28:AC36" si="33">ROUND((ES28),2)</f>
        <v>0</v>
      </c>
      <c r="AD28">
        <f t="shared" ref="AD28:AD35" si="34">ROUND((((ET28)-(EU28))+AE28),2)</f>
        <v>0</v>
      </c>
      <c r="AE28">
        <f t="shared" ref="AE28:AF35" si="35">ROUND((EU28),2)</f>
        <v>0</v>
      </c>
      <c r="AF28">
        <f t="shared" si="35"/>
        <v>29.41</v>
      </c>
      <c r="AG28">
        <f t="shared" ref="AG28:AG59" si="36">ROUND((AP28),2)</f>
        <v>0</v>
      </c>
      <c r="AH28">
        <f t="shared" ref="AH28:AI35" si="37">(EW28)</f>
        <v>3.77</v>
      </c>
      <c r="AI28">
        <f t="shared" si="37"/>
        <v>0</v>
      </c>
      <c r="AJ28">
        <f t="shared" ref="AJ28:AJ59" si="38">ROUND((AS28),2)</f>
        <v>0</v>
      </c>
      <c r="AK28">
        <v>29.41</v>
      </c>
      <c r="AL28">
        <v>0</v>
      </c>
      <c r="AM28">
        <v>0</v>
      </c>
      <c r="AN28">
        <v>0</v>
      </c>
      <c r="AO28">
        <v>29.41</v>
      </c>
      <c r="AP28">
        <v>0</v>
      </c>
      <c r="AQ28">
        <v>3.77</v>
      </c>
      <c r="AR28">
        <v>0</v>
      </c>
      <c r="AS28">
        <v>0</v>
      </c>
      <c r="AT28">
        <v>80</v>
      </c>
      <c r="AU28">
        <v>68</v>
      </c>
      <c r="AV28">
        <v>1</v>
      </c>
      <c r="AW28">
        <v>1</v>
      </c>
      <c r="AZ28">
        <v>6.53</v>
      </c>
      <c r="BA28">
        <v>6.53</v>
      </c>
      <c r="BB28">
        <v>6.53</v>
      </c>
      <c r="BC28">
        <v>6.53</v>
      </c>
      <c r="BD28" t="s">
        <v>3</v>
      </c>
      <c r="BE28" t="s">
        <v>3</v>
      </c>
      <c r="BF28" t="s">
        <v>3</v>
      </c>
      <c r="BG28" t="s">
        <v>3</v>
      </c>
      <c r="BH28">
        <v>0</v>
      </c>
      <c r="BI28">
        <v>1</v>
      </c>
      <c r="BJ28" t="s">
        <v>18</v>
      </c>
      <c r="BM28">
        <v>57001</v>
      </c>
      <c r="BN28">
        <v>0</v>
      </c>
      <c r="BO28" t="s">
        <v>3</v>
      </c>
      <c r="BP28">
        <v>0</v>
      </c>
      <c r="BQ28">
        <v>6</v>
      </c>
      <c r="BR28">
        <v>0</v>
      </c>
      <c r="BS28">
        <v>6.53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80</v>
      </c>
      <c r="CA28">
        <v>68</v>
      </c>
      <c r="CF28">
        <v>0</v>
      </c>
      <c r="CG28">
        <v>0</v>
      </c>
      <c r="CM28">
        <v>0</v>
      </c>
      <c r="CN28" t="s">
        <v>3</v>
      </c>
      <c r="CO28">
        <v>0</v>
      </c>
      <c r="CP28">
        <f t="shared" ref="CP28:CP59" si="39">(P28+Q28+S28)</f>
        <v>327.39999999999998</v>
      </c>
      <c r="CQ28">
        <f t="shared" ref="CQ28:CQ59" si="40">AC28*BC28</f>
        <v>0</v>
      </c>
      <c r="CR28">
        <f t="shared" ref="CR28:CR59" si="41">AD28*BB28</f>
        <v>0</v>
      </c>
      <c r="CS28">
        <f t="shared" ref="CS28:CS59" si="42">AE28*BS28</f>
        <v>0</v>
      </c>
      <c r="CT28">
        <f t="shared" ref="CT28:CT59" si="43">AF28*BA28</f>
        <v>192.04730000000001</v>
      </c>
      <c r="CU28">
        <f t="shared" ref="CU28:CU59" si="44">AG28</f>
        <v>0</v>
      </c>
      <c r="CV28">
        <f t="shared" ref="CV28:CV59" si="45">AH28</f>
        <v>3.77</v>
      </c>
      <c r="CW28">
        <f t="shared" ref="CW28:CW59" si="46">AI28</f>
        <v>0</v>
      </c>
      <c r="CX28">
        <f t="shared" ref="CX28:CX59" si="47">AJ28</f>
        <v>0</v>
      </c>
      <c r="CY28">
        <f t="shared" ref="CY28:CY59" si="48">(((S28+R28)*AT28)/100)</f>
        <v>261.92</v>
      </c>
      <c r="CZ28">
        <f t="shared" ref="CZ28:CZ59" si="49">(((S28+R28)*AU28)/100)</f>
        <v>222.63199999999998</v>
      </c>
      <c r="DC28" t="s">
        <v>3</v>
      </c>
      <c r="DD28" t="s">
        <v>3</v>
      </c>
      <c r="DE28" t="s">
        <v>3</v>
      </c>
      <c r="DF28" t="s">
        <v>3</v>
      </c>
      <c r="DG28" t="s">
        <v>3</v>
      </c>
      <c r="DH28" t="s">
        <v>3</v>
      </c>
      <c r="DI28" t="s">
        <v>3</v>
      </c>
      <c r="DJ28" t="s">
        <v>3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1003</v>
      </c>
      <c r="DV28" t="s">
        <v>17</v>
      </c>
      <c r="DW28" t="s">
        <v>17</v>
      </c>
      <c r="DX28">
        <v>100</v>
      </c>
      <c r="EE28">
        <v>39174582</v>
      </c>
      <c r="EF28">
        <v>6</v>
      </c>
      <c r="EG28" t="s">
        <v>19</v>
      </c>
      <c r="EH28">
        <v>0</v>
      </c>
      <c r="EI28" t="s">
        <v>3</v>
      </c>
      <c r="EJ28">
        <v>1</v>
      </c>
      <c r="EK28">
        <v>57001</v>
      </c>
      <c r="EL28" t="s">
        <v>20</v>
      </c>
      <c r="EM28" t="s">
        <v>21</v>
      </c>
      <c r="EO28" t="s">
        <v>3</v>
      </c>
      <c r="EQ28">
        <v>0</v>
      </c>
      <c r="ER28">
        <v>29.41</v>
      </c>
      <c r="ES28">
        <v>0</v>
      </c>
      <c r="ET28">
        <v>0</v>
      </c>
      <c r="EU28">
        <v>0</v>
      </c>
      <c r="EV28">
        <v>29.41</v>
      </c>
      <c r="EW28">
        <v>3.77</v>
      </c>
      <c r="EX28">
        <v>0</v>
      </c>
      <c r="EY28">
        <v>0</v>
      </c>
      <c r="FQ28">
        <v>0</v>
      </c>
      <c r="FR28">
        <f t="shared" ref="FR28:FR59" si="50">ROUND(IF(AND(BH28=3,BI28=3),P28,0),2)</f>
        <v>0</v>
      </c>
      <c r="FS28">
        <v>0</v>
      </c>
      <c r="FX28">
        <v>80</v>
      </c>
      <c r="FY28">
        <v>68</v>
      </c>
      <c r="GA28" t="s">
        <v>3</v>
      </c>
      <c r="GD28">
        <v>0</v>
      </c>
      <c r="GF28">
        <v>-1219653826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 t="shared" ref="GL28:GL59" si="51">ROUND(IF(AND(BH28=3,BI28=3,FS28&lt;&gt;0),P28,0),2)</f>
        <v>0</v>
      </c>
      <c r="GM28">
        <f t="shared" ref="GM28:GM59" si="52">ROUND(O28+X28+Y28+GK28,2)+GX28</f>
        <v>811.95</v>
      </c>
      <c r="GN28">
        <f t="shared" ref="GN28:GN59" si="53">IF(OR(BI28=0,BI28=1),ROUND(O28+X28+Y28+GK28,2),0)</f>
        <v>811.95</v>
      </c>
      <c r="GO28">
        <f t="shared" ref="GO28:GO59" si="54">IF(BI28=2,ROUND(O28+X28+Y28+GK28,2),0)</f>
        <v>0</v>
      </c>
      <c r="GP28">
        <f t="shared" ref="GP28:GP59" si="55">IF(BI28=4,ROUND(O28+X28+Y28+GK28,2)+GX28,0)</f>
        <v>0</v>
      </c>
      <c r="GR28">
        <v>0</v>
      </c>
      <c r="GS28">
        <v>0</v>
      </c>
      <c r="GT28">
        <v>0</v>
      </c>
      <c r="GU28" t="s">
        <v>3</v>
      </c>
      <c r="GV28">
        <f t="shared" ref="GV28:GV59" si="56">ROUND(GT28,2)</f>
        <v>0</v>
      </c>
      <c r="GW28">
        <v>1</v>
      </c>
      <c r="GX28">
        <f t="shared" ref="GX28:GX59" si="57">ROUND(GV28*GW28*I28,2)</f>
        <v>0</v>
      </c>
      <c r="HA28">
        <v>0</v>
      </c>
      <c r="HB28">
        <v>0</v>
      </c>
      <c r="IK28">
        <v>0</v>
      </c>
    </row>
    <row r="29" spans="1:245" x14ac:dyDescent="0.2">
      <c r="A29">
        <v>17</v>
      </c>
      <c r="B29">
        <v>1</v>
      </c>
      <c r="C29">
        <f>ROW(SmtRes!A4)</f>
        <v>4</v>
      </c>
      <c r="D29">
        <f>ROW(EtalonRes!A6)</f>
        <v>6</v>
      </c>
      <c r="E29" t="s">
        <v>22</v>
      </c>
      <c r="F29" t="s">
        <v>23</v>
      </c>
      <c r="G29" t="s">
        <v>24</v>
      </c>
      <c r="H29" t="s">
        <v>25</v>
      </c>
      <c r="I29">
        <v>2.7930000000000001</v>
      </c>
      <c r="J29">
        <v>0</v>
      </c>
      <c r="O29">
        <f t="shared" si="21"/>
        <v>1694.34</v>
      </c>
      <c r="P29">
        <f t="shared" si="22"/>
        <v>0</v>
      </c>
      <c r="Q29">
        <f t="shared" si="23"/>
        <v>74.05</v>
      </c>
      <c r="R29">
        <f t="shared" si="24"/>
        <v>32.1</v>
      </c>
      <c r="S29">
        <f t="shared" si="25"/>
        <v>1620.29</v>
      </c>
      <c r="T29">
        <f t="shared" si="26"/>
        <v>0</v>
      </c>
      <c r="U29">
        <f t="shared" si="27"/>
        <v>31.812270000000002</v>
      </c>
      <c r="V29">
        <f t="shared" si="28"/>
        <v>0.36309000000000002</v>
      </c>
      <c r="W29">
        <f t="shared" si="29"/>
        <v>0</v>
      </c>
      <c r="X29">
        <f t="shared" si="30"/>
        <v>1321.91</v>
      </c>
      <c r="Y29">
        <f t="shared" si="31"/>
        <v>1123.6300000000001</v>
      </c>
      <c r="AA29">
        <v>39099382</v>
      </c>
      <c r="AB29">
        <f t="shared" si="32"/>
        <v>92.9</v>
      </c>
      <c r="AC29">
        <f t="shared" si="33"/>
        <v>0</v>
      </c>
      <c r="AD29">
        <f t="shared" si="34"/>
        <v>4.0599999999999996</v>
      </c>
      <c r="AE29">
        <f t="shared" si="35"/>
        <v>1.76</v>
      </c>
      <c r="AF29">
        <f t="shared" si="35"/>
        <v>88.84</v>
      </c>
      <c r="AG29">
        <f t="shared" si="36"/>
        <v>0</v>
      </c>
      <c r="AH29">
        <f t="shared" si="37"/>
        <v>11.39</v>
      </c>
      <c r="AI29">
        <f t="shared" si="37"/>
        <v>0.13</v>
      </c>
      <c r="AJ29">
        <f t="shared" si="38"/>
        <v>0</v>
      </c>
      <c r="AK29">
        <v>92.9</v>
      </c>
      <c r="AL29">
        <v>0</v>
      </c>
      <c r="AM29">
        <v>4.0599999999999996</v>
      </c>
      <c r="AN29">
        <v>1.76</v>
      </c>
      <c r="AO29">
        <v>88.84</v>
      </c>
      <c r="AP29">
        <v>0</v>
      </c>
      <c r="AQ29">
        <v>11.39</v>
      </c>
      <c r="AR29">
        <v>0.13</v>
      </c>
      <c r="AS29">
        <v>0</v>
      </c>
      <c r="AT29">
        <v>80</v>
      </c>
      <c r="AU29">
        <v>68</v>
      </c>
      <c r="AV29">
        <v>1</v>
      </c>
      <c r="AW29">
        <v>1</v>
      </c>
      <c r="AZ29">
        <v>6.53</v>
      </c>
      <c r="BA29">
        <v>6.53</v>
      </c>
      <c r="BB29">
        <v>6.53</v>
      </c>
      <c r="BC29">
        <v>6.53</v>
      </c>
      <c r="BD29" t="s">
        <v>3</v>
      </c>
      <c r="BE29" t="s">
        <v>3</v>
      </c>
      <c r="BF29" t="s">
        <v>3</v>
      </c>
      <c r="BG29" t="s">
        <v>3</v>
      </c>
      <c r="BH29">
        <v>0</v>
      </c>
      <c r="BI29">
        <v>1</v>
      </c>
      <c r="BJ29" t="s">
        <v>26</v>
      </c>
      <c r="BM29">
        <v>57001</v>
      </c>
      <c r="BN29">
        <v>0</v>
      </c>
      <c r="BO29" t="s">
        <v>3</v>
      </c>
      <c r="BP29">
        <v>0</v>
      </c>
      <c r="BQ29">
        <v>6</v>
      </c>
      <c r="BR29">
        <v>0</v>
      </c>
      <c r="BS29">
        <v>6.53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80</v>
      </c>
      <c r="CA29">
        <v>68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39"/>
        <v>1694.34</v>
      </c>
      <c r="CQ29">
        <f t="shared" si="40"/>
        <v>0</v>
      </c>
      <c r="CR29">
        <f t="shared" si="41"/>
        <v>26.511799999999997</v>
      </c>
      <c r="CS29">
        <f t="shared" si="42"/>
        <v>11.492800000000001</v>
      </c>
      <c r="CT29">
        <f t="shared" si="43"/>
        <v>580.12520000000006</v>
      </c>
      <c r="CU29">
        <f t="shared" si="44"/>
        <v>0</v>
      </c>
      <c r="CV29">
        <f t="shared" si="45"/>
        <v>11.39</v>
      </c>
      <c r="CW29">
        <f t="shared" si="46"/>
        <v>0.13</v>
      </c>
      <c r="CX29">
        <f t="shared" si="47"/>
        <v>0</v>
      </c>
      <c r="CY29">
        <f t="shared" si="48"/>
        <v>1321.9119999999998</v>
      </c>
      <c r="CZ29">
        <f t="shared" si="49"/>
        <v>1123.6251999999999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25</v>
      </c>
      <c r="DW29" t="s">
        <v>25</v>
      </c>
      <c r="DX29">
        <v>100</v>
      </c>
      <c r="EE29">
        <v>39174582</v>
      </c>
      <c r="EF29">
        <v>6</v>
      </c>
      <c r="EG29" t="s">
        <v>19</v>
      </c>
      <c r="EH29">
        <v>0</v>
      </c>
      <c r="EI29" t="s">
        <v>3</v>
      </c>
      <c r="EJ29">
        <v>1</v>
      </c>
      <c r="EK29">
        <v>57001</v>
      </c>
      <c r="EL29" t="s">
        <v>20</v>
      </c>
      <c r="EM29" t="s">
        <v>21</v>
      </c>
      <c r="EO29" t="s">
        <v>3</v>
      </c>
      <c r="EQ29">
        <v>0</v>
      </c>
      <c r="ER29">
        <v>92.9</v>
      </c>
      <c r="ES29">
        <v>0</v>
      </c>
      <c r="ET29">
        <v>4.0599999999999996</v>
      </c>
      <c r="EU29">
        <v>1.76</v>
      </c>
      <c r="EV29">
        <v>88.84</v>
      </c>
      <c r="EW29">
        <v>11.39</v>
      </c>
      <c r="EX29">
        <v>0.13</v>
      </c>
      <c r="EY29">
        <v>0</v>
      </c>
      <c r="FQ29">
        <v>0</v>
      </c>
      <c r="FR29">
        <f t="shared" si="50"/>
        <v>0</v>
      </c>
      <c r="FS29">
        <v>0</v>
      </c>
      <c r="FX29">
        <v>80</v>
      </c>
      <c r="FY29">
        <v>68</v>
      </c>
      <c r="GA29" t="s">
        <v>3</v>
      </c>
      <c r="GD29">
        <v>0</v>
      </c>
      <c r="GF29">
        <v>334444289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51"/>
        <v>0</v>
      </c>
      <c r="GM29">
        <f t="shared" si="52"/>
        <v>4139.88</v>
      </c>
      <c r="GN29">
        <f t="shared" si="53"/>
        <v>4139.88</v>
      </c>
      <c r="GO29">
        <f t="shared" si="54"/>
        <v>0</v>
      </c>
      <c r="GP29">
        <f t="shared" si="55"/>
        <v>0</v>
      </c>
      <c r="GR29">
        <v>0</v>
      </c>
      <c r="GS29">
        <v>0</v>
      </c>
      <c r="GT29">
        <v>0</v>
      </c>
      <c r="GU29" t="s">
        <v>3</v>
      </c>
      <c r="GV29">
        <f t="shared" si="56"/>
        <v>0</v>
      </c>
      <c r="GW29">
        <v>1</v>
      </c>
      <c r="GX29">
        <f t="shared" si="57"/>
        <v>0</v>
      </c>
      <c r="HA29">
        <v>0</v>
      </c>
      <c r="HB29">
        <v>0</v>
      </c>
      <c r="IK29">
        <v>0</v>
      </c>
    </row>
    <row r="30" spans="1:245" x14ac:dyDescent="0.2">
      <c r="A30">
        <v>17</v>
      </c>
      <c r="B30">
        <v>1</v>
      </c>
      <c r="C30">
        <f>ROW(SmtRes!A10)</f>
        <v>10</v>
      </c>
      <c r="D30">
        <f>ROW(EtalonRes!A13)</f>
        <v>13</v>
      </c>
      <c r="E30" t="s">
        <v>27</v>
      </c>
      <c r="F30" t="s">
        <v>28</v>
      </c>
      <c r="G30" t="s">
        <v>29</v>
      </c>
      <c r="H30" t="s">
        <v>30</v>
      </c>
      <c r="I30">
        <v>0.13</v>
      </c>
      <c r="J30">
        <v>0</v>
      </c>
      <c r="O30">
        <f t="shared" si="21"/>
        <v>365.76</v>
      </c>
      <c r="P30">
        <f t="shared" si="22"/>
        <v>31.03</v>
      </c>
      <c r="Q30">
        <f t="shared" si="23"/>
        <v>0.26</v>
      </c>
      <c r="R30">
        <f t="shared" si="24"/>
        <v>0.12</v>
      </c>
      <c r="S30">
        <f t="shared" si="25"/>
        <v>334.47</v>
      </c>
      <c r="T30">
        <f t="shared" si="26"/>
        <v>0</v>
      </c>
      <c r="U30">
        <f t="shared" si="27"/>
        <v>6.0046999999999997</v>
      </c>
      <c r="V30">
        <f t="shared" si="28"/>
        <v>1.3000000000000002E-3</v>
      </c>
      <c r="W30">
        <f t="shared" si="29"/>
        <v>0</v>
      </c>
      <c r="X30">
        <f t="shared" si="30"/>
        <v>344.63</v>
      </c>
      <c r="Y30">
        <f t="shared" si="31"/>
        <v>200.75</v>
      </c>
      <c r="AA30">
        <v>39099382</v>
      </c>
      <c r="AB30">
        <f t="shared" si="32"/>
        <v>430.86</v>
      </c>
      <c r="AC30">
        <f t="shared" si="33"/>
        <v>36.549999999999997</v>
      </c>
      <c r="AD30">
        <f t="shared" si="34"/>
        <v>0.31</v>
      </c>
      <c r="AE30">
        <f t="shared" si="35"/>
        <v>0.14000000000000001</v>
      </c>
      <c r="AF30">
        <f t="shared" si="35"/>
        <v>394</v>
      </c>
      <c r="AG30">
        <f t="shared" si="36"/>
        <v>0</v>
      </c>
      <c r="AH30">
        <f t="shared" si="37"/>
        <v>46.19</v>
      </c>
      <c r="AI30">
        <f t="shared" si="37"/>
        <v>0.01</v>
      </c>
      <c r="AJ30">
        <f t="shared" si="38"/>
        <v>0</v>
      </c>
      <c r="AK30">
        <v>430.86</v>
      </c>
      <c r="AL30">
        <v>36.549999999999997</v>
      </c>
      <c r="AM30">
        <v>0.31</v>
      </c>
      <c r="AN30">
        <v>0.14000000000000001</v>
      </c>
      <c r="AO30">
        <v>394</v>
      </c>
      <c r="AP30">
        <v>0</v>
      </c>
      <c r="AQ30">
        <v>46.19</v>
      </c>
      <c r="AR30">
        <v>0.01</v>
      </c>
      <c r="AS30">
        <v>0</v>
      </c>
      <c r="AT30">
        <v>103</v>
      </c>
      <c r="AU30">
        <v>60</v>
      </c>
      <c r="AV30">
        <v>1</v>
      </c>
      <c r="AW30">
        <v>1</v>
      </c>
      <c r="AZ30">
        <v>6.53</v>
      </c>
      <c r="BA30">
        <v>6.53</v>
      </c>
      <c r="BB30">
        <v>6.53</v>
      </c>
      <c r="BC30">
        <v>6.53</v>
      </c>
      <c r="BD30" t="s">
        <v>3</v>
      </c>
      <c r="BE30" t="s">
        <v>3</v>
      </c>
      <c r="BF30" t="s">
        <v>3</v>
      </c>
      <c r="BG30" t="s">
        <v>3</v>
      </c>
      <c r="BH30">
        <v>0</v>
      </c>
      <c r="BI30">
        <v>1</v>
      </c>
      <c r="BJ30" t="s">
        <v>31</v>
      </c>
      <c r="BM30">
        <v>65010</v>
      </c>
      <c r="BN30">
        <v>0</v>
      </c>
      <c r="BO30" t="s">
        <v>3</v>
      </c>
      <c r="BP30">
        <v>0</v>
      </c>
      <c r="BQ30">
        <v>6</v>
      </c>
      <c r="BR30">
        <v>0</v>
      </c>
      <c r="BS30">
        <v>6.53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103</v>
      </c>
      <c r="CA30">
        <v>60</v>
      </c>
      <c r="CF30">
        <v>0</v>
      </c>
      <c r="CG30">
        <v>0</v>
      </c>
      <c r="CM30">
        <v>0</v>
      </c>
      <c r="CN30" t="s">
        <v>3</v>
      </c>
      <c r="CO30">
        <v>0</v>
      </c>
      <c r="CP30">
        <f t="shared" si="39"/>
        <v>365.76000000000005</v>
      </c>
      <c r="CQ30">
        <f t="shared" si="40"/>
        <v>238.67149999999998</v>
      </c>
      <c r="CR30">
        <f t="shared" si="41"/>
        <v>2.0243000000000002</v>
      </c>
      <c r="CS30">
        <f t="shared" si="42"/>
        <v>0.91420000000000012</v>
      </c>
      <c r="CT30">
        <f t="shared" si="43"/>
        <v>2572.8200000000002</v>
      </c>
      <c r="CU30">
        <f t="shared" si="44"/>
        <v>0</v>
      </c>
      <c r="CV30">
        <f t="shared" si="45"/>
        <v>46.19</v>
      </c>
      <c r="CW30">
        <f t="shared" si="46"/>
        <v>0.01</v>
      </c>
      <c r="CX30">
        <f t="shared" si="47"/>
        <v>0</v>
      </c>
      <c r="CY30">
        <f t="shared" si="48"/>
        <v>344.62770000000006</v>
      </c>
      <c r="CZ30">
        <f t="shared" si="49"/>
        <v>200.75400000000002</v>
      </c>
      <c r="DC30" t="s">
        <v>3</v>
      </c>
      <c r="DD30" t="s">
        <v>3</v>
      </c>
      <c r="DE30" t="s">
        <v>3</v>
      </c>
      <c r="DF30" t="s">
        <v>3</v>
      </c>
      <c r="DG30" t="s">
        <v>3</v>
      </c>
      <c r="DH30" t="s">
        <v>3</v>
      </c>
      <c r="DI30" t="s">
        <v>3</v>
      </c>
      <c r="DJ30" t="s">
        <v>3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1013</v>
      </c>
      <c r="DV30" t="s">
        <v>30</v>
      </c>
      <c r="DW30" t="s">
        <v>30</v>
      </c>
      <c r="DX30">
        <v>1</v>
      </c>
      <c r="EE30">
        <v>39174605</v>
      </c>
      <c r="EF30">
        <v>6</v>
      </c>
      <c r="EG30" t="s">
        <v>19</v>
      </c>
      <c r="EH30">
        <v>0</v>
      </c>
      <c r="EI30" t="s">
        <v>3</v>
      </c>
      <c r="EJ30">
        <v>1</v>
      </c>
      <c r="EK30">
        <v>65010</v>
      </c>
      <c r="EL30" t="s">
        <v>32</v>
      </c>
      <c r="EM30" t="s">
        <v>33</v>
      </c>
      <c r="EO30" t="s">
        <v>3</v>
      </c>
      <c r="EQ30">
        <v>0</v>
      </c>
      <c r="ER30">
        <v>430.86</v>
      </c>
      <c r="ES30">
        <v>36.549999999999997</v>
      </c>
      <c r="ET30">
        <v>0.31</v>
      </c>
      <c r="EU30">
        <v>0.14000000000000001</v>
      </c>
      <c r="EV30">
        <v>394</v>
      </c>
      <c r="EW30">
        <v>46.19</v>
      </c>
      <c r="EX30">
        <v>0.01</v>
      </c>
      <c r="EY30">
        <v>0</v>
      </c>
      <c r="FQ30">
        <v>0</v>
      </c>
      <c r="FR30">
        <f t="shared" si="50"/>
        <v>0</v>
      </c>
      <c r="FS30">
        <v>0</v>
      </c>
      <c r="FX30">
        <v>103</v>
      </c>
      <c r="FY30">
        <v>60</v>
      </c>
      <c r="GA30" t="s">
        <v>3</v>
      </c>
      <c r="GD30">
        <v>0</v>
      </c>
      <c r="GF30">
        <v>-2051527918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 t="shared" si="51"/>
        <v>0</v>
      </c>
      <c r="GM30">
        <f t="shared" si="52"/>
        <v>911.14</v>
      </c>
      <c r="GN30">
        <f t="shared" si="53"/>
        <v>911.14</v>
      </c>
      <c r="GO30">
        <f t="shared" si="54"/>
        <v>0</v>
      </c>
      <c r="GP30">
        <f t="shared" si="55"/>
        <v>0</v>
      </c>
      <c r="GR30">
        <v>0</v>
      </c>
      <c r="GS30">
        <v>0</v>
      </c>
      <c r="GT30">
        <v>0</v>
      </c>
      <c r="GU30" t="s">
        <v>3</v>
      </c>
      <c r="GV30">
        <f t="shared" si="56"/>
        <v>0</v>
      </c>
      <c r="GW30">
        <v>1</v>
      </c>
      <c r="GX30">
        <f t="shared" si="57"/>
        <v>0</v>
      </c>
      <c r="HA30">
        <v>0</v>
      </c>
      <c r="HB30">
        <v>0</v>
      </c>
      <c r="IK30">
        <v>0</v>
      </c>
    </row>
    <row r="31" spans="1:245" x14ac:dyDescent="0.2">
      <c r="A31">
        <v>18</v>
      </c>
      <c r="B31">
        <v>1</v>
      </c>
      <c r="C31">
        <v>10</v>
      </c>
      <c r="E31" t="s">
        <v>34</v>
      </c>
      <c r="F31" t="s">
        <v>35</v>
      </c>
      <c r="G31" t="s">
        <v>36</v>
      </c>
      <c r="H31" t="s">
        <v>37</v>
      </c>
      <c r="I31">
        <f>I30*J31</f>
        <v>13</v>
      </c>
      <c r="J31">
        <v>100</v>
      </c>
      <c r="O31">
        <f t="shared" si="21"/>
        <v>81179.460000000006</v>
      </c>
      <c r="P31">
        <f t="shared" si="22"/>
        <v>81179.460000000006</v>
      </c>
      <c r="Q31">
        <f t="shared" si="23"/>
        <v>0</v>
      </c>
      <c r="R31">
        <f t="shared" si="24"/>
        <v>0</v>
      </c>
      <c r="S31">
        <f t="shared" si="25"/>
        <v>0</v>
      </c>
      <c r="T31">
        <f t="shared" si="26"/>
        <v>0</v>
      </c>
      <c r="U31">
        <f t="shared" si="27"/>
        <v>0</v>
      </c>
      <c r="V31">
        <f t="shared" si="28"/>
        <v>0</v>
      </c>
      <c r="W31">
        <f t="shared" si="29"/>
        <v>0</v>
      </c>
      <c r="X31">
        <f t="shared" si="30"/>
        <v>0</v>
      </c>
      <c r="Y31">
        <f t="shared" si="31"/>
        <v>0</v>
      </c>
      <c r="AA31">
        <v>39099382</v>
      </c>
      <c r="AB31">
        <f t="shared" si="32"/>
        <v>956.29</v>
      </c>
      <c r="AC31">
        <f t="shared" si="33"/>
        <v>956.29</v>
      </c>
      <c r="AD31">
        <f t="shared" si="34"/>
        <v>0</v>
      </c>
      <c r="AE31">
        <f t="shared" si="35"/>
        <v>0</v>
      </c>
      <c r="AF31">
        <f t="shared" si="35"/>
        <v>0</v>
      </c>
      <c r="AG31">
        <f t="shared" si="36"/>
        <v>0</v>
      </c>
      <c r="AH31">
        <f t="shared" si="37"/>
        <v>0</v>
      </c>
      <c r="AI31">
        <f t="shared" si="37"/>
        <v>0</v>
      </c>
      <c r="AJ31">
        <f t="shared" si="38"/>
        <v>0</v>
      </c>
      <c r="AK31">
        <v>956.29</v>
      </c>
      <c r="AL31">
        <v>956.29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103</v>
      </c>
      <c r="AU31">
        <v>60</v>
      </c>
      <c r="AV31">
        <v>1</v>
      </c>
      <c r="AW31">
        <v>1</v>
      </c>
      <c r="AZ31">
        <v>6.53</v>
      </c>
      <c r="BA31">
        <v>1</v>
      </c>
      <c r="BB31">
        <v>1</v>
      </c>
      <c r="BC31">
        <v>6.53</v>
      </c>
      <c r="BD31" t="s">
        <v>3</v>
      </c>
      <c r="BE31" t="s">
        <v>3</v>
      </c>
      <c r="BF31" t="s">
        <v>3</v>
      </c>
      <c r="BG31" t="s">
        <v>3</v>
      </c>
      <c r="BH31">
        <v>3</v>
      </c>
      <c r="BI31">
        <v>1</v>
      </c>
      <c r="BJ31" t="s">
        <v>38</v>
      </c>
      <c r="BM31">
        <v>65010</v>
      </c>
      <c r="BN31">
        <v>0</v>
      </c>
      <c r="BO31" t="s">
        <v>3</v>
      </c>
      <c r="BP31">
        <v>0</v>
      </c>
      <c r="BQ31">
        <v>6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103</v>
      </c>
      <c r="CA31">
        <v>60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39"/>
        <v>81179.460000000006</v>
      </c>
      <c r="CQ31">
        <f t="shared" si="40"/>
        <v>6244.5736999999999</v>
      </c>
      <c r="CR31">
        <f t="shared" si="41"/>
        <v>0</v>
      </c>
      <c r="CS31">
        <f t="shared" si="42"/>
        <v>0</v>
      </c>
      <c r="CT31">
        <f t="shared" si="43"/>
        <v>0</v>
      </c>
      <c r="CU31">
        <f t="shared" si="44"/>
        <v>0</v>
      </c>
      <c r="CV31">
        <f t="shared" si="45"/>
        <v>0</v>
      </c>
      <c r="CW31">
        <f t="shared" si="46"/>
        <v>0</v>
      </c>
      <c r="CX31">
        <f t="shared" si="47"/>
        <v>0</v>
      </c>
      <c r="CY31">
        <f t="shared" si="48"/>
        <v>0</v>
      </c>
      <c r="CZ31">
        <f t="shared" si="49"/>
        <v>0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1010</v>
      </c>
      <c r="DV31" t="s">
        <v>37</v>
      </c>
      <c r="DW31" t="s">
        <v>37</v>
      </c>
      <c r="DX31">
        <v>1</v>
      </c>
      <c r="EE31">
        <v>39174605</v>
      </c>
      <c r="EF31">
        <v>6</v>
      </c>
      <c r="EG31" t="s">
        <v>19</v>
      </c>
      <c r="EH31">
        <v>0</v>
      </c>
      <c r="EI31" t="s">
        <v>3</v>
      </c>
      <c r="EJ31">
        <v>1</v>
      </c>
      <c r="EK31">
        <v>65010</v>
      </c>
      <c r="EL31" t="s">
        <v>32</v>
      </c>
      <c r="EM31" t="s">
        <v>33</v>
      </c>
      <c r="EO31" t="s">
        <v>3</v>
      </c>
      <c r="EQ31">
        <v>0</v>
      </c>
      <c r="ER31">
        <v>956.29</v>
      </c>
      <c r="ES31">
        <v>956.29</v>
      </c>
      <c r="ET31">
        <v>0</v>
      </c>
      <c r="EU31">
        <v>0</v>
      </c>
      <c r="EV31">
        <v>0</v>
      </c>
      <c r="EW31">
        <v>0</v>
      </c>
      <c r="EX31">
        <v>0</v>
      </c>
      <c r="FQ31">
        <v>0</v>
      </c>
      <c r="FR31">
        <f t="shared" si="50"/>
        <v>0</v>
      </c>
      <c r="FS31">
        <v>0</v>
      </c>
      <c r="FX31">
        <v>103</v>
      </c>
      <c r="FY31">
        <v>60</v>
      </c>
      <c r="GA31" t="s">
        <v>3</v>
      </c>
      <c r="GD31">
        <v>0</v>
      </c>
      <c r="GF31">
        <v>128350836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 t="shared" si="51"/>
        <v>0</v>
      </c>
      <c r="GM31">
        <f t="shared" si="52"/>
        <v>81179.460000000006</v>
      </c>
      <c r="GN31">
        <f t="shared" si="53"/>
        <v>81179.460000000006</v>
      </c>
      <c r="GO31">
        <f t="shared" si="54"/>
        <v>0</v>
      </c>
      <c r="GP31">
        <f t="shared" si="55"/>
        <v>0</v>
      </c>
      <c r="GR31">
        <v>0</v>
      </c>
      <c r="GS31">
        <v>3</v>
      </c>
      <c r="GT31">
        <v>0</v>
      </c>
      <c r="GU31" t="s">
        <v>3</v>
      </c>
      <c r="GV31">
        <f t="shared" si="56"/>
        <v>0</v>
      </c>
      <c r="GW31">
        <v>1</v>
      </c>
      <c r="GX31">
        <f t="shared" si="57"/>
        <v>0</v>
      </c>
      <c r="HA31">
        <v>0</v>
      </c>
      <c r="HB31">
        <v>0</v>
      </c>
      <c r="IK31">
        <v>0</v>
      </c>
    </row>
    <row r="32" spans="1:245" x14ac:dyDescent="0.2">
      <c r="A32">
        <v>17</v>
      </c>
      <c r="B32">
        <v>1</v>
      </c>
      <c r="C32">
        <f>ROW(SmtRes!A11)</f>
        <v>11</v>
      </c>
      <c r="D32">
        <f>ROW(EtalonRes!A14)</f>
        <v>14</v>
      </c>
      <c r="E32" t="s">
        <v>39</v>
      </c>
      <c r="F32" t="s">
        <v>40</v>
      </c>
      <c r="G32" t="s">
        <v>41</v>
      </c>
      <c r="H32" t="s">
        <v>25</v>
      </c>
      <c r="I32">
        <v>1.5465</v>
      </c>
      <c r="J32">
        <v>0</v>
      </c>
      <c r="O32">
        <f t="shared" si="21"/>
        <v>1797.56</v>
      </c>
      <c r="P32">
        <f t="shared" si="22"/>
        <v>0</v>
      </c>
      <c r="Q32">
        <f t="shared" si="23"/>
        <v>0</v>
      </c>
      <c r="R32">
        <f t="shared" si="24"/>
        <v>0</v>
      </c>
      <c r="S32">
        <f t="shared" si="25"/>
        <v>1797.56</v>
      </c>
      <c r="T32">
        <f t="shared" si="26"/>
        <v>0</v>
      </c>
      <c r="U32">
        <f t="shared" si="27"/>
        <v>35.291130000000003</v>
      </c>
      <c r="V32">
        <f t="shared" si="28"/>
        <v>0</v>
      </c>
      <c r="W32">
        <f t="shared" si="29"/>
        <v>0</v>
      </c>
      <c r="X32">
        <f t="shared" si="30"/>
        <v>1779.58</v>
      </c>
      <c r="Y32">
        <f t="shared" si="31"/>
        <v>1078.54</v>
      </c>
      <c r="AA32">
        <v>39099382</v>
      </c>
      <c r="AB32">
        <f t="shared" si="32"/>
        <v>178</v>
      </c>
      <c r="AC32">
        <f t="shared" si="33"/>
        <v>0</v>
      </c>
      <c r="AD32">
        <f t="shared" si="34"/>
        <v>0</v>
      </c>
      <c r="AE32">
        <f t="shared" si="35"/>
        <v>0</v>
      </c>
      <c r="AF32">
        <f t="shared" si="35"/>
        <v>178</v>
      </c>
      <c r="AG32">
        <f t="shared" si="36"/>
        <v>0</v>
      </c>
      <c r="AH32">
        <f t="shared" si="37"/>
        <v>22.82</v>
      </c>
      <c r="AI32">
        <f t="shared" si="37"/>
        <v>0</v>
      </c>
      <c r="AJ32">
        <f t="shared" si="38"/>
        <v>0</v>
      </c>
      <c r="AK32">
        <v>178</v>
      </c>
      <c r="AL32">
        <v>0</v>
      </c>
      <c r="AM32">
        <v>0</v>
      </c>
      <c r="AN32">
        <v>0</v>
      </c>
      <c r="AO32">
        <v>178</v>
      </c>
      <c r="AP32">
        <v>0</v>
      </c>
      <c r="AQ32">
        <v>22.82</v>
      </c>
      <c r="AR32">
        <v>0</v>
      </c>
      <c r="AS32">
        <v>0</v>
      </c>
      <c r="AT32">
        <v>99</v>
      </c>
      <c r="AU32">
        <v>60</v>
      </c>
      <c r="AV32">
        <v>1</v>
      </c>
      <c r="AW32">
        <v>1</v>
      </c>
      <c r="AZ32">
        <v>6.53</v>
      </c>
      <c r="BA32">
        <v>6.53</v>
      </c>
      <c r="BB32">
        <v>6.53</v>
      </c>
      <c r="BC32">
        <v>6.53</v>
      </c>
      <c r="BD32" t="s">
        <v>3</v>
      </c>
      <c r="BE32" t="s">
        <v>3</v>
      </c>
      <c r="BF32" t="s">
        <v>3</v>
      </c>
      <c r="BG32" t="s">
        <v>3</v>
      </c>
      <c r="BH32">
        <v>0</v>
      </c>
      <c r="BI32">
        <v>1</v>
      </c>
      <c r="BJ32" t="s">
        <v>42</v>
      </c>
      <c r="BM32">
        <v>46001</v>
      </c>
      <c r="BN32">
        <v>0</v>
      </c>
      <c r="BO32" t="s">
        <v>3</v>
      </c>
      <c r="BP32">
        <v>0</v>
      </c>
      <c r="BQ32">
        <v>2</v>
      </c>
      <c r="BR32">
        <v>0</v>
      </c>
      <c r="BS32">
        <v>6.53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110</v>
      </c>
      <c r="CA32">
        <v>70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 t="shared" si="39"/>
        <v>1797.56</v>
      </c>
      <c r="CQ32">
        <f t="shared" si="40"/>
        <v>0</v>
      </c>
      <c r="CR32">
        <f t="shared" si="41"/>
        <v>0</v>
      </c>
      <c r="CS32">
        <f t="shared" si="42"/>
        <v>0</v>
      </c>
      <c r="CT32">
        <f t="shared" si="43"/>
        <v>1162.3400000000001</v>
      </c>
      <c r="CU32">
        <f t="shared" si="44"/>
        <v>0</v>
      </c>
      <c r="CV32">
        <f t="shared" si="45"/>
        <v>22.82</v>
      </c>
      <c r="CW32">
        <f t="shared" si="46"/>
        <v>0</v>
      </c>
      <c r="CX32">
        <f t="shared" si="47"/>
        <v>0</v>
      </c>
      <c r="CY32">
        <f t="shared" si="48"/>
        <v>1779.5844</v>
      </c>
      <c r="CZ32">
        <f t="shared" si="49"/>
        <v>1078.5359999999998</v>
      </c>
      <c r="DC32" t="s">
        <v>3</v>
      </c>
      <c r="DD32" t="s">
        <v>3</v>
      </c>
      <c r="DE32" t="s">
        <v>3</v>
      </c>
      <c r="DF32" t="s">
        <v>3</v>
      </c>
      <c r="DG32" t="s">
        <v>3</v>
      </c>
      <c r="DH32" t="s">
        <v>3</v>
      </c>
      <c r="DI32" t="s">
        <v>3</v>
      </c>
      <c r="DJ32" t="s">
        <v>3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1005</v>
      </c>
      <c r="DV32" t="s">
        <v>25</v>
      </c>
      <c r="DW32" t="s">
        <v>25</v>
      </c>
      <c r="DX32">
        <v>100</v>
      </c>
      <c r="EE32">
        <v>39174571</v>
      </c>
      <c r="EF32">
        <v>2</v>
      </c>
      <c r="EG32" t="s">
        <v>43</v>
      </c>
      <c r="EH32">
        <v>0</v>
      </c>
      <c r="EI32" t="s">
        <v>3</v>
      </c>
      <c r="EJ32">
        <v>1</v>
      </c>
      <c r="EK32">
        <v>46001</v>
      </c>
      <c r="EL32" t="s">
        <v>44</v>
      </c>
      <c r="EM32" t="s">
        <v>45</v>
      </c>
      <c r="EO32" t="s">
        <v>3</v>
      </c>
      <c r="EQ32">
        <v>0</v>
      </c>
      <c r="ER32">
        <v>178</v>
      </c>
      <c r="ES32">
        <v>0</v>
      </c>
      <c r="ET32">
        <v>0</v>
      </c>
      <c r="EU32">
        <v>0</v>
      </c>
      <c r="EV32">
        <v>178</v>
      </c>
      <c r="EW32">
        <v>22.82</v>
      </c>
      <c r="EX32">
        <v>0</v>
      </c>
      <c r="EY32">
        <v>0</v>
      </c>
      <c r="FQ32">
        <v>0</v>
      </c>
      <c r="FR32">
        <f t="shared" si="50"/>
        <v>0</v>
      </c>
      <c r="FS32">
        <v>0</v>
      </c>
      <c r="FT32" t="s">
        <v>46</v>
      </c>
      <c r="FU32" t="s">
        <v>47</v>
      </c>
      <c r="FX32">
        <v>99</v>
      </c>
      <c r="FY32">
        <v>59.5</v>
      </c>
      <c r="GA32" t="s">
        <v>3</v>
      </c>
      <c r="GD32">
        <v>0</v>
      </c>
      <c r="GF32">
        <v>232532105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51"/>
        <v>0</v>
      </c>
      <c r="GM32">
        <f t="shared" si="52"/>
        <v>4655.68</v>
      </c>
      <c r="GN32">
        <f t="shared" si="53"/>
        <v>4655.68</v>
      </c>
      <c r="GO32">
        <f t="shared" si="54"/>
        <v>0</v>
      </c>
      <c r="GP32">
        <f t="shared" si="55"/>
        <v>0</v>
      </c>
      <c r="GR32">
        <v>0</v>
      </c>
      <c r="GS32">
        <v>0</v>
      </c>
      <c r="GT32">
        <v>0</v>
      </c>
      <c r="GU32" t="s">
        <v>3</v>
      </c>
      <c r="GV32">
        <f t="shared" si="56"/>
        <v>0</v>
      </c>
      <c r="GW32">
        <v>1</v>
      </c>
      <c r="GX32">
        <f t="shared" si="57"/>
        <v>0</v>
      </c>
      <c r="HA32">
        <v>0</v>
      </c>
      <c r="HB32">
        <v>0</v>
      </c>
      <c r="IK32">
        <v>0</v>
      </c>
    </row>
    <row r="33" spans="1:245" x14ac:dyDescent="0.2">
      <c r="A33">
        <v>17</v>
      </c>
      <c r="B33">
        <v>1</v>
      </c>
      <c r="C33">
        <f>ROW(SmtRes!A17)</f>
        <v>17</v>
      </c>
      <c r="D33">
        <f>ROW(EtalonRes!A21)</f>
        <v>21</v>
      </c>
      <c r="E33" t="s">
        <v>48</v>
      </c>
      <c r="F33" t="s">
        <v>49</v>
      </c>
      <c r="G33" t="s">
        <v>50</v>
      </c>
      <c r="H33" t="s">
        <v>51</v>
      </c>
      <c r="I33">
        <v>0.43</v>
      </c>
      <c r="J33">
        <v>0</v>
      </c>
      <c r="O33">
        <f t="shared" si="21"/>
        <v>3108.01</v>
      </c>
      <c r="P33">
        <f t="shared" si="22"/>
        <v>0.67</v>
      </c>
      <c r="Q33">
        <f t="shared" si="23"/>
        <v>131.86000000000001</v>
      </c>
      <c r="R33">
        <f t="shared" si="24"/>
        <v>0</v>
      </c>
      <c r="S33">
        <f t="shared" si="25"/>
        <v>2975.48</v>
      </c>
      <c r="T33">
        <f t="shared" si="26"/>
        <v>0</v>
      </c>
      <c r="U33">
        <f t="shared" si="27"/>
        <v>53.418900000000001</v>
      </c>
      <c r="V33">
        <f t="shared" si="28"/>
        <v>0</v>
      </c>
      <c r="W33">
        <f t="shared" si="29"/>
        <v>0</v>
      </c>
      <c r="X33">
        <f t="shared" si="30"/>
        <v>2380.38</v>
      </c>
      <c r="Y33">
        <f t="shared" si="31"/>
        <v>2023.33</v>
      </c>
      <c r="AA33">
        <v>39099382</v>
      </c>
      <c r="AB33">
        <f t="shared" si="32"/>
        <v>1106.8800000000001</v>
      </c>
      <c r="AC33">
        <f t="shared" si="33"/>
        <v>0.24</v>
      </c>
      <c r="AD33">
        <f t="shared" si="34"/>
        <v>46.96</v>
      </c>
      <c r="AE33">
        <f t="shared" si="35"/>
        <v>0</v>
      </c>
      <c r="AF33">
        <f t="shared" si="35"/>
        <v>1059.68</v>
      </c>
      <c r="AG33">
        <f t="shared" si="36"/>
        <v>0</v>
      </c>
      <c r="AH33">
        <f t="shared" si="37"/>
        <v>124.23</v>
      </c>
      <c r="AI33">
        <f t="shared" si="37"/>
        <v>0</v>
      </c>
      <c r="AJ33">
        <f t="shared" si="38"/>
        <v>0</v>
      </c>
      <c r="AK33">
        <v>1106.8800000000001</v>
      </c>
      <c r="AL33">
        <v>0.24</v>
      </c>
      <c r="AM33">
        <v>46.96</v>
      </c>
      <c r="AN33">
        <v>0</v>
      </c>
      <c r="AO33">
        <v>1059.68</v>
      </c>
      <c r="AP33">
        <v>0</v>
      </c>
      <c r="AQ33">
        <v>124.23</v>
      </c>
      <c r="AR33">
        <v>0</v>
      </c>
      <c r="AS33">
        <v>0</v>
      </c>
      <c r="AT33">
        <v>80</v>
      </c>
      <c r="AU33">
        <v>68</v>
      </c>
      <c r="AV33">
        <v>1</v>
      </c>
      <c r="AW33">
        <v>1</v>
      </c>
      <c r="AZ33">
        <v>6.53</v>
      </c>
      <c r="BA33">
        <v>6.53</v>
      </c>
      <c r="BB33">
        <v>6.53</v>
      </c>
      <c r="BC33">
        <v>6.53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1</v>
      </c>
      <c r="BJ33" t="s">
        <v>52</v>
      </c>
      <c r="BM33">
        <v>57001</v>
      </c>
      <c r="BN33">
        <v>0</v>
      </c>
      <c r="BO33" t="s">
        <v>3</v>
      </c>
      <c r="BP33">
        <v>0</v>
      </c>
      <c r="BQ33">
        <v>6</v>
      </c>
      <c r="BR33">
        <v>0</v>
      </c>
      <c r="BS33">
        <v>6.53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80</v>
      </c>
      <c r="CA33">
        <v>68</v>
      </c>
      <c r="CF33">
        <v>0</v>
      </c>
      <c r="CG33">
        <v>0</v>
      </c>
      <c r="CM33">
        <v>0</v>
      </c>
      <c r="CN33" t="s">
        <v>3</v>
      </c>
      <c r="CO33">
        <v>0</v>
      </c>
      <c r="CP33">
        <f t="shared" si="39"/>
        <v>3108.01</v>
      </c>
      <c r="CQ33">
        <f t="shared" si="40"/>
        <v>1.5671999999999999</v>
      </c>
      <c r="CR33">
        <f t="shared" si="41"/>
        <v>306.64879999999999</v>
      </c>
      <c r="CS33">
        <f t="shared" si="42"/>
        <v>0</v>
      </c>
      <c r="CT33">
        <f t="shared" si="43"/>
        <v>6919.7104000000008</v>
      </c>
      <c r="CU33">
        <f t="shared" si="44"/>
        <v>0</v>
      </c>
      <c r="CV33">
        <f t="shared" si="45"/>
        <v>124.23</v>
      </c>
      <c r="CW33">
        <f t="shared" si="46"/>
        <v>0</v>
      </c>
      <c r="CX33">
        <f t="shared" si="47"/>
        <v>0</v>
      </c>
      <c r="CY33">
        <f t="shared" si="48"/>
        <v>2380.384</v>
      </c>
      <c r="CZ33">
        <f t="shared" si="49"/>
        <v>2023.3264000000001</v>
      </c>
      <c r="DC33" t="s">
        <v>3</v>
      </c>
      <c r="DD33" t="s">
        <v>3</v>
      </c>
      <c r="DE33" t="s">
        <v>3</v>
      </c>
      <c r="DF33" t="s">
        <v>3</v>
      </c>
      <c r="DG33" t="s">
        <v>3</v>
      </c>
      <c r="DH33" t="s">
        <v>3</v>
      </c>
      <c r="DI33" t="s">
        <v>3</v>
      </c>
      <c r="DJ33" t="s">
        <v>3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1013</v>
      </c>
      <c r="DV33" t="s">
        <v>51</v>
      </c>
      <c r="DW33" t="s">
        <v>51</v>
      </c>
      <c r="DX33">
        <v>1</v>
      </c>
      <c r="EE33">
        <v>39174582</v>
      </c>
      <c r="EF33">
        <v>6</v>
      </c>
      <c r="EG33" t="s">
        <v>19</v>
      </c>
      <c r="EH33">
        <v>0</v>
      </c>
      <c r="EI33" t="s">
        <v>3</v>
      </c>
      <c r="EJ33">
        <v>1</v>
      </c>
      <c r="EK33">
        <v>57001</v>
      </c>
      <c r="EL33" t="s">
        <v>20</v>
      </c>
      <c r="EM33" t="s">
        <v>21</v>
      </c>
      <c r="EO33" t="s">
        <v>3</v>
      </c>
      <c r="EQ33">
        <v>0</v>
      </c>
      <c r="ER33">
        <v>1106.8800000000001</v>
      </c>
      <c r="ES33">
        <v>0.24</v>
      </c>
      <c r="ET33">
        <v>46.96</v>
      </c>
      <c r="EU33">
        <v>0</v>
      </c>
      <c r="EV33">
        <v>1059.68</v>
      </c>
      <c r="EW33">
        <v>124.23</v>
      </c>
      <c r="EX33">
        <v>0</v>
      </c>
      <c r="EY33">
        <v>0</v>
      </c>
      <c r="FQ33">
        <v>0</v>
      </c>
      <c r="FR33">
        <f t="shared" si="50"/>
        <v>0</v>
      </c>
      <c r="FS33">
        <v>0</v>
      </c>
      <c r="FX33">
        <v>80</v>
      </c>
      <c r="FY33">
        <v>68</v>
      </c>
      <c r="GA33" t="s">
        <v>3</v>
      </c>
      <c r="GD33">
        <v>0</v>
      </c>
      <c r="GF33">
        <v>424324215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51"/>
        <v>0</v>
      </c>
      <c r="GM33">
        <f t="shared" si="52"/>
        <v>7511.72</v>
      </c>
      <c r="GN33">
        <f t="shared" si="53"/>
        <v>7511.72</v>
      </c>
      <c r="GO33">
        <f t="shared" si="54"/>
        <v>0</v>
      </c>
      <c r="GP33">
        <f t="shared" si="55"/>
        <v>0</v>
      </c>
      <c r="GR33">
        <v>0</v>
      </c>
      <c r="GS33">
        <v>0</v>
      </c>
      <c r="GT33">
        <v>0</v>
      </c>
      <c r="GU33" t="s">
        <v>3</v>
      </c>
      <c r="GV33">
        <f t="shared" si="56"/>
        <v>0</v>
      </c>
      <c r="GW33">
        <v>1</v>
      </c>
      <c r="GX33">
        <f t="shared" si="57"/>
        <v>0</v>
      </c>
      <c r="HA33">
        <v>0</v>
      </c>
      <c r="HB33">
        <v>0</v>
      </c>
      <c r="IK33">
        <v>0</v>
      </c>
    </row>
    <row r="34" spans="1:245" x14ac:dyDescent="0.2">
      <c r="A34">
        <v>18</v>
      </c>
      <c r="B34">
        <v>1</v>
      </c>
      <c r="C34">
        <v>16</v>
      </c>
      <c r="E34" t="s">
        <v>53</v>
      </c>
      <c r="F34" t="s">
        <v>54</v>
      </c>
      <c r="G34" t="s">
        <v>55</v>
      </c>
      <c r="H34" t="s">
        <v>56</v>
      </c>
      <c r="I34">
        <f>I33*J34</f>
        <v>0.92020000000000002</v>
      </c>
      <c r="J34">
        <v>2.14</v>
      </c>
      <c r="O34">
        <f t="shared" si="21"/>
        <v>0</v>
      </c>
      <c r="P34">
        <f t="shared" si="22"/>
        <v>0</v>
      </c>
      <c r="Q34">
        <f t="shared" si="23"/>
        <v>0</v>
      </c>
      <c r="R34">
        <f t="shared" si="24"/>
        <v>0</v>
      </c>
      <c r="S34">
        <f t="shared" si="25"/>
        <v>0</v>
      </c>
      <c r="T34">
        <f t="shared" si="26"/>
        <v>0</v>
      </c>
      <c r="U34">
        <f t="shared" si="27"/>
        <v>0</v>
      </c>
      <c r="V34">
        <f t="shared" si="28"/>
        <v>0</v>
      </c>
      <c r="W34">
        <f t="shared" si="29"/>
        <v>0</v>
      </c>
      <c r="X34">
        <f t="shared" si="30"/>
        <v>0</v>
      </c>
      <c r="Y34">
        <f t="shared" si="31"/>
        <v>0</v>
      </c>
      <c r="AA34">
        <v>39099382</v>
      </c>
      <c r="AB34">
        <f t="shared" si="32"/>
        <v>0</v>
      </c>
      <c r="AC34">
        <f t="shared" si="33"/>
        <v>0</v>
      </c>
      <c r="AD34">
        <f t="shared" si="34"/>
        <v>0</v>
      </c>
      <c r="AE34">
        <f t="shared" si="35"/>
        <v>0</v>
      </c>
      <c r="AF34">
        <f t="shared" si="35"/>
        <v>0</v>
      </c>
      <c r="AG34">
        <f t="shared" si="36"/>
        <v>0</v>
      </c>
      <c r="AH34">
        <f t="shared" si="37"/>
        <v>0</v>
      </c>
      <c r="AI34">
        <f t="shared" si="37"/>
        <v>0</v>
      </c>
      <c r="AJ34">
        <f t="shared" si="38"/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80</v>
      </c>
      <c r="AU34">
        <v>68</v>
      </c>
      <c r="AV34">
        <v>1</v>
      </c>
      <c r="AW34">
        <v>1</v>
      </c>
      <c r="AZ34">
        <v>6.53</v>
      </c>
      <c r="BA34">
        <v>1</v>
      </c>
      <c r="BB34">
        <v>1</v>
      </c>
      <c r="BC34">
        <v>6.53</v>
      </c>
      <c r="BD34" t="s">
        <v>3</v>
      </c>
      <c r="BE34" t="s">
        <v>3</v>
      </c>
      <c r="BF34" t="s">
        <v>3</v>
      </c>
      <c r="BG34" t="s">
        <v>3</v>
      </c>
      <c r="BH34">
        <v>3</v>
      </c>
      <c r="BI34">
        <v>1</v>
      </c>
      <c r="BJ34" t="s">
        <v>3</v>
      </c>
      <c r="BM34">
        <v>57001</v>
      </c>
      <c r="BN34">
        <v>0</v>
      </c>
      <c r="BO34" t="s">
        <v>3</v>
      </c>
      <c r="BP34">
        <v>0</v>
      </c>
      <c r="BQ34">
        <v>6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80</v>
      </c>
      <c r="CA34">
        <v>68</v>
      </c>
      <c r="CF34">
        <v>0</v>
      </c>
      <c r="CG34">
        <v>0</v>
      </c>
      <c r="CM34">
        <v>0</v>
      </c>
      <c r="CN34" t="s">
        <v>3</v>
      </c>
      <c r="CO34">
        <v>0</v>
      </c>
      <c r="CP34">
        <f t="shared" si="39"/>
        <v>0</v>
      </c>
      <c r="CQ34">
        <f t="shared" si="40"/>
        <v>0</v>
      </c>
      <c r="CR34">
        <f t="shared" si="41"/>
        <v>0</v>
      </c>
      <c r="CS34">
        <f t="shared" si="42"/>
        <v>0</v>
      </c>
      <c r="CT34">
        <f t="shared" si="43"/>
        <v>0</v>
      </c>
      <c r="CU34">
        <f t="shared" si="44"/>
        <v>0</v>
      </c>
      <c r="CV34">
        <f t="shared" si="45"/>
        <v>0</v>
      </c>
      <c r="CW34">
        <f t="shared" si="46"/>
        <v>0</v>
      </c>
      <c r="CX34">
        <f t="shared" si="47"/>
        <v>0</v>
      </c>
      <c r="CY34">
        <f t="shared" si="48"/>
        <v>0</v>
      </c>
      <c r="CZ34">
        <f t="shared" si="49"/>
        <v>0</v>
      </c>
      <c r="DC34" t="s">
        <v>3</v>
      </c>
      <c r="DD34" t="s">
        <v>3</v>
      </c>
      <c r="DE34" t="s">
        <v>3</v>
      </c>
      <c r="DF34" t="s">
        <v>3</v>
      </c>
      <c r="DG34" t="s">
        <v>3</v>
      </c>
      <c r="DH34" t="s">
        <v>3</v>
      </c>
      <c r="DI34" t="s">
        <v>3</v>
      </c>
      <c r="DJ34" t="s">
        <v>3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1007</v>
      </c>
      <c r="DV34" t="s">
        <v>56</v>
      </c>
      <c r="DW34" t="s">
        <v>56</v>
      </c>
      <c r="DX34">
        <v>1</v>
      </c>
      <c r="EE34">
        <v>39174582</v>
      </c>
      <c r="EF34">
        <v>6</v>
      </c>
      <c r="EG34" t="s">
        <v>19</v>
      </c>
      <c r="EH34">
        <v>0</v>
      </c>
      <c r="EI34" t="s">
        <v>3</v>
      </c>
      <c r="EJ34">
        <v>1</v>
      </c>
      <c r="EK34">
        <v>57001</v>
      </c>
      <c r="EL34" t="s">
        <v>20</v>
      </c>
      <c r="EM34" t="s">
        <v>21</v>
      </c>
      <c r="EO34" t="s">
        <v>3</v>
      </c>
      <c r="EQ34">
        <v>0</v>
      </c>
      <c r="ER34">
        <v>0</v>
      </c>
      <c r="ES34">
        <v>0</v>
      </c>
      <c r="ET34">
        <v>0</v>
      </c>
      <c r="EU34">
        <v>0</v>
      </c>
      <c r="EV34">
        <v>0</v>
      </c>
      <c r="EW34">
        <v>0</v>
      </c>
      <c r="EX34">
        <v>0</v>
      </c>
      <c r="FQ34">
        <v>0</v>
      </c>
      <c r="FR34">
        <f t="shared" si="50"/>
        <v>0</v>
      </c>
      <c r="FS34">
        <v>0</v>
      </c>
      <c r="FX34">
        <v>80</v>
      </c>
      <c r="FY34">
        <v>68</v>
      </c>
      <c r="GA34" t="s">
        <v>3</v>
      </c>
      <c r="GD34">
        <v>0</v>
      </c>
      <c r="GF34">
        <v>-2113302258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51"/>
        <v>0</v>
      </c>
      <c r="GM34">
        <f t="shared" si="52"/>
        <v>0</v>
      </c>
      <c r="GN34">
        <f t="shared" si="53"/>
        <v>0</v>
      </c>
      <c r="GO34">
        <f t="shared" si="54"/>
        <v>0</v>
      </c>
      <c r="GP34">
        <f t="shared" si="55"/>
        <v>0</v>
      </c>
      <c r="GR34">
        <v>0</v>
      </c>
      <c r="GS34">
        <v>3</v>
      </c>
      <c r="GT34">
        <v>0</v>
      </c>
      <c r="GU34" t="s">
        <v>3</v>
      </c>
      <c r="GV34">
        <f t="shared" si="56"/>
        <v>0</v>
      </c>
      <c r="GW34">
        <v>1</v>
      </c>
      <c r="GX34">
        <f t="shared" si="57"/>
        <v>0</v>
      </c>
      <c r="HA34">
        <v>0</v>
      </c>
      <c r="HB34">
        <v>0</v>
      </c>
      <c r="IK34">
        <v>0</v>
      </c>
    </row>
    <row r="35" spans="1:245" x14ac:dyDescent="0.2">
      <c r="A35">
        <v>18</v>
      </c>
      <c r="B35">
        <v>1</v>
      </c>
      <c r="C35">
        <v>17</v>
      </c>
      <c r="E35" t="s">
        <v>57</v>
      </c>
      <c r="F35" t="s">
        <v>58</v>
      </c>
      <c r="G35" t="s">
        <v>59</v>
      </c>
      <c r="H35" t="s">
        <v>56</v>
      </c>
      <c r="I35">
        <f>I33*J35</f>
        <v>0.92020000000000002</v>
      </c>
      <c r="J35">
        <v>2.14</v>
      </c>
      <c r="O35">
        <f t="shared" si="21"/>
        <v>3294.68</v>
      </c>
      <c r="P35">
        <f t="shared" si="22"/>
        <v>3294.68</v>
      </c>
      <c r="Q35">
        <f t="shared" si="23"/>
        <v>0</v>
      </c>
      <c r="R35">
        <f t="shared" si="24"/>
        <v>0</v>
      </c>
      <c r="S35">
        <f t="shared" si="25"/>
        <v>0</v>
      </c>
      <c r="T35">
        <f t="shared" si="26"/>
        <v>0</v>
      </c>
      <c r="U35">
        <f t="shared" si="27"/>
        <v>0</v>
      </c>
      <c r="V35">
        <f t="shared" si="28"/>
        <v>0</v>
      </c>
      <c r="W35">
        <f t="shared" si="29"/>
        <v>0</v>
      </c>
      <c r="X35">
        <f t="shared" si="30"/>
        <v>0</v>
      </c>
      <c r="Y35">
        <f t="shared" si="31"/>
        <v>0</v>
      </c>
      <c r="AA35">
        <v>39099382</v>
      </c>
      <c r="AB35">
        <f t="shared" si="32"/>
        <v>548.29999999999995</v>
      </c>
      <c r="AC35">
        <f t="shared" si="33"/>
        <v>548.29999999999995</v>
      </c>
      <c r="AD35">
        <f t="shared" si="34"/>
        <v>0</v>
      </c>
      <c r="AE35">
        <f t="shared" si="35"/>
        <v>0</v>
      </c>
      <c r="AF35">
        <f t="shared" si="35"/>
        <v>0</v>
      </c>
      <c r="AG35">
        <f t="shared" si="36"/>
        <v>0</v>
      </c>
      <c r="AH35">
        <f t="shared" si="37"/>
        <v>0</v>
      </c>
      <c r="AI35">
        <f t="shared" si="37"/>
        <v>0</v>
      </c>
      <c r="AJ35">
        <f t="shared" si="38"/>
        <v>0</v>
      </c>
      <c r="AK35">
        <v>548.29999999999995</v>
      </c>
      <c r="AL35">
        <v>548.29999999999995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80</v>
      </c>
      <c r="AU35">
        <v>68</v>
      </c>
      <c r="AV35">
        <v>1</v>
      </c>
      <c r="AW35">
        <v>1</v>
      </c>
      <c r="AZ35">
        <v>6.53</v>
      </c>
      <c r="BA35">
        <v>1</v>
      </c>
      <c r="BB35">
        <v>1</v>
      </c>
      <c r="BC35">
        <v>6.53</v>
      </c>
      <c r="BD35" t="s">
        <v>3</v>
      </c>
      <c r="BE35" t="s">
        <v>3</v>
      </c>
      <c r="BF35" t="s">
        <v>3</v>
      </c>
      <c r="BG35" t="s">
        <v>3</v>
      </c>
      <c r="BH35">
        <v>3</v>
      </c>
      <c r="BI35">
        <v>1</v>
      </c>
      <c r="BJ35" t="s">
        <v>60</v>
      </c>
      <c r="BM35">
        <v>57001</v>
      </c>
      <c r="BN35">
        <v>0</v>
      </c>
      <c r="BO35" t="s">
        <v>3</v>
      </c>
      <c r="BP35">
        <v>0</v>
      </c>
      <c r="BQ35">
        <v>6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80</v>
      </c>
      <c r="CA35">
        <v>68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39"/>
        <v>3294.68</v>
      </c>
      <c r="CQ35">
        <f t="shared" si="40"/>
        <v>3580.3989999999999</v>
      </c>
      <c r="CR35">
        <f t="shared" si="41"/>
        <v>0</v>
      </c>
      <c r="CS35">
        <f t="shared" si="42"/>
        <v>0</v>
      </c>
      <c r="CT35">
        <f t="shared" si="43"/>
        <v>0</v>
      </c>
      <c r="CU35">
        <f t="shared" si="44"/>
        <v>0</v>
      </c>
      <c r="CV35">
        <f t="shared" si="45"/>
        <v>0</v>
      </c>
      <c r="CW35">
        <f t="shared" si="46"/>
        <v>0</v>
      </c>
      <c r="CX35">
        <f t="shared" si="47"/>
        <v>0</v>
      </c>
      <c r="CY35">
        <f t="shared" si="48"/>
        <v>0</v>
      </c>
      <c r="CZ35">
        <f t="shared" si="49"/>
        <v>0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1007</v>
      </c>
      <c r="DV35" t="s">
        <v>56</v>
      </c>
      <c r="DW35" t="s">
        <v>56</v>
      </c>
      <c r="DX35">
        <v>1</v>
      </c>
      <c r="EE35">
        <v>39174582</v>
      </c>
      <c r="EF35">
        <v>6</v>
      </c>
      <c r="EG35" t="s">
        <v>19</v>
      </c>
      <c r="EH35">
        <v>0</v>
      </c>
      <c r="EI35" t="s">
        <v>3</v>
      </c>
      <c r="EJ35">
        <v>1</v>
      </c>
      <c r="EK35">
        <v>57001</v>
      </c>
      <c r="EL35" t="s">
        <v>20</v>
      </c>
      <c r="EM35" t="s">
        <v>21</v>
      </c>
      <c r="EO35" t="s">
        <v>3</v>
      </c>
      <c r="EQ35">
        <v>0</v>
      </c>
      <c r="ER35">
        <v>548.29999999999995</v>
      </c>
      <c r="ES35">
        <v>548.29999999999995</v>
      </c>
      <c r="ET35">
        <v>0</v>
      </c>
      <c r="EU35">
        <v>0</v>
      </c>
      <c r="EV35">
        <v>0</v>
      </c>
      <c r="EW35">
        <v>0</v>
      </c>
      <c r="EX35">
        <v>0</v>
      </c>
      <c r="FQ35">
        <v>0</v>
      </c>
      <c r="FR35">
        <f t="shared" si="50"/>
        <v>0</v>
      </c>
      <c r="FS35">
        <v>0</v>
      </c>
      <c r="FX35">
        <v>80</v>
      </c>
      <c r="FY35">
        <v>68</v>
      </c>
      <c r="GA35" t="s">
        <v>3</v>
      </c>
      <c r="GD35">
        <v>0</v>
      </c>
      <c r="GF35">
        <v>-1970722706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51"/>
        <v>0</v>
      </c>
      <c r="GM35">
        <f t="shared" si="52"/>
        <v>3294.68</v>
      </c>
      <c r="GN35">
        <f t="shared" si="53"/>
        <v>3294.68</v>
      </c>
      <c r="GO35">
        <f t="shared" si="54"/>
        <v>0</v>
      </c>
      <c r="GP35">
        <f t="shared" si="55"/>
        <v>0</v>
      </c>
      <c r="GR35">
        <v>0</v>
      </c>
      <c r="GS35">
        <v>3</v>
      </c>
      <c r="GT35">
        <v>0</v>
      </c>
      <c r="GU35" t="s">
        <v>3</v>
      </c>
      <c r="GV35">
        <f t="shared" si="56"/>
        <v>0</v>
      </c>
      <c r="GW35">
        <v>1</v>
      </c>
      <c r="GX35">
        <f t="shared" si="57"/>
        <v>0</v>
      </c>
      <c r="HA35">
        <v>0</v>
      </c>
      <c r="HB35">
        <v>0</v>
      </c>
      <c r="IK35">
        <v>0</v>
      </c>
    </row>
    <row r="36" spans="1:245" x14ac:dyDescent="0.2">
      <c r="A36">
        <v>17</v>
      </c>
      <c r="B36">
        <v>1</v>
      </c>
      <c r="C36">
        <f>ROW(SmtRes!A24)</f>
        <v>24</v>
      </c>
      <c r="D36">
        <f>ROW(EtalonRes!A28)</f>
        <v>28</v>
      </c>
      <c r="E36" t="s">
        <v>61</v>
      </c>
      <c r="F36" t="s">
        <v>62</v>
      </c>
      <c r="G36" t="s">
        <v>63</v>
      </c>
      <c r="H36" t="s">
        <v>25</v>
      </c>
      <c r="I36">
        <v>2.7930000000000001</v>
      </c>
      <c r="J36">
        <v>0</v>
      </c>
      <c r="O36">
        <f t="shared" si="21"/>
        <v>202055.64</v>
      </c>
      <c r="P36">
        <f t="shared" si="22"/>
        <v>195173.96</v>
      </c>
      <c r="Q36">
        <f t="shared" si="23"/>
        <v>142.08000000000001</v>
      </c>
      <c r="R36">
        <f t="shared" si="24"/>
        <v>44.87</v>
      </c>
      <c r="S36">
        <f t="shared" si="25"/>
        <v>6739.6</v>
      </c>
      <c r="T36">
        <f t="shared" si="26"/>
        <v>0</v>
      </c>
      <c r="U36">
        <f t="shared" si="27"/>
        <v>120.99415649999999</v>
      </c>
      <c r="V36">
        <f t="shared" si="28"/>
        <v>0.59351250000000011</v>
      </c>
      <c r="W36">
        <f t="shared" si="29"/>
        <v>0</v>
      </c>
      <c r="X36">
        <f t="shared" si="30"/>
        <v>7530.76</v>
      </c>
      <c r="Y36">
        <f t="shared" si="31"/>
        <v>4342.0600000000004</v>
      </c>
      <c r="AA36">
        <v>39099382</v>
      </c>
      <c r="AB36">
        <f t="shared" si="32"/>
        <v>11078.65</v>
      </c>
      <c r="AC36">
        <f t="shared" si="33"/>
        <v>10701.33</v>
      </c>
      <c r="AD36">
        <f>ROUND(((((ET36*1.25))-((EU36*1.25)))+AE36),2)</f>
        <v>7.79</v>
      </c>
      <c r="AE36">
        <f>ROUND(((EU36*1.25)),2)</f>
        <v>2.46</v>
      </c>
      <c r="AF36">
        <f>ROUND(((EV36*1.15)),2)</f>
        <v>369.53</v>
      </c>
      <c r="AG36">
        <f t="shared" si="36"/>
        <v>0</v>
      </c>
      <c r="AH36">
        <f>((EW36*1.15))</f>
        <v>43.320499999999996</v>
      </c>
      <c r="AI36">
        <f>((EX36*1.25))</f>
        <v>0.21250000000000002</v>
      </c>
      <c r="AJ36">
        <f t="shared" si="38"/>
        <v>0</v>
      </c>
      <c r="AK36">
        <v>11028.89</v>
      </c>
      <c r="AL36">
        <v>10701.33</v>
      </c>
      <c r="AM36">
        <v>6.23</v>
      </c>
      <c r="AN36">
        <v>1.97</v>
      </c>
      <c r="AO36">
        <v>321.33</v>
      </c>
      <c r="AP36">
        <v>0</v>
      </c>
      <c r="AQ36">
        <v>37.67</v>
      </c>
      <c r="AR36">
        <v>0.17</v>
      </c>
      <c r="AS36">
        <v>0</v>
      </c>
      <c r="AT36">
        <v>111</v>
      </c>
      <c r="AU36">
        <v>64</v>
      </c>
      <c r="AV36">
        <v>1</v>
      </c>
      <c r="AW36">
        <v>1</v>
      </c>
      <c r="AZ36">
        <v>6.53</v>
      </c>
      <c r="BA36">
        <v>6.53</v>
      </c>
      <c r="BB36">
        <v>6.53</v>
      </c>
      <c r="BC36">
        <v>6.53</v>
      </c>
      <c r="BD36" t="s">
        <v>3</v>
      </c>
      <c r="BE36" t="s">
        <v>3</v>
      </c>
      <c r="BF36" t="s">
        <v>3</v>
      </c>
      <c r="BG36" t="s">
        <v>3</v>
      </c>
      <c r="BH36">
        <v>0</v>
      </c>
      <c r="BI36">
        <v>1</v>
      </c>
      <c r="BJ36" t="s">
        <v>64</v>
      </c>
      <c r="BM36">
        <v>11001</v>
      </c>
      <c r="BN36">
        <v>0</v>
      </c>
      <c r="BO36" t="s">
        <v>3</v>
      </c>
      <c r="BP36">
        <v>0</v>
      </c>
      <c r="BQ36">
        <v>2</v>
      </c>
      <c r="BR36">
        <v>0</v>
      </c>
      <c r="BS36">
        <v>6.53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123</v>
      </c>
      <c r="CA36">
        <v>75</v>
      </c>
      <c r="CF36">
        <v>0</v>
      </c>
      <c r="CG36">
        <v>0</v>
      </c>
      <c r="CM36">
        <v>0</v>
      </c>
      <c r="CN36" t="s">
        <v>937</v>
      </c>
      <c r="CO36">
        <v>0</v>
      </c>
      <c r="CP36">
        <f t="shared" si="39"/>
        <v>202055.63999999998</v>
      </c>
      <c r="CQ36">
        <f t="shared" si="40"/>
        <v>69879.684900000007</v>
      </c>
      <c r="CR36">
        <f t="shared" si="41"/>
        <v>50.868700000000004</v>
      </c>
      <c r="CS36">
        <f t="shared" si="42"/>
        <v>16.063800000000001</v>
      </c>
      <c r="CT36">
        <f t="shared" si="43"/>
        <v>2413.0308999999997</v>
      </c>
      <c r="CU36">
        <f t="shared" si="44"/>
        <v>0</v>
      </c>
      <c r="CV36">
        <f t="shared" si="45"/>
        <v>43.320499999999996</v>
      </c>
      <c r="CW36">
        <f t="shared" si="46"/>
        <v>0.21250000000000002</v>
      </c>
      <c r="CX36">
        <f t="shared" si="47"/>
        <v>0</v>
      </c>
      <c r="CY36">
        <f t="shared" si="48"/>
        <v>7530.7617</v>
      </c>
      <c r="CZ36">
        <f t="shared" si="49"/>
        <v>4342.0608000000002</v>
      </c>
      <c r="DC36" t="s">
        <v>3</v>
      </c>
      <c r="DD36" t="s">
        <v>3</v>
      </c>
      <c r="DE36" t="s">
        <v>65</v>
      </c>
      <c r="DF36" t="s">
        <v>65</v>
      </c>
      <c r="DG36" t="s">
        <v>66</v>
      </c>
      <c r="DH36" t="s">
        <v>3</v>
      </c>
      <c r="DI36" t="s">
        <v>66</v>
      </c>
      <c r="DJ36" t="s">
        <v>65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1005</v>
      </c>
      <c r="DV36" t="s">
        <v>25</v>
      </c>
      <c r="DW36" t="s">
        <v>25</v>
      </c>
      <c r="DX36">
        <v>100</v>
      </c>
      <c r="EE36">
        <v>39174504</v>
      </c>
      <c r="EF36">
        <v>2</v>
      </c>
      <c r="EG36" t="s">
        <v>43</v>
      </c>
      <c r="EH36">
        <v>0</v>
      </c>
      <c r="EI36" t="s">
        <v>3</v>
      </c>
      <c r="EJ36">
        <v>1</v>
      </c>
      <c r="EK36">
        <v>11001</v>
      </c>
      <c r="EL36" t="s">
        <v>20</v>
      </c>
      <c r="EM36" t="s">
        <v>67</v>
      </c>
      <c r="EO36" t="s">
        <v>68</v>
      </c>
      <c r="EQ36">
        <v>0</v>
      </c>
      <c r="ER36">
        <v>11028.89</v>
      </c>
      <c r="ES36">
        <v>10701.33</v>
      </c>
      <c r="ET36">
        <v>6.23</v>
      </c>
      <c r="EU36">
        <v>1.97</v>
      </c>
      <c r="EV36">
        <v>321.33</v>
      </c>
      <c r="EW36">
        <v>37.67</v>
      </c>
      <c r="EX36">
        <v>0.17</v>
      </c>
      <c r="EY36">
        <v>0</v>
      </c>
      <c r="FQ36">
        <v>0</v>
      </c>
      <c r="FR36">
        <f t="shared" si="50"/>
        <v>0</v>
      </c>
      <c r="FS36">
        <v>0</v>
      </c>
      <c r="FT36" t="s">
        <v>46</v>
      </c>
      <c r="FU36" t="s">
        <v>47</v>
      </c>
      <c r="FX36">
        <v>110.7</v>
      </c>
      <c r="FY36">
        <v>63.75</v>
      </c>
      <c r="GA36" t="s">
        <v>3</v>
      </c>
      <c r="GD36">
        <v>0</v>
      </c>
      <c r="GF36">
        <v>1715562049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51"/>
        <v>0</v>
      </c>
      <c r="GM36">
        <f t="shared" si="52"/>
        <v>213928.46</v>
      </c>
      <c r="GN36">
        <f t="shared" si="53"/>
        <v>213928.46</v>
      </c>
      <c r="GO36">
        <f t="shared" si="54"/>
        <v>0</v>
      </c>
      <c r="GP36">
        <f t="shared" si="55"/>
        <v>0</v>
      </c>
      <c r="GR36">
        <v>0</v>
      </c>
      <c r="GS36">
        <v>0</v>
      </c>
      <c r="GT36">
        <v>0</v>
      </c>
      <c r="GU36" t="s">
        <v>3</v>
      </c>
      <c r="GV36">
        <f t="shared" si="56"/>
        <v>0</v>
      </c>
      <c r="GW36">
        <v>1</v>
      </c>
      <c r="GX36">
        <f t="shared" si="57"/>
        <v>0</v>
      </c>
      <c r="HA36">
        <v>0</v>
      </c>
      <c r="HB36">
        <v>0</v>
      </c>
      <c r="IK36">
        <v>0</v>
      </c>
    </row>
    <row r="37" spans="1:245" x14ac:dyDescent="0.2">
      <c r="A37">
        <v>17</v>
      </c>
      <c r="B37">
        <v>1</v>
      </c>
      <c r="C37">
        <f>ROW(SmtRes!A30)</f>
        <v>30</v>
      </c>
      <c r="D37">
        <f>ROW(EtalonRes!A34)</f>
        <v>34</v>
      </c>
      <c r="E37" t="s">
        <v>69</v>
      </c>
      <c r="F37" t="s">
        <v>70</v>
      </c>
      <c r="G37" t="s">
        <v>71</v>
      </c>
      <c r="H37" t="s">
        <v>25</v>
      </c>
      <c r="I37">
        <v>2.7930000000000001</v>
      </c>
      <c r="J37">
        <v>0</v>
      </c>
      <c r="O37">
        <f t="shared" si="21"/>
        <v>189131.06</v>
      </c>
      <c r="P37">
        <f t="shared" si="22"/>
        <v>186828.48</v>
      </c>
      <c r="Q37">
        <f t="shared" si="23"/>
        <v>138.06</v>
      </c>
      <c r="R37">
        <f t="shared" si="24"/>
        <v>39.94</v>
      </c>
      <c r="S37">
        <f t="shared" si="25"/>
        <v>2164.52</v>
      </c>
      <c r="T37">
        <f t="shared" si="26"/>
        <v>0</v>
      </c>
      <c r="U37">
        <f t="shared" si="27"/>
        <v>38.864595000000001</v>
      </c>
      <c r="V37">
        <f t="shared" si="28"/>
        <v>0.52368750000000008</v>
      </c>
      <c r="W37">
        <f t="shared" si="29"/>
        <v>0</v>
      </c>
      <c r="X37">
        <f t="shared" si="30"/>
        <v>2446.9499999999998</v>
      </c>
      <c r="Y37">
        <f t="shared" si="31"/>
        <v>1410.85</v>
      </c>
      <c r="AA37">
        <v>39099382</v>
      </c>
      <c r="AB37">
        <f t="shared" si="32"/>
        <v>10370</v>
      </c>
      <c r="AC37">
        <f>ROUND(((ES37*5)),2)</f>
        <v>10243.75</v>
      </c>
      <c r="AD37">
        <f>ROUND(((((ET37*1.25*5))-((EU37*1.25*5)))+AE37),2)</f>
        <v>7.57</v>
      </c>
      <c r="AE37">
        <f>ROUND(((EU37*1.25*5)),2)</f>
        <v>2.19</v>
      </c>
      <c r="AF37">
        <f>ROUND(((EV37*1.15*5)),2)</f>
        <v>118.68</v>
      </c>
      <c r="AG37">
        <f t="shared" si="36"/>
        <v>0</v>
      </c>
      <c r="AH37">
        <f>((EW37*1.15*5))</f>
        <v>13.914999999999999</v>
      </c>
      <c r="AI37">
        <f>((EX37*1.25*5))</f>
        <v>0.1875</v>
      </c>
      <c r="AJ37">
        <f t="shared" si="38"/>
        <v>0</v>
      </c>
      <c r="AK37">
        <v>2070.6</v>
      </c>
      <c r="AL37">
        <v>2048.75</v>
      </c>
      <c r="AM37">
        <v>1.21</v>
      </c>
      <c r="AN37">
        <v>0.35</v>
      </c>
      <c r="AO37">
        <v>20.64</v>
      </c>
      <c r="AP37">
        <v>0</v>
      </c>
      <c r="AQ37">
        <v>2.42</v>
      </c>
      <c r="AR37">
        <v>0.03</v>
      </c>
      <c r="AS37">
        <v>0</v>
      </c>
      <c r="AT37">
        <v>111</v>
      </c>
      <c r="AU37">
        <v>64</v>
      </c>
      <c r="AV37">
        <v>1</v>
      </c>
      <c r="AW37">
        <v>1</v>
      </c>
      <c r="AZ37">
        <v>6.53</v>
      </c>
      <c r="BA37">
        <v>6.53</v>
      </c>
      <c r="BB37">
        <v>6.53</v>
      </c>
      <c r="BC37">
        <v>6.53</v>
      </c>
      <c r="BD37" t="s">
        <v>3</v>
      </c>
      <c r="BE37" t="s">
        <v>3</v>
      </c>
      <c r="BF37" t="s">
        <v>3</v>
      </c>
      <c r="BG37" t="s">
        <v>3</v>
      </c>
      <c r="BH37">
        <v>0</v>
      </c>
      <c r="BI37">
        <v>1</v>
      </c>
      <c r="BJ37" t="s">
        <v>72</v>
      </c>
      <c r="BM37">
        <v>11001</v>
      </c>
      <c r="BN37">
        <v>0</v>
      </c>
      <c r="BO37" t="s">
        <v>3</v>
      </c>
      <c r="BP37">
        <v>0</v>
      </c>
      <c r="BQ37">
        <v>2</v>
      </c>
      <c r="BR37">
        <v>0</v>
      </c>
      <c r="BS37">
        <v>6.53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123</v>
      </c>
      <c r="CA37">
        <v>75</v>
      </c>
      <c r="CF37">
        <v>0</v>
      </c>
      <c r="CG37">
        <v>0</v>
      </c>
      <c r="CM37">
        <v>0</v>
      </c>
      <c r="CN37" t="s">
        <v>937</v>
      </c>
      <c r="CO37">
        <v>0</v>
      </c>
      <c r="CP37">
        <f t="shared" si="39"/>
        <v>189131.06</v>
      </c>
      <c r="CQ37">
        <f t="shared" si="40"/>
        <v>66891.6875</v>
      </c>
      <c r="CR37">
        <f t="shared" si="41"/>
        <v>49.432100000000005</v>
      </c>
      <c r="CS37">
        <f t="shared" si="42"/>
        <v>14.300700000000001</v>
      </c>
      <c r="CT37">
        <f t="shared" si="43"/>
        <v>774.98040000000003</v>
      </c>
      <c r="CU37">
        <f t="shared" si="44"/>
        <v>0</v>
      </c>
      <c r="CV37">
        <f t="shared" si="45"/>
        <v>13.914999999999999</v>
      </c>
      <c r="CW37">
        <f t="shared" si="46"/>
        <v>0.1875</v>
      </c>
      <c r="CX37">
        <f t="shared" si="47"/>
        <v>0</v>
      </c>
      <c r="CY37">
        <f t="shared" si="48"/>
        <v>2446.9506000000001</v>
      </c>
      <c r="CZ37">
        <f t="shared" si="49"/>
        <v>1410.8543999999999</v>
      </c>
      <c r="DC37" t="s">
        <v>3</v>
      </c>
      <c r="DD37" t="s">
        <v>73</v>
      </c>
      <c r="DE37" t="s">
        <v>74</v>
      </c>
      <c r="DF37" t="s">
        <v>74</v>
      </c>
      <c r="DG37" t="s">
        <v>75</v>
      </c>
      <c r="DH37" t="s">
        <v>3</v>
      </c>
      <c r="DI37" t="s">
        <v>75</v>
      </c>
      <c r="DJ37" t="s">
        <v>74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25</v>
      </c>
      <c r="DW37" t="s">
        <v>25</v>
      </c>
      <c r="DX37">
        <v>100</v>
      </c>
      <c r="EE37">
        <v>39174504</v>
      </c>
      <c r="EF37">
        <v>2</v>
      </c>
      <c r="EG37" t="s">
        <v>43</v>
      </c>
      <c r="EH37">
        <v>0</v>
      </c>
      <c r="EI37" t="s">
        <v>3</v>
      </c>
      <c r="EJ37">
        <v>1</v>
      </c>
      <c r="EK37">
        <v>11001</v>
      </c>
      <c r="EL37" t="s">
        <v>20</v>
      </c>
      <c r="EM37" t="s">
        <v>67</v>
      </c>
      <c r="EO37" t="s">
        <v>68</v>
      </c>
      <c r="EQ37">
        <v>0</v>
      </c>
      <c r="ER37">
        <v>2070.6</v>
      </c>
      <c r="ES37">
        <v>2048.75</v>
      </c>
      <c r="ET37">
        <v>1.21</v>
      </c>
      <c r="EU37">
        <v>0.35</v>
      </c>
      <c r="EV37">
        <v>20.64</v>
      </c>
      <c r="EW37">
        <v>2.42</v>
      </c>
      <c r="EX37">
        <v>0.03</v>
      </c>
      <c r="EY37">
        <v>0</v>
      </c>
      <c r="FQ37">
        <v>0</v>
      </c>
      <c r="FR37">
        <f t="shared" si="50"/>
        <v>0</v>
      </c>
      <c r="FS37">
        <v>0</v>
      </c>
      <c r="FT37" t="s">
        <v>46</v>
      </c>
      <c r="FU37" t="s">
        <v>47</v>
      </c>
      <c r="FX37">
        <v>110.7</v>
      </c>
      <c r="FY37">
        <v>63.75</v>
      </c>
      <c r="GA37" t="s">
        <v>3</v>
      </c>
      <c r="GD37">
        <v>0</v>
      </c>
      <c r="GF37">
        <v>337317905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51"/>
        <v>0</v>
      </c>
      <c r="GM37">
        <f t="shared" si="52"/>
        <v>192988.86</v>
      </c>
      <c r="GN37">
        <f t="shared" si="53"/>
        <v>192988.86</v>
      </c>
      <c r="GO37">
        <f t="shared" si="54"/>
        <v>0</v>
      </c>
      <c r="GP37">
        <f t="shared" si="55"/>
        <v>0</v>
      </c>
      <c r="GR37">
        <v>0</v>
      </c>
      <c r="GS37">
        <v>3</v>
      </c>
      <c r="GT37">
        <v>0</v>
      </c>
      <c r="GU37" t="s">
        <v>3</v>
      </c>
      <c r="GV37">
        <f t="shared" si="56"/>
        <v>0</v>
      </c>
      <c r="GW37">
        <v>1</v>
      </c>
      <c r="GX37">
        <f t="shared" si="57"/>
        <v>0</v>
      </c>
      <c r="HA37">
        <v>0</v>
      </c>
      <c r="HB37">
        <v>0</v>
      </c>
      <c r="IK37">
        <v>0</v>
      </c>
    </row>
    <row r="38" spans="1:245" x14ac:dyDescent="0.2">
      <c r="A38">
        <v>17</v>
      </c>
      <c r="B38">
        <v>1</v>
      </c>
      <c r="C38">
        <f>ROW(SmtRes!A38)</f>
        <v>38</v>
      </c>
      <c r="D38">
        <f>ROW(EtalonRes!A42)</f>
        <v>42</v>
      </c>
      <c r="E38" t="s">
        <v>76</v>
      </c>
      <c r="F38" t="s">
        <v>77</v>
      </c>
      <c r="G38" t="s">
        <v>78</v>
      </c>
      <c r="H38" t="s">
        <v>25</v>
      </c>
      <c r="I38">
        <v>2.7930000000000001</v>
      </c>
      <c r="J38">
        <v>0</v>
      </c>
      <c r="O38">
        <f t="shared" si="21"/>
        <v>4893.34</v>
      </c>
      <c r="P38">
        <f t="shared" si="22"/>
        <v>3871.81</v>
      </c>
      <c r="Q38">
        <f t="shared" si="23"/>
        <v>403.8</v>
      </c>
      <c r="R38">
        <f t="shared" si="24"/>
        <v>10.58</v>
      </c>
      <c r="S38">
        <f t="shared" si="25"/>
        <v>617.73</v>
      </c>
      <c r="T38">
        <f t="shared" si="26"/>
        <v>0</v>
      </c>
      <c r="U38">
        <f t="shared" si="27"/>
        <v>10.30617</v>
      </c>
      <c r="V38">
        <f t="shared" si="28"/>
        <v>0.13965000000000002</v>
      </c>
      <c r="W38">
        <f t="shared" si="29"/>
        <v>0</v>
      </c>
      <c r="X38">
        <f t="shared" si="30"/>
        <v>596.89</v>
      </c>
      <c r="Y38">
        <f t="shared" si="31"/>
        <v>295.31</v>
      </c>
      <c r="AA38">
        <v>39099382</v>
      </c>
      <c r="AB38">
        <f t="shared" si="32"/>
        <v>268.3</v>
      </c>
      <c r="AC38">
        <f t="shared" ref="AC38:AC71" si="58">ROUND((ES38),2)</f>
        <v>212.29</v>
      </c>
      <c r="AD38">
        <f t="shared" ref="AD38:AD60" si="59">ROUND((((ET38)-(EU38))+AE38),2)</f>
        <v>22.14</v>
      </c>
      <c r="AE38">
        <f t="shared" ref="AE38:AE60" si="60">ROUND((EU38),2)</f>
        <v>0.57999999999999996</v>
      </c>
      <c r="AF38">
        <f t="shared" ref="AF38:AF60" si="61">ROUND((EV38),2)</f>
        <v>33.869999999999997</v>
      </c>
      <c r="AG38">
        <f t="shared" si="36"/>
        <v>0</v>
      </c>
      <c r="AH38">
        <f t="shared" ref="AH38:AH60" si="62">(EW38)</f>
        <v>3.69</v>
      </c>
      <c r="AI38">
        <f t="shared" ref="AI38:AI60" si="63">(EX38)</f>
        <v>0.05</v>
      </c>
      <c r="AJ38">
        <f t="shared" si="38"/>
        <v>0</v>
      </c>
      <c r="AK38">
        <v>268.3</v>
      </c>
      <c r="AL38">
        <v>212.29</v>
      </c>
      <c r="AM38">
        <v>22.14</v>
      </c>
      <c r="AN38">
        <v>0.57999999999999996</v>
      </c>
      <c r="AO38">
        <v>33.869999999999997</v>
      </c>
      <c r="AP38">
        <v>0</v>
      </c>
      <c r="AQ38">
        <v>3.69</v>
      </c>
      <c r="AR38">
        <v>0.05</v>
      </c>
      <c r="AS38">
        <v>0</v>
      </c>
      <c r="AT38">
        <v>95</v>
      </c>
      <c r="AU38">
        <v>47</v>
      </c>
      <c r="AV38">
        <v>1</v>
      </c>
      <c r="AW38">
        <v>1</v>
      </c>
      <c r="AZ38">
        <v>6.53</v>
      </c>
      <c r="BA38">
        <v>6.53</v>
      </c>
      <c r="BB38">
        <v>6.53</v>
      </c>
      <c r="BC38">
        <v>6.53</v>
      </c>
      <c r="BD38" t="s">
        <v>3</v>
      </c>
      <c r="BE38" t="s">
        <v>3</v>
      </c>
      <c r="BF38" t="s">
        <v>3</v>
      </c>
      <c r="BG38" t="s">
        <v>3</v>
      </c>
      <c r="BH38">
        <v>0</v>
      </c>
      <c r="BI38">
        <v>1</v>
      </c>
      <c r="BJ38" t="s">
        <v>79</v>
      </c>
      <c r="BM38">
        <v>15001</v>
      </c>
      <c r="BN38">
        <v>0</v>
      </c>
      <c r="BO38" t="s">
        <v>3</v>
      </c>
      <c r="BP38">
        <v>0</v>
      </c>
      <c r="BQ38">
        <v>2</v>
      </c>
      <c r="BR38">
        <v>0</v>
      </c>
      <c r="BS38">
        <v>6.53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105</v>
      </c>
      <c r="CA38">
        <v>55</v>
      </c>
      <c r="CF38">
        <v>0</v>
      </c>
      <c r="CG38">
        <v>0</v>
      </c>
      <c r="CM38">
        <v>0</v>
      </c>
      <c r="CN38" t="s">
        <v>3</v>
      </c>
      <c r="CO38">
        <v>0</v>
      </c>
      <c r="CP38">
        <f t="shared" si="39"/>
        <v>4893.34</v>
      </c>
      <c r="CQ38">
        <f t="shared" si="40"/>
        <v>1386.2537</v>
      </c>
      <c r="CR38">
        <f t="shared" si="41"/>
        <v>144.57420000000002</v>
      </c>
      <c r="CS38">
        <f t="shared" si="42"/>
        <v>3.7873999999999999</v>
      </c>
      <c r="CT38">
        <f t="shared" si="43"/>
        <v>221.1711</v>
      </c>
      <c r="CU38">
        <f t="shared" si="44"/>
        <v>0</v>
      </c>
      <c r="CV38">
        <f t="shared" si="45"/>
        <v>3.69</v>
      </c>
      <c r="CW38">
        <f t="shared" si="46"/>
        <v>0.05</v>
      </c>
      <c r="CX38">
        <f t="shared" si="47"/>
        <v>0</v>
      </c>
      <c r="CY38">
        <f t="shared" si="48"/>
        <v>596.89449999999999</v>
      </c>
      <c r="CZ38">
        <f t="shared" si="49"/>
        <v>295.30570000000006</v>
      </c>
      <c r="DC38" t="s">
        <v>3</v>
      </c>
      <c r="DD38" t="s">
        <v>3</v>
      </c>
      <c r="DE38" t="s">
        <v>3</v>
      </c>
      <c r="DF38" t="s">
        <v>3</v>
      </c>
      <c r="DG38" t="s">
        <v>3</v>
      </c>
      <c r="DH38" t="s">
        <v>3</v>
      </c>
      <c r="DI38" t="s">
        <v>3</v>
      </c>
      <c r="DJ38" t="s">
        <v>3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1005</v>
      </c>
      <c r="DV38" t="s">
        <v>25</v>
      </c>
      <c r="DW38" t="s">
        <v>25</v>
      </c>
      <c r="DX38">
        <v>100</v>
      </c>
      <c r="EE38">
        <v>39174529</v>
      </c>
      <c r="EF38">
        <v>2</v>
      </c>
      <c r="EG38" t="s">
        <v>43</v>
      </c>
      <c r="EH38">
        <v>0</v>
      </c>
      <c r="EI38" t="s">
        <v>3</v>
      </c>
      <c r="EJ38">
        <v>1</v>
      </c>
      <c r="EK38">
        <v>15001</v>
      </c>
      <c r="EL38" t="s">
        <v>80</v>
      </c>
      <c r="EM38" t="s">
        <v>81</v>
      </c>
      <c r="EO38" t="s">
        <v>3</v>
      </c>
      <c r="EQ38">
        <v>0</v>
      </c>
      <c r="ER38">
        <v>268.3</v>
      </c>
      <c r="ES38">
        <v>212.29</v>
      </c>
      <c r="ET38">
        <v>22.14</v>
      </c>
      <c r="EU38">
        <v>0.57999999999999996</v>
      </c>
      <c r="EV38">
        <v>33.869999999999997</v>
      </c>
      <c r="EW38">
        <v>3.69</v>
      </c>
      <c r="EX38">
        <v>0.05</v>
      </c>
      <c r="EY38">
        <v>0</v>
      </c>
      <c r="FQ38">
        <v>0</v>
      </c>
      <c r="FR38">
        <f t="shared" si="50"/>
        <v>0</v>
      </c>
      <c r="FS38">
        <v>0</v>
      </c>
      <c r="FT38" t="s">
        <v>46</v>
      </c>
      <c r="FU38" t="s">
        <v>47</v>
      </c>
      <c r="FX38">
        <v>94.5</v>
      </c>
      <c r="FY38">
        <v>46.75</v>
      </c>
      <c r="GA38" t="s">
        <v>3</v>
      </c>
      <c r="GD38">
        <v>0</v>
      </c>
      <c r="GF38">
        <v>686490124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51"/>
        <v>0</v>
      </c>
      <c r="GM38">
        <f t="shared" si="52"/>
        <v>5785.54</v>
      </c>
      <c r="GN38">
        <f t="shared" si="53"/>
        <v>5785.54</v>
      </c>
      <c r="GO38">
        <f t="shared" si="54"/>
        <v>0</v>
      </c>
      <c r="GP38">
        <f t="shared" si="55"/>
        <v>0</v>
      </c>
      <c r="GR38">
        <v>0</v>
      </c>
      <c r="GS38">
        <v>0</v>
      </c>
      <c r="GT38">
        <v>0</v>
      </c>
      <c r="GU38" t="s">
        <v>3</v>
      </c>
      <c r="GV38">
        <f t="shared" si="56"/>
        <v>0</v>
      </c>
      <c r="GW38">
        <v>1</v>
      </c>
      <c r="GX38">
        <f t="shared" si="57"/>
        <v>0</v>
      </c>
      <c r="HA38">
        <v>0</v>
      </c>
      <c r="HB38">
        <v>0</v>
      </c>
      <c r="IK38">
        <v>0</v>
      </c>
    </row>
    <row r="39" spans="1:245" x14ac:dyDescent="0.2">
      <c r="A39">
        <v>17</v>
      </c>
      <c r="B39">
        <v>1</v>
      </c>
      <c r="C39">
        <f>ROW(SmtRes!A47)</f>
        <v>47</v>
      </c>
      <c r="D39">
        <f>ROW(EtalonRes!A49)</f>
        <v>49</v>
      </c>
      <c r="E39" t="s">
        <v>82</v>
      </c>
      <c r="F39" t="s">
        <v>83</v>
      </c>
      <c r="G39" t="s">
        <v>84</v>
      </c>
      <c r="H39" t="s">
        <v>25</v>
      </c>
      <c r="I39">
        <v>2.7930000000000001</v>
      </c>
      <c r="J39">
        <v>0</v>
      </c>
      <c r="O39">
        <f t="shared" si="21"/>
        <v>7241.52</v>
      </c>
      <c r="P39">
        <f t="shared" si="22"/>
        <v>16.600000000000001</v>
      </c>
      <c r="Q39">
        <f t="shared" si="23"/>
        <v>798.84</v>
      </c>
      <c r="R39">
        <f t="shared" si="24"/>
        <v>192.05</v>
      </c>
      <c r="S39">
        <f t="shared" si="25"/>
        <v>6426.08</v>
      </c>
      <c r="T39">
        <f t="shared" si="26"/>
        <v>0</v>
      </c>
      <c r="U39">
        <f t="shared" si="27"/>
        <v>118.42320000000001</v>
      </c>
      <c r="V39">
        <f t="shared" si="28"/>
        <v>2.37405</v>
      </c>
      <c r="W39">
        <f t="shared" si="29"/>
        <v>0</v>
      </c>
      <c r="X39">
        <f t="shared" si="30"/>
        <v>7346.12</v>
      </c>
      <c r="Y39">
        <f t="shared" si="31"/>
        <v>4235.6000000000004</v>
      </c>
      <c r="AA39">
        <v>39099382</v>
      </c>
      <c r="AB39">
        <f t="shared" si="32"/>
        <v>397.05</v>
      </c>
      <c r="AC39">
        <f t="shared" si="58"/>
        <v>0.91</v>
      </c>
      <c r="AD39">
        <f t="shared" si="59"/>
        <v>43.8</v>
      </c>
      <c r="AE39">
        <f t="shared" si="60"/>
        <v>10.53</v>
      </c>
      <c r="AF39">
        <f t="shared" si="61"/>
        <v>352.34</v>
      </c>
      <c r="AG39">
        <f t="shared" si="36"/>
        <v>0</v>
      </c>
      <c r="AH39">
        <f t="shared" si="62"/>
        <v>42.4</v>
      </c>
      <c r="AI39">
        <f t="shared" si="63"/>
        <v>0.85</v>
      </c>
      <c r="AJ39">
        <f t="shared" si="38"/>
        <v>0</v>
      </c>
      <c r="AK39">
        <v>397.05</v>
      </c>
      <c r="AL39">
        <v>0.91</v>
      </c>
      <c r="AM39">
        <v>43.8</v>
      </c>
      <c r="AN39">
        <v>10.53</v>
      </c>
      <c r="AO39">
        <v>352.34</v>
      </c>
      <c r="AP39">
        <v>0</v>
      </c>
      <c r="AQ39">
        <v>42.4</v>
      </c>
      <c r="AR39">
        <v>0.85</v>
      </c>
      <c r="AS39">
        <v>0</v>
      </c>
      <c r="AT39">
        <v>111</v>
      </c>
      <c r="AU39">
        <v>64</v>
      </c>
      <c r="AV39">
        <v>1</v>
      </c>
      <c r="AW39">
        <v>1</v>
      </c>
      <c r="AZ39">
        <v>6.53</v>
      </c>
      <c r="BA39">
        <v>6.53</v>
      </c>
      <c r="BB39">
        <v>6.53</v>
      </c>
      <c r="BC39">
        <v>6.53</v>
      </c>
      <c r="BD39" t="s">
        <v>3</v>
      </c>
      <c r="BE39" t="s">
        <v>3</v>
      </c>
      <c r="BF39" t="s">
        <v>3</v>
      </c>
      <c r="BG39" t="s">
        <v>3</v>
      </c>
      <c r="BH39">
        <v>0</v>
      </c>
      <c r="BI39">
        <v>1</v>
      </c>
      <c r="BJ39" t="s">
        <v>85</v>
      </c>
      <c r="BM39">
        <v>11001</v>
      </c>
      <c r="BN39">
        <v>0</v>
      </c>
      <c r="BO39" t="s">
        <v>3</v>
      </c>
      <c r="BP39">
        <v>0</v>
      </c>
      <c r="BQ39">
        <v>2</v>
      </c>
      <c r="BR39">
        <v>0</v>
      </c>
      <c r="BS39">
        <v>6.53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123</v>
      </c>
      <c r="CA39">
        <v>75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 t="shared" si="39"/>
        <v>7241.52</v>
      </c>
      <c r="CQ39">
        <f t="shared" si="40"/>
        <v>5.9423000000000004</v>
      </c>
      <c r="CR39">
        <f t="shared" si="41"/>
        <v>286.01400000000001</v>
      </c>
      <c r="CS39">
        <f t="shared" si="42"/>
        <v>68.760899999999992</v>
      </c>
      <c r="CT39">
        <f t="shared" si="43"/>
        <v>2300.7802000000001</v>
      </c>
      <c r="CU39">
        <f t="shared" si="44"/>
        <v>0</v>
      </c>
      <c r="CV39">
        <f t="shared" si="45"/>
        <v>42.4</v>
      </c>
      <c r="CW39">
        <f t="shared" si="46"/>
        <v>0.85</v>
      </c>
      <c r="CX39">
        <f t="shared" si="47"/>
        <v>0</v>
      </c>
      <c r="CY39">
        <f t="shared" si="48"/>
        <v>7346.1243000000004</v>
      </c>
      <c r="CZ39">
        <f t="shared" si="49"/>
        <v>4235.6032000000005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1005</v>
      </c>
      <c r="DV39" t="s">
        <v>25</v>
      </c>
      <c r="DW39" t="s">
        <v>25</v>
      </c>
      <c r="DX39">
        <v>100</v>
      </c>
      <c r="EE39">
        <v>39174504</v>
      </c>
      <c r="EF39">
        <v>2</v>
      </c>
      <c r="EG39" t="s">
        <v>43</v>
      </c>
      <c r="EH39">
        <v>0</v>
      </c>
      <c r="EI39" t="s">
        <v>3</v>
      </c>
      <c r="EJ39">
        <v>1</v>
      </c>
      <c r="EK39">
        <v>11001</v>
      </c>
      <c r="EL39" t="s">
        <v>20</v>
      </c>
      <c r="EM39" t="s">
        <v>67</v>
      </c>
      <c r="EO39" t="s">
        <v>3</v>
      </c>
      <c r="EQ39">
        <v>0</v>
      </c>
      <c r="ER39">
        <v>397.05</v>
      </c>
      <c r="ES39">
        <v>0.91</v>
      </c>
      <c r="ET39">
        <v>43.8</v>
      </c>
      <c r="EU39">
        <v>10.53</v>
      </c>
      <c r="EV39">
        <v>352.34</v>
      </c>
      <c r="EW39">
        <v>42.4</v>
      </c>
      <c r="EX39">
        <v>0.85</v>
      </c>
      <c r="EY39">
        <v>0</v>
      </c>
      <c r="FQ39">
        <v>0</v>
      </c>
      <c r="FR39">
        <f t="shared" si="50"/>
        <v>0</v>
      </c>
      <c r="FS39">
        <v>0</v>
      </c>
      <c r="FT39" t="s">
        <v>46</v>
      </c>
      <c r="FU39" t="s">
        <v>47</v>
      </c>
      <c r="FX39">
        <v>110.7</v>
      </c>
      <c r="FY39">
        <v>63.75</v>
      </c>
      <c r="GA39" t="s">
        <v>3</v>
      </c>
      <c r="GD39">
        <v>0</v>
      </c>
      <c r="GF39">
        <v>35623097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51"/>
        <v>0</v>
      </c>
      <c r="GM39">
        <f t="shared" si="52"/>
        <v>18823.240000000002</v>
      </c>
      <c r="GN39">
        <f t="shared" si="53"/>
        <v>18823.240000000002</v>
      </c>
      <c r="GO39">
        <f t="shared" si="54"/>
        <v>0</v>
      </c>
      <c r="GP39">
        <f t="shared" si="55"/>
        <v>0</v>
      </c>
      <c r="GR39">
        <v>0</v>
      </c>
      <c r="GS39">
        <v>0</v>
      </c>
      <c r="GT39">
        <v>0</v>
      </c>
      <c r="GU39" t="s">
        <v>3</v>
      </c>
      <c r="GV39">
        <f t="shared" si="56"/>
        <v>0</v>
      </c>
      <c r="GW39">
        <v>1</v>
      </c>
      <c r="GX39">
        <f t="shared" si="57"/>
        <v>0</v>
      </c>
      <c r="HA39">
        <v>0</v>
      </c>
      <c r="HB39">
        <v>0</v>
      </c>
      <c r="IK39">
        <v>0</v>
      </c>
    </row>
    <row r="40" spans="1:245" x14ac:dyDescent="0.2">
      <c r="A40">
        <v>18</v>
      </c>
      <c r="B40">
        <v>1</v>
      </c>
      <c r="C40">
        <v>43</v>
      </c>
      <c r="E40" t="s">
        <v>86</v>
      </c>
      <c r="F40" t="s">
        <v>87</v>
      </c>
      <c r="G40" t="s">
        <v>88</v>
      </c>
      <c r="H40" t="s">
        <v>89</v>
      </c>
      <c r="I40">
        <f>I39*J40</f>
        <v>284.88600000000002</v>
      </c>
      <c r="J40">
        <v>102</v>
      </c>
      <c r="O40">
        <f t="shared" si="21"/>
        <v>0</v>
      </c>
      <c r="P40">
        <f t="shared" si="22"/>
        <v>0</v>
      </c>
      <c r="Q40">
        <f t="shared" si="23"/>
        <v>0</v>
      </c>
      <c r="R40">
        <f t="shared" si="24"/>
        <v>0</v>
      </c>
      <c r="S40">
        <f t="shared" si="25"/>
        <v>0</v>
      </c>
      <c r="T40">
        <f t="shared" si="26"/>
        <v>0</v>
      </c>
      <c r="U40">
        <f t="shared" si="27"/>
        <v>0</v>
      </c>
      <c r="V40">
        <f t="shared" si="28"/>
        <v>0</v>
      </c>
      <c r="W40">
        <f t="shared" si="29"/>
        <v>0</v>
      </c>
      <c r="X40">
        <f t="shared" si="30"/>
        <v>0</v>
      </c>
      <c r="Y40">
        <f t="shared" si="31"/>
        <v>0</v>
      </c>
      <c r="AA40">
        <v>39099382</v>
      </c>
      <c r="AB40">
        <f t="shared" si="32"/>
        <v>0</v>
      </c>
      <c r="AC40">
        <f t="shared" si="58"/>
        <v>0</v>
      </c>
      <c r="AD40">
        <f t="shared" si="59"/>
        <v>0</v>
      </c>
      <c r="AE40">
        <f t="shared" si="60"/>
        <v>0</v>
      </c>
      <c r="AF40">
        <f t="shared" si="61"/>
        <v>0</v>
      </c>
      <c r="AG40">
        <f t="shared" si="36"/>
        <v>0</v>
      </c>
      <c r="AH40">
        <f t="shared" si="62"/>
        <v>0</v>
      </c>
      <c r="AI40">
        <f t="shared" si="63"/>
        <v>0</v>
      </c>
      <c r="AJ40">
        <f t="shared" si="38"/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111</v>
      </c>
      <c r="AU40">
        <v>64</v>
      </c>
      <c r="AV40">
        <v>1</v>
      </c>
      <c r="AW40">
        <v>1</v>
      </c>
      <c r="AZ40">
        <v>6.53</v>
      </c>
      <c r="BA40">
        <v>1</v>
      </c>
      <c r="BB40">
        <v>1</v>
      </c>
      <c r="BC40">
        <v>6.53</v>
      </c>
      <c r="BD40" t="s">
        <v>3</v>
      </c>
      <c r="BE40" t="s">
        <v>3</v>
      </c>
      <c r="BF40" t="s">
        <v>3</v>
      </c>
      <c r="BG40" t="s">
        <v>3</v>
      </c>
      <c r="BH40">
        <v>3</v>
      </c>
      <c r="BI40">
        <v>1</v>
      </c>
      <c r="BJ40" t="s">
        <v>3</v>
      </c>
      <c r="BM40">
        <v>11001</v>
      </c>
      <c r="BN40">
        <v>0</v>
      </c>
      <c r="BO40" t="s">
        <v>3</v>
      </c>
      <c r="BP40">
        <v>0</v>
      </c>
      <c r="BQ40">
        <v>2</v>
      </c>
      <c r="BR40">
        <v>0</v>
      </c>
      <c r="BS40">
        <v>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123</v>
      </c>
      <c r="CA40">
        <v>75</v>
      </c>
      <c r="CF40">
        <v>0</v>
      </c>
      <c r="CG40">
        <v>0</v>
      </c>
      <c r="CM40">
        <v>0</v>
      </c>
      <c r="CN40" t="s">
        <v>3</v>
      </c>
      <c r="CO40">
        <v>0</v>
      </c>
      <c r="CP40">
        <f t="shared" si="39"/>
        <v>0</v>
      </c>
      <c r="CQ40">
        <f t="shared" si="40"/>
        <v>0</v>
      </c>
      <c r="CR40">
        <f t="shared" si="41"/>
        <v>0</v>
      </c>
      <c r="CS40">
        <f t="shared" si="42"/>
        <v>0</v>
      </c>
      <c r="CT40">
        <f t="shared" si="43"/>
        <v>0</v>
      </c>
      <c r="CU40">
        <f t="shared" si="44"/>
        <v>0</v>
      </c>
      <c r="CV40">
        <f t="shared" si="45"/>
        <v>0</v>
      </c>
      <c r="CW40">
        <f t="shared" si="46"/>
        <v>0</v>
      </c>
      <c r="CX40">
        <f t="shared" si="47"/>
        <v>0</v>
      </c>
      <c r="CY40">
        <f t="shared" si="48"/>
        <v>0</v>
      </c>
      <c r="CZ40">
        <f t="shared" si="49"/>
        <v>0</v>
      </c>
      <c r="DC40" t="s">
        <v>3</v>
      </c>
      <c r="DD40" t="s">
        <v>3</v>
      </c>
      <c r="DE40" t="s">
        <v>3</v>
      </c>
      <c r="DF40" t="s">
        <v>3</v>
      </c>
      <c r="DG40" t="s">
        <v>3</v>
      </c>
      <c r="DH40" t="s">
        <v>3</v>
      </c>
      <c r="DI40" t="s">
        <v>3</v>
      </c>
      <c r="DJ40" t="s">
        <v>3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1005</v>
      </c>
      <c r="DV40" t="s">
        <v>89</v>
      </c>
      <c r="DW40" t="s">
        <v>89</v>
      </c>
      <c r="DX40">
        <v>1</v>
      </c>
      <c r="EE40">
        <v>39174504</v>
      </c>
      <c r="EF40">
        <v>2</v>
      </c>
      <c r="EG40" t="s">
        <v>43</v>
      </c>
      <c r="EH40">
        <v>0</v>
      </c>
      <c r="EI40" t="s">
        <v>3</v>
      </c>
      <c r="EJ40">
        <v>1</v>
      </c>
      <c r="EK40">
        <v>11001</v>
      </c>
      <c r="EL40" t="s">
        <v>20</v>
      </c>
      <c r="EM40" t="s">
        <v>67</v>
      </c>
      <c r="EO40" t="s">
        <v>3</v>
      </c>
      <c r="EQ40">
        <v>0</v>
      </c>
      <c r="ER40">
        <v>0</v>
      </c>
      <c r="ES40">
        <v>0</v>
      </c>
      <c r="ET40">
        <v>0</v>
      </c>
      <c r="EU40">
        <v>0</v>
      </c>
      <c r="EV40">
        <v>0</v>
      </c>
      <c r="EW40">
        <v>0</v>
      </c>
      <c r="EX40">
        <v>0</v>
      </c>
      <c r="FQ40">
        <v>0</v>
      </c>
      <c r="FR40">
        <f t="shared" si="50"/>
        <v>0</v>
      </c>
      <c r="FS40">
        <v>0</v>
      </c>
      <c r="FT40" t="s">
        <v>46</v>
      </c>
      <c r="FU40" t="s">
        <v>47</v>
      </c>
      <c r="FX40">
        <v>110.7</v>
      </c>
      <c r="FY40">
        <v>63.75</v>
      </c>
      <c r="GA40" t="s">
        <v>3</v>
      </c>
      <c r="GD40">
        <v>0</v>
      </c>
      <c r="GF40">
        <v>-919469713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51"/>
        <v>0</v>
      </c>
      <c r="GM40">
        <f t="shared" si="52"/>
        <v>0</v>
      </c>
      <c r="GN40">
        <f t="shared" si="53"/>
        <v>0</v>
      </c>
      <c r="GO40">
        <f t="shared" si="54"/>
        <v>0</v>
      </c>
      <c r="GP40">
        <f t="shared" si="55"/>
        <v>0</v>
      </c>
      <c r="GR40">
        <v>0</v>
      </c>
      <c r="GS40">
        <v>3</v>
      </c>
      <c r="GT40">
        <v>0</v>
      </c>
      <c r="GU40" t="s">
        <v>3</v>
      </c>
      <c r="GV40">
        <f t="shared" si="56"/>
        <v>0</v>
      </c>
      <c r="GW40">
        <v>1</v>
      </c>
      <c r="GX40">
        <f t="shared" si="57"/>
        <v>0</v>
      </c>
      <c r="HA40">
        <v>0</v>
      </c>
      <c r="HB40">
        <v>0</v>
      </c>
      <c r="IK40">
        <v>0</v>
      </c>
    </row>
    <row r="41" spans="1:245" x14ac:dyDescent="0.2">
      <c r="A41">
        <v>18</v>
      </c>
      <c r="B41">
        <v>1</v>
      </c>
      <c r="C41">
        <v>44</v>
      </c>
      <c r="E41" t="s">
        <v>90</v>
      </c>
      <c r="F41" t="s">
        <v>91</v>
      </c>
      <c r="G41" t="s">
        <v>92</v>
      </c>
      <c r="H41" t="s">
        <v>89</v>
      </c>
      <c r="I41">
        <f>I39*J41</f>
        <v>284.88600000000002</v>
      </c>
      <c r="J41">
        <v>102</v>
      </c>
      <c r="O41">
        <f t="shared" si="21"/>
        <v>144173.68</v>
      </c>
      <c r="P41">
        <f t="shared" si="22"/>
        <v>144173.68</v>
      </c>
      <c r="Q41">
        <f t="shared" si="23"/>
        <v>0</v>
      </c>
      <c r="R41">
        <f t="shared" si="24"/>
        <v>0</v>
      </c>
      <c r="S41">
        <f t="shared" si="25"/>
        <v>0</v>
      </c>
      <c r="T41">
        <f t="shared" si="26"/>
        <v>0</v>
      </c>
      <c r="U41">
        <f t="shared" si="27"/>
        <v>0</v>
      </c>
      <c r="V41">
        <f t="shared" si="28"/>
        <v>0</v>
      </c>
      <c r="W41">
        <f t="shared" si="29"/>
        <v>0</v>
      </c>
      <c r="X41">
        <f t="shared" si="30"/>
        <v>0</v>
      </c>
      <c r="Y41">
        <f t="shared" si="31"/>
        <v>0</v>
      </c>
      <c r="AA41">
        <v>39099382</v>
      </c>
      <c r="AB41">
        <f t="shared" si="32"/>
        <v>77.5</v>
      </c>
      <c r="AC41">
        <f t="shared" si="58"/>
        <v>77.5</v>
      </c>
      <c r="AD41">
        <f t="shared" si="59"/>
        <v>0</v>
      </c>
      <c r="AE41">
        <f t="shared" si="60"/>
        <v>0</v>
      </c>
      <c r="AF41">
        <f t="shared" si="61"/>
        <v>0</v>
      </c>
      <c r="AG41">
        <f t="shared" si="36"/>
        <v>0</v>
      </c>
      <c r="AH41">
        <f t="shared" si="62"/>
        <v>0</v>
      </c>
      <c r="AI41">
        <f t="shared" si="63"/>
        <v>0</v>
      </c>
      <c r="AJ41">
        <f t="shared" si="38"/>
        <v>0</v>
      </c>
      <c r="AK41">
        <v>77.5</v>
      </c>
      <c r="AL41">
        <v>77.5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111</v>
      </c>
      <c r="AU41">
        <v>64</v>
      </c>
      <c r="AV41">
        <v>1</v>
      </c>
      <c r="AW41">
        <v>1</v>
      </c>
      <c r="AZ41">
        <v>6.53</v>
      </c>
      <c r="BA41">
        <v>1</v>
      </c>
      <c r="BB41">
        <v>1</v>
      </c>
      <c r="BC41">
        <v>6.53</v>
      </c>
      <c r="BD41" t="s">
        <v>3</v>
      </c>
      <c r="BE41" t="s">
        <v>3</v>
      </c>
      <c r="BF41" t="s">
        <v>3</v>
      </c>
      <c r="BG41" t="s">
        <v>3</v>
      </c>
      <c r="BH41">
        <v>3</v>
      </c>
      <c r="BI41">
        <v>1</v>
      </c>
      <c r="BJ41" t="s">
        <v>93</v>
      </c>
      <c r="BM41">
        <v>11001</v>
      </c>
      <c r="BN41">
        <v>0</v>
      </c>
      <c r="BO41" t="s">
        <v>3</v>
      </c>
      <c r="BP41">
        <v>0</v>
      </c>
      <c r="BQ41">
        <v>2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123</v>
      </c>
      <c r="CA41">
        <v>75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 t="shared" si="39"/>
        <v>144173.68</v>
      </c>
      <c r="CQ41">
        <f t="shared" si="40"/>
        <v>506.07500000000005</v>
      </c>
      <c r="CR41">
        <f t="shared" si="41"/>
        <v>0</v>
      </c>
      <c r="CS41">
        <f t="shared" si="42"/>
        <v>0</v>
      </c>
      <c r="CT41">
        <f t="shared" si="43"/>
        <v>0</v>
      </c>
      <c r="CU41">
        <f t="shared" si="44"/>
        <v>0</v>
      </c>
      <c r="CV41">
        <f t="shared" si="45"/>
        <v>0</v>
      </c>
      <c r="CW41">
        <f t="shared" si="46"/>
        <v>0</v>
      </c>
      <c r="CX41">
        <f t="shared" si="47"/>
        <v>0</v>
      </c>
      <c r="CY41">
        <f t="shared" si="48"/>
        <v>0</v>
      </c>
      <c r="CZ41">
        <f t="shared" si="49"/>
        <v>0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1005</v>
      </c>
      <c r="DV41" t="s">
        <v>89</v>
      </c>
      <c r="DW41" t="s">
        <v>89</v>
      </c>
      <c r="DX41">
        <v>1</v>
      </c>
      <c r="EE41">
        <v>39174504</v>
      </c>
      <c r="EF41">
        <v>2</v>
      </c>
      <c r="EG41" t="s">
        <v>43</v>
      </c>
      <c r="EH41">
        <v>0</v>
      </c>
      <c r="EI41" t="s">
        <v>3</v>
      </c>
      <c r="EJ41">
        <v>1</v>
      </c>
      <c r="EK41">
        <v>11001</v>
      </c>
      <c r="EL41" t="s">
        <v>20</v>
      </c>
      <c r="EM41" t="s">
        <v>67</v>
      </c>
      <c r="EO41" t="s">
        <v>3</v>
      </c>
      <c r="EQ41">
        <v>0</v>
      </c>
      <c r="ER41">
        <v>77.5</v>
      </c>
      <c r="ES41">
        <v>77.5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50"/>
        <v>0</v>
      </c>
      <c r="FS41">
        <v>0</v>
      </c>
      <c r="FT41" t="s">
        <v>46</v>
      </c>
      <c r="FU41" t="s">
        <v>47</v>
      </c>
      <c r="FX41">
        <v>110.7</v>
      </c>
      <c r="FY41">
        <v>63.75</v>
      </c>
      <c r="GA41" t="s">
        <v>3</v>
      </c>
      <c r="GD41">
        <v>0</v>
      </c>
      <c r="GF41">
        <v>1392042579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51"/>
        <v>0</v>
      </c>
      <c r="GM41">
        <f t="shared" si="52"/>
        <v>144173.68</v>
      </c>
      <c r="GN41">
        <f t="shared" si="53"/>
        <v>144173.68</v>
      </c>
      <c r="GO41">
        <f t="shared" si="54"/>
        <v>0</v>
      </c>
      <c r="GP41">
        <f t="shared" si="55"/>
        <v>0</v>
      </c>
      <c r="GR41">
        <v>0</v>
      </c>
      <c r="GS41">
        <v>0</v>
      </c>
      <c r="GT41">
        <v>0</v>
      </c>
      <c r="GU41" t="s">
        <v>3</v>
      </c>
      <c r="GV41">
        <f t="shared" si="56"/>
        <v>0</v>
      </c>
      <c r="GW41">
        <v>1</v>
      </c>
      <c r="GX41">
        <f t="shared" si="57"/>
        <v>0</v>
      </c>
      <c r="HA41">
        <v>0</v>
      </c>
      <c r="HB41">
        <v>0</v>
      </c>
      <c r="IK41">
        <v>0</v>
      </c>
    </row>
    <row r="42" spans="1:245" x14ac:dyDescent="0.2">
      <c r="A42">
        <v>18</v>
      </c>
      <c r="B42">
        <v>1</v>
      </c>
      <c r="C42">
        <v>47</v>
      </c>
      <c r="E42" t="s">
        <v>94</v>
      </c>
      <c r="F42" t="s">
        <v>95</v>
      </c>
      <c r="G42" t="s">
        <v>96</v>
      </c>
      <c r="H42" t="s">
        <v>97</v>
      </c>
      <c r="I42">
        <f>I39*J42</f>
        <v>139.65</v>
      </c>
      <c r="J42">
        <v>50</v>
      </c>
      <c r="O42">
        <f t="shared" si="21"/>
        <v>0</v>
      </c>
      <c r="P42">
        <f t="shared" si="22"/>
        <v>0</v>
      </c>
      <c r="Q42">
        <f t="shared" si="23"/>
        <v>0</v>
      </c>
      <c r="R42">
        <f t="shared" si="24"/>
        <v>0</v>
      </c>
      <c r="S42">
        <f t="shared" si="25"/>
        <v>0</v>
      </c>
      <c r="T42">
        <f t="shared" si="26"/>
        <v>0</v>
      </c>
      <c r="U42">
        <f t="shared" si="27"/>
        <v>0</v>
      </c>
      <c r="V42">
        <f t="shared" si="28"/>
        <v>0</v>
      </c>
      <c r="W42">
        <f t="shared" si="29"/>
        <v>0</v>
      </c>
      <c r="X42">
        <f t="shared" si="30"/>
        <v>0</v>
      </c>
      <c r="Y42">
        <f t="shared" si="31"/>
        <v>0</v>
      </c>
      <c r="AA42">
        <v>39099382</v>
      </c>
      <c r="AB42">
        <f t="shared" si="32"/>
        <v>0</v>
      </c>
      <c r="AC42">
        <f t="shared" si="58"/>
        <v>0</v>
      </c>
      <c r="AD42">
        <f t="shared" si="59"/>
        <v>0</v>
      </c>
      <c r="AE42">
        <f t="shared" si="60"/>
        <v>0</v>
      </c>
      <c r="AF42">
        <f t="shared" si="61"/>
        <v>0</v>
      </c>
      <c r="AG42">
        <f t="shared" si="36"/>
        <v>0</v>
      </c>
      <c r="AH42">
        <f t="shared" si="62"/>
        <v>0</v>
      </c>
      <c r="AI42">
        <f t="shared" si="63"/>
        <v>0</v>
      </c>
      <c r="AJ42">
        <f t="shared" si="38"/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111</v>
      </c>
      <c r="AU42">
        <v>64</v>
      </c>
      <c r="AV42">
        <v>1</v>
      </c>
      <c r="AW42">
        <v>1</v>
      </c>
      <c r="AZ42">
        <v>6.53</v>
      </c>
      <c r="BA42">
        <v>1</v>
      </c>
      <c r="BB42">
        <v>1</v>
      </c>
      <c r="BC42">
        <v>6.53</v>
      </c>
      <c r="BD42" t="s">
        <v>3</v>
      </c>
      <c r="BE42" t="s">
        <v>3</v>
      </c>
      <c r="BF42" t="s">
        <v>3</v>
      </c>
      <c r="BG42" t="s">
        <v>3</v>
      </c>
      <c r="BH42">
        <v>3</v>
      </c>
      <c r="BI42">
        <v>1</v>
      </c>
      <c r="BJ42" t="s">
        <v>3</v>
      </c>
      <c r="BM42">
        <v>11001</v>
      </c>
      <c r="BN42">
        <v>0</v>
      </c>
      <c r="BO42" t="s">
        <v>3</v>
      </c>
      <c r="BP42">
        <v>0</v>
      </c>
      <c r="BQ42">
        <v>2</v>
      </c>
      <c r="BR42">
        <v>0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3</v>
      </c>
      <c r="BZ42">
        <v>123</v>
      </c>
      <c r="CA42">
        <v>75</v>
      </c>
      <c r="CF42">
        <v>0</v>
      </c>
      <c r="CG42">
        <v>0</v>
      </c>
      <c r="CM42">
        <v>0</v>
      </c>
      <c r="CN42" t="s">
        <v>3</v>
      </c>
      <c r="CO42">
        <v>0</v>
      </c>
      <c r="CP42">
        <f t="shared" si="39"/>
        <v>0</v>
      </c>
      <c r="CQ42">
        <f t="shared" si="40"/>
        <v>0</v>
      </c>
      <c r="CR42">
        <f t="shared" si="41"/>
        <v>0</v>
      </c>
      <c r="CS42">
        <f t="shared" si="42"/>
        <v>0</v>
      </c>
      <c r="CT42">
        <f t="shared" si="43"/>
        <v>0</v>
      </c>
      <c r="CU42">
        <f t="shared" si="44"/>
        <v>0</v>
      </c>
      <c r="CV42">
        <f t="shared" si="45"/>
        <v>0</v>
      </c>
      <c r="CW42">
        <f t="shared" si="46"/>
        <v>0</v>
      </c>
      <c r="CX42">
        <f t="shared" si="47"/>
        <v>0</v>
      </c>
      <c r="CY42">
        <f t="shared" si="48"/>
        <v>0</v>
      </c>
      <c r="CZ42">
        <f t="shared" si="49"/>
        <v>0</v>
      </c>
      <c r="DC42" t="s">
        <v>3</v>
      </c>
      <c r="DD42" t="s">
        <v>3</v>
      </c>
      <c r="DE42" t="s">
        <v>3</v>
      </c>
      <c r="DF42" t="s">
        <v>3</v>
      </c>
      <c r="DG42" t="s">
        <v>3</v>
      </c>
      <c r="DH42" t="s">
        <v>3</v>
      </c>
      <c r="DI42" t="s">
        <v>3</v>
      </c>
      <c r="DJ42" t="s">
        <v>3</v>
      </c>
      <c r="DK42" t="s">
        <v>3</v>
      </c>
      <c r="DL42" t="s">
        <v>3</v>
      </c>
      <c r="DM42" t="s">
        <v>3</v>
      </c>
      <c r="DN42">
        <v>0</v>
      </c>
      <c r="DO42">
        <v>0</v>
      </c>
      <c r="DP42">
        <v>1</v>
      </c>
      <c r="DQ42">
        <v>1</v>
      </c>
      <c r="DU42">
        <v>1009</v>
      </c>
      <c r="DV42" t="s">
        <v>97</v>
      </c>
      <c r="DW42" t="s">
        <v>97</v>
      </c>
      <c r="DX42">
        <v>1</v>
      </c>
      <c r="EE42">
        <v>39174504</v>
      </c>
      <c r="EF42">
        <v>2</v>
      </c>
      <c r="EG42" t="s">
        <v>43</v>
      </c>
      <c r="EH42">
        <v>0</v>
      </c>
      <c r="EI42" t="s">
        <v>3</v>
      </c>
      <c r="EJ42">
        <v>1</v>
      </c>
      <c r="EK42">
        <v>11001</v>
      </c>
      <c r="EL42" t="s">
        <v>20</v>
      </c>
      <c r="EM42" t="s">
        <v>67</v>
      </c>
      <c r="EO42" t="s">
        <v>3</v>
      </c>
      <c r="EQ42">
        <v>0</v>
      </c>
      <c r="ER42">
        <v>0</v>
      </c>
      <c r="ES42">
        <v>0</v>
      </c>
      <c r="ET42">
        <v>0</v>
      </c>
      <c r="EU42">
        <v>0</v>
      </c>
      <c r="EV42">
        <v>0</v>
      </c>
      <c r="EW42">
        <v>0</v>
      </c>
      <c r="EX42">
        <v>0</v>
      </c>
      <c r="FQ42">
        <v>0</v>
      </c>
      <c r="FR42">
        <f t="shared" si="50"/>
        <v>0</v>
      </c>
      <c r="FS42">
        <v>0</v>
      </c>
      <c r="FT42" t="s">
        <v>46</v>
      </c>
      <c r="FU42" t="s">
        <v>47</v>
      </c>
      <c r="FX42">
        <v>110.7</v>
      </c>
      <c r="FY42">
        <v>63.75</v>
      </c>
      <c r="GA42" t="s">
        <v>3</v>
      </c>
      <c r="GD42">
        <v>0</v>
      </c>
      <c r="GF42">
        <v>290394019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 t="shared" si="51"/>
        <v>0</v>
      </c>
      <c r="GM42">
        <f t="shared" si="52"/>
        <v>0</v>
      </c>
      <c r="GN42">
        <f t="shared" si="53"/>
        <v>0</v>
      </c>
      <c r="GO42">
        <f t="shared" si="54"/>
        <v>0</v>
      </c>
      <c r="GP42">
        <f t="shared" si="55"/>
        <v>0</v>
      </c>
      <c r="GR42">
        <v>0</v>
      </c>
      <c r="GS42">
        <v>3</v>
      </c>
      <c r="GT42">
        <v>0</v>
      </c>
      <c r="GU42" t="s">
        <v>3</v>
      </c>
      <c r="GV42">
        <f t="shared" si="56"/>
        <v>0</v>
      </c>
      <c r="GW42">
        <v>1</v>
      </c>
      <c r="GX42">
        <f t="shared" si="57"/>
        <v>0</v>
      </c>
      <c r="HA42">
        <v>0</v>
      </c>
      <c r="HB42">
        <v>0</v>
      </c>
      <c r="IK42">
        <v>0</v>
      </c>
    </row>
    <row r="43" spans="1:245" x14ac:dyDescent="0.2">
      <c r="A43">
        <v>18</v>
      </c>
      <c r="B43">
        <v>1</v>
      </c>
      <c r="C43">
        <v>46</v>
      </c>
      <c r="E43" t="s">
        <v>98</v>
      </c>
      <c r="F43" t="s">
        <v>99</v>
      </c>
      <c r="G43" t="s">
        <v>100</v>
      </c>
      <c r="H43" t="s">
        <v>97</v>
      </c>
      <c r="I43">
        <f>I39*J43</f>
        <v>139.65</v>
      </c>
      <c r="J43">
        <v>50</v>
      </c>
      <c r="O43">
        <f t="shared" si="21"/>
        <v>14499.44</v>
      </c>
      <c r="P43">
        <f t="shared" si="22"/>
        <v>14499.44</v>
      </c>
      <c r="Q43">
        <f t="shared" si="23"/>
        <v>0</v>
      </c>
      <c r="R43">
        <f t="shared" si="24"/>
        <v>0</v>
      </c>
      <c r="S43">
        <f t="shared" si="25"/>
        <v>0</v>
      </c>
      <c r="T43">
        <f t="shared" si="26"/>
        <v>0</v>
      </c>
      <c r="U43">
        <f t="shared" si="27"/>
        <v>0</v>
      </c>
      <c r="V43">
        <f t="shared" si="28"/>
        <v>0</v>
      </c>
      <c r="W43">
        <f t="shared" si="29"/>
        <v>0</v>
      </c>
      <c r="X43">
        <f t="shared" si="30"/>
        <v>0</v>
      </c>
      <c r="Y43">
        <f t="shared" si="31"/>
        <v>0</v>
      </c>
      <c r="AA43">
        <v>39099382</v>
      </c>
      <c r="AB43">
        <f t="shared" si="32"/>
        <v>15.9</v>
      </c>
      <c r="AC43">
        <f t="shared" si="58"/>
        <v>15.9</v>
      </c>
      <c r="AD43">
        <f t="shared" si="59"/>
        <v>0</v>
      </c>
      <c r="AE43">
        <f t="shared" si="60"/>
        <v>0</v>
      </c>
      <c r="AF43">
        <f t="shared" si="61"/>
        <v>0</v>
      </c>
      <c r="AG43">
        <f t="shared" si="36"/>
        <v>0</v>
      </c>
      <c r="AH43">
        <f t="shared" si="62"/>
        <v>0</v>
      </c>
      <c r="AI43">
        <f t="shared" si="63"/>
        <v>0</v>
      </c>
      <c r="AJ43">
        <f t="shared" si="38"/>
        <v>0</v>
      </c>
      <c r="AK43">
        <v>15.9</v>
      </c>
      <c r="AL43">
        <v>15.9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111</v>
      </c>
      <c r="AU43">
        <v>64</v>
      </c>
      <c r="AV43">
        <v>1</v>
      </c>
      <c r="AW43">
        <v>1</v>
      </c>
      <c r="AZ43">
        <v>6.53</v>
      </c>
      <c r="BA43">
        <v>1</v>
      </c>
      <c r="BB43">
        <v>1</v>
      </c>
      <c r="BC43">
        <v>6.53</v>
      </c>
      <c r="BD43" t="s">
        <v>3</v>
      </c>
      <c r="BE43" t="s">
        <v>3</v>
      </c>
      <c r="BF43" t="s">
        <v>3</v>
      </c>
      <c r="BG43" t="s">
        <v>3</v>
      </c>
      <c r="BH43">
        <v>3</v>
      </c>
      <c r="BI43">
        <v>1</v>
      </c>
      <c r="BJ43" t="s">
        <v>101</v>
      </c>
      <c r="BM43">
        <v>11001</v>
      </c>
      <c r="BN43">
        <v>0</v>
      </c>
      <c r="BO43" t="s">
        <v>3</v>
      </c>
      <c r="BP43">
        <v>0</v>
      </c>
      <c r="BQ43">
        <v>2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123</v>
      </c>
      <c r="CA43">
        <v>75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 t="shared" si="39"/>
        <v>14499.44</v>
      </c>
      <c r="CQ43">
        <f t="shared" si="40"/>
        <v>103.82700000000001</v>
      </c>
      <c r="CR43">
        <f t="shared" si="41"/>
        <v>0</v>
      </c>
      <c r="CS43">
        <f t="shared" si="42"/>
        <v>0</v>
      </c>
      <c r="CT43">
        <f t="shared" si="43"/>
        <v>0</v>
      </c>
      <c r="CU43">
        <f t="shared" si="44"/>
        <v>0</v>
      </c>
      <c r="CV43">
        <f t="shared" si="45"/>
        <v>0</v>
      </c>
      <c r="CW43">
        <f t="shared" si="46"/>
        <v>0</v>
      </c>
      <c r="CX43">
        <f t="shared" si="47"/>
        <v>0</v>
      </c>
      <c r="CY43">
        <f t="shared" si="48"/>
        <v>0</v>
      </c>
      <c r="CZ43">
        <f t="shared" si="49"/>
        <v>0</v>
      </c>
      <c r="DC43" t="s">
        <v>3</v>
      </c>
      <c r="DD43" t="s">
        <v>3</v>
      </c>
      <c r="DE43" t="s">
        <v>3</v>
      </c>
      <c r="DF43" t="s">
        <v>3</v>
      </c>
      <c r="DG43" t="s">
        <v>3</v>
      </c>
      <c r="DH43" t="s">
        <v>3</v>
      </c>
      <c r="DI43" t="s">
        <v>3</v>
      </c>
      <c r="DJ43" t="s">
        <v>3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1009</v>
      </c>
      <c r="DV43" t="s">
        <v>97</v>
      </c>
      <c r="DW43" t="s">
        <v>97</v>
      </c>
      <c r="DX43">
        <v>1</v>
      </c>
      <c r="EE43">
        <v>39174504</v>
      </c>
      <c r="EF43">
        <v>2</v>
      </c>
      <c r="EG43" t="s">
        <v>43</v>
      </c>
      <c r="EH43">
        <v>0</v>
      </c>
      <c r="EI43" t="s">
        <v>3</v>
      </c>
      <c r="EJ43">
        <v>1</v>
      </c>
      <c r="EK43">
        <v>11001</v>
      </c>
      <c r="EL43" t="s">
        <v>20</v>
      </c>
      <c r="EM43" t="s">
        <v>67</v>
      </c>
      <c r="EO43" t="s">
        <v>3</v>
      </c>
      <c r="EQ43">
        <v>0</v>
      </c>
      <c r="ER43">
        <v>15.9</v>
      </c>
      <c r="ES43">
        <v>15.9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50"/>
        <v>0</v>
      </c>
      <c r="FS43">
        <v>0</v>
      </c>
      <c r="FT43" t="s">
        <v>46</v>
      </c>
      <c r="FU43" t="s">
        <v>47</v>
      </c>
      <c r="FX43">
        <v>110.7</v>
      </c>
      <c r="FY43">
        <v>63.75</v>
      </c>
      <c r="GA43" t="s">
        <v>3</v>
      </c>
      <c r="GD43">
        <v>0</v>
      </c>
      <c r="GF43">
        <v>1104462431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 t="shared" si="51"/>
        <v>0</v>
      </c>
      <c r="GM43">
        <f t="shared" si="52"/>
        <v>14499.44</v>
      </c>
      <c r="GN43">
        <f t="shared" si="53"/>
        <v>14499.44</v>
      </c>
      <c r="GO43">
        <f t="shared" si="54"/>
        <v>0</v>
      </c>
      <c r="GP43">
        <f t="shared" si="55"/>
        <v>0</v>
      </c>
      <c r="GR43">
        <v>0</v>
      </c>
      <c r="GS43">
        <v>0</v>
      </c>
      <c r="GT43">
        <v>0</v>
      </c>
      <c r="GU43" t="s">
        <v>3</v>
      </c>
      <c r="GV43">
        <f t="shared" si="56"/>
        <v>0</v>
      </c>
      <c r="GW43">
        <v>1</v>
      </c>
      <c r="GX43">
        <f t="shared" si="57"/>
        <v>0</v>
      </c>
      <c r="HA43">
        <v>0</v>
      </c>
      <c r="HB43">
        <v>0</v>
      </c>
      <c r="IK43">
        <v>0</v>
      </c>
    </row>
    <row r="44" spans="1:245" x14ac:dyDescent="0.2">
      <c r="A44">
        <v>17</v>
      </c>
      <c r="B44">
        <v>1</v>
      </c>
      <c r="C44">
        <f>ROW(SmtRes!A65)</f>
        <v>65</v>
      </c>
      <c r="D44">
        <f>ROW(EtalonRes!A61)</f>
        <v>61</v>
      </c>
      <c r="E44" t="s">
        <v>102</v>
      </c>
      <c r="F44" t="s">
        <v>103</v>
      </c>
      <c r="G44" t="s">
        <v>104</v>
      </c>
      <c r="H44" t="s">
        <v>17</v>
      </c>
      <c r="I44">
        <v>1.7048000000000001</v>
      </c>
      <c r="J44">
        <v>0</v>
      </c>
      <c r="O44">
        <f t="shared" si="21"/>
        <v>1526.14</v>
      </c>
      <c r="P44">
        <f t="shared" si="22"/>
        <v>819.79</v>
      </c>
      <c r="Q44">
        <f t="shared" si="23"/>
        <v>23.71</v>
      </c>
      <c r="R44">
        <f t="shared" si="24"/>
        <v>4.68</v>
      </c>
      <c r="S44">
        <f t="shared" si="25"/>
        <v>682.64</v>
      </c>
      <c r="T44">
        <f t="shared" si="26"/>
        <v>0</v>
      </c>
      <c r="U44">
        <f t="shared" si="27"/>
        <v>11.388064</v>
      </c>
      <c r="V44">
        <f t="shared" si="28"/>
        <v>6.8192000000000003E-2</v>
      </c>
      <c r="W44">
        <f t="shared" si="29"/>
        <v>0</v>
      </c>
      <c r="X44">
        <f t="shared" si="30"/>
        <v>762.93</v>
      </c>
      <c r="Y44">
        <f t="shared" si="31"/>
        <v>439.88</v>
      </c>
      <c r="AA44">
        <v>39099382</v>
      </c>
      <c r="AB44">
        <f t="shared" si="32"/>
        <v>137.09</v>
      </c>
      <c r="AC44">
        <f t="shared" si="58"/>
        <v>73.64</v>
      </c>
      <c r="AD44">
        <f t="shared" si="59"/>
        <v>2.13</v>
      </c>
      <c r="AE44">
        <f t="shared" si="60"/>
        <v>0.42</v>
      </c>
      <c r="AF44">
        <f t="shared" si="61"/>
        <v>61.32</v>
      </c>
      <c r="AG44">
        <f t="shared" si="36"/>
        <v>0</v>
      </c>
      <c r="AH44">
        <f t="shared" si="62"/>
        <v>6.68</v>
      </c>
      <c r="AI44">
        <f t="shared" si="63"/>
        <v>0.04</v>
      </c>
      <c r="AJ44">
        <f t="shared" si="38"/>
        <v>0</v>
      </c>
      <c r="AK44">
        <v>137.09</v>
      </c>
      <c r="AL44">
        <v>73.64</v>
      </c>
      <c r="AM44">
        <v>2.13</v>
      </c>
      <c r="AN44">
        <v>0.42</v>
      </c>
      <c r="AO44">
        <v>61.32</v>
      </c>
      <c r="AP44">
        <v>0</v>
      </c>
      <c r="AQ44">
        <v>6.68</v>
      </c>
      <c r="AR44">
        <v>0.04</v>
      </c>
      <c r="AS44">
        <v>0</v>
      </c>
      <c r="AT44">
        <v>111</v>
      </c>
      <c r="AU44">
        <v>64</v>
      </c>
      <c r="AV44">
        <v>1</v>
      </c>
      <c r="AW44">
        <v>1</v>
      </c>
      <c r="AZ44">
        <v>6.53</v>
      </c>
      <c r="BA44">
        <v>6.53</v>
      </c>
      <c r="BB44">
        <v>6.53</v>
      </c>
      <c r="BC44">
        <v>6.53</v>
      </c>
      <c r="BD44" t="s">
        <v>3</v>
      </c>
      <c r="BE44" t="s">
        <v>3</v>
      </c>
      <c r="BF44" t="s">
        <v>3</v>
      </c>
      <c r="BG44" t="s">
        <v>3</v>
      </c>
      <c r="BH44">
        <v>0</v>
      </c>
      <c r="BI44">
        <v>1</v>
      </c>
      <c r="BJ44" t="s">
        <v>105</v>
      </c>
      <c r="BM44">
        <v>11001</v>
      </c>
      <c r="BN44">
        <v>0</v>
      </c>
      <c r="BO44" t="s">
        <v>3</v>
      </c>
      <c r="BP44">
        <v>0</v>
      </c>
      <c r="BQ44">
        <v>2</v>
      </c>
      <c r="BR44">
        <v>0</v>
      </c>
      <c r="BS44">
        <v>6.53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3</v>
      </c>
      <c r="BZ44">
        <v>123</v>
      </c>
      <c r="CA44">
        <v>75</v>
      </c>
      <c r="CF44">
        <v>0</v>
      </c>
      <c r="CG44">
        <v>0</v>
      </c>
      <c r="CM44">
        <v>0</v>
      </c>
      <c r="CN44" t="s">
        <v>3</v>
      </c>
      <c r="CO44">
        <v>0</v>
      </c>
      <c r="CP44">
        <f t="shared" si="39"/>
        <v>1526.1399999999999</v>
      </c>
      <c r="CQ44">
        <f t="shared" si="40"/>
        <v>480.86920000000003</v>
      </c>
      <c r="CR44">
        <f t="shared" si="41"/>
        <v>13.908899999999999</v>
      </c>
      <c r="CS44">
        <f t="shared" si="42"/>
        <v>2.7425999999999999</v>
      </c>
      <c r="CT44">
        <f t="shared" si="43"/>
        <v>400.4196</v>
      </c>
      <c r="CU44">
        <f t="shared" si="44"/>
        <v>0</v>
      </c>
      <c r="CV44">
        <f t="shared" si="45"/>
        <v>6.68</v>
      </c>
      <c r="CW44">
        <f t="shared" si="46"/>
        <v>0.04</v>
      </c>
      <c r="CX44">
        <f t="shared" si="47"/>
        <v>0</v>
      </c>
      <c r="CY44">
        <f t="shared" si="48"/>
        <v>762.9251999999999</v>
      </c>
      <c r="CZ44">
        <f t="shared" si="49"/>
        <v>439.88479999999998</v>
      </c>
      <c r="DC44" t="s">
        <v>3</v>
      </c>
      <c r="DD44" t="s">
        <v>3</v>
      </c>
      <c r="DE44" t="s">
        <v>3</v>
      </c>
      <c r="DF44" t="s">
        <v>3</v>
      </c>
      <c r="DG44" t="s">
        <v>3</v>
      </c>
      <c r="DH44" t="s">
        <v>3</v>
      </c>
      <c r="DI44" t="s">
        <v>3</v>
      </c>
      <c r="DJ44" t="s">
        <v>3</v>
      </c>
      <c r="DK44" t="s">
        <v>3</v>
      </c>
      <c r="DL44" t="s">
        <v>3</v>
      </c>
      <c r="DM44" t="s">
        <v>3</v>
      </c>
      <c r="DN44">
        <v>0</v>
      </c>
      <c r="DO44">
        <v>0</v>
      </c>
      <c r="DP44">
        <v>1</v>
      </c>
      <c r="DQ44">
        <v>1</v>
      </c>
      <c r="DU44">
        <v>1003</v>
      </c>
      <c r="DV44" t="s">
        <v>17</v>
      </c>
      <c r="DW44" t="s">
        <v>17</v>
      </c>
      <c r="DX44">
        <v>100</v>
      </c>
      <c r="EE44">
        <v>39174504</v>
      </c>
      <c r="EF44">
        <v>2</v>
      </c>
      <c r="EG44" t="s">
        <v>43</v>
      </c>
      <c r="EH44">
        <v>0</v>
      </c>
      <c r="EI44" t="s">
        <v>3</v>
      </c>
      <c r="EJ44">
        <v>1</v>
      </c>
      <c r="EK44">
        <v>11001</v>
      </c>
      <c r="EL44" t="s">
        <v>20</v>
      </c>
      <c r="EM44" t="s">
        <v>67</v>
      </c>
      <c r="EO44" t="s">
        <v>3</v>
      </c>
      <c r="EQ44">
        <v>0</v>
      </c>
      <c r="ER44">
        <v>137.09</v>
      </c>
      <c r="ES44">
        <v>73.64</v>
      </c>
      <c r="ET44">
        <v>2.13</v>
      </c>
      <c r="EU44">
        <v>0.42</v>
      </c>
      <c r="EV44">
        <v>61.32</v>
      </c>
      <c r="EW44">
        <v>6.68</v>
      </c>
      <c r="EX44">
        <v>0.04</v>
      </c>
      <c r="EY44">
        <v>0</v>
      </c>
      <c r="FQ44">
        <v>0</v>
      </c>
      <c r="FR44">
        <f t="shared" si="50"/>
        <v>0</v>
      </c>
      <c r="FS44">
        <v>0</v>
      </c>
      <c r="FT44" t="s">
        <v>46</v>
      </c>
      <c r="FU44" t="s">
        <v>47</v>
      </c>
      <c r="FX44">
        <v>110.7</v>
      </c>
      <c r="FY44">
        <v>63.75</v>
      </c>
      <c r="GA44" t="s">
        <v>3</v>
      </c>
      <c r="GD44">
        <v>0</v>
      </c>
      <c r="GF44">
        <v>-1404287246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 t="shared" si="51"/>
        <v>0</v>
      </c>
      <c r="GM44">
        <f t="shared" si="52"/>
        <v>2728.95</v>
      </c>
      <c r="GN44">
        <f t="shared" si="53"/>
        <v>2728.95</v>
      </c>
      <c r="GO44">
        <f t="shared" si="54"/>
        <v>0</v>
      </c>
      <c r="GP44">
        <f t="shared" si="55"/>
        <v>0</v>
      </c>
      <c r="GR44">
        <v>0</v>
      </c>
      <c r="GS44">
        <v>0</v>
      </c>
      <c r="GT44">
        <v>0</v>
      </c>
      <c r="GU44" t="s">
        <v>3</v>
      </c>
      <c r="GV44">
        <f t="shared" si="56"/>
        <v>0</v>
      </c>
      <c r="GW44">
        <v>1</v>
      </c>
      <c r="GX44">
        <f t="shared" si="57"/>
        <v>0</v>
      </c>
      <c r="HA44">
        <v>0</v>
      </c>
      <c r="HB44">
        <v>0</v>
      </c>
      <c r="IK44">
        <v>0</v>
      </c>
    </row>
    <row r="45" spans="1:245" x14ac:dyDescent="0.2">
      <c r="A45">
        <v>18</v>
      </c>
      <c r="B45">
        <v>1</v>
      </c>
      <c r="C45">
        <v>54</v>
      </c>
      <c r="E45" t="s">
        <v>106</v>
      </c>
      <c r="F45" t="s">
        <v>107</v>
      </c>
      <c r="G45" t="s">
        <v>108</v>
      </c>
      <c r="H45" t="s">
        <v>109</v>
      </c>
      <c r="I45">
        <f>I44*J45</f>
        <v>172.1848</v>
      </c>
      <c r="J45">
        <v>100.99999999999999</v>
      </c>
      <c r="O45">
        <f t="shared" si="21"/>
        <v>0</v>
      </c>
      <c r="P45">
        <f t="shared" si="22"/>
        <v>0</v>
      </c>
      <c r="Q45">
        <f t="shared" si="23"/>
        <v>0</v>
      </c>
      <c r="R45">
        <f t="shared" si="24"/>
        <v>0</v>
      </c>
      <c r="S45">
        <f t="shared" si="25"/>
        <v>0</v>
      </c>
      <c r="T45">
        <f t="shared" si="26"/>
        <v>0</v>
      </c>
      <c r="U45">
        <f t="shared" si="27"/>
        <v>0</v>
      </c>
      <c r="V45">
        <f t="shared" si="28"/>
        <v>0</v>
      </c>
      <c r="W45">
        <f t="shared" si="29"/>
        <v>0</v>
      </c>
      <c r="X45">
        <f t="shared" si="30"/>
        <v>0</v>
      </c>
      <c r="Y45">
        <f t="shared" si="31"/>
        <v>0</v>
      </c>
      <c r="AA45">
        <v>39099382</v>
      </c>
      <c r="AB45">
        <f t="shared" si="32"/>
        <v>0</v>
      </c>
      <c r="AC45">
        <f t="shared" si="58"/>
        <v>0</v>
      </c>
      <c r="AD45">
        <f t="shared" si="59"/>
        <v>0</v>
      </c>
      <c r="AE45">
        <f t="shared" si="60"/>
        <v>0</v>
      </c>
      <c r="AF45">
        <f t="shared" si="61"/>
        <v>0</v>
      </c>
      <c r="AG45">
        <f t="shared" si="36"/>
        <v>0</v>
      </c>
      <c r="AH45">
        <f t="shared" si="62"/>
        <v>0</v>
      </c>
      <c r="AI45">
        <f t="shared" si="63"/>
        <v>0</v>
      </c>
      <c r="AJ45">
        <f t="shared" si="38"/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111</v>
      </c>
      <c r="AU45">
        <v>64</v>
      </c>
      <c r="AV45">
        <v>1</v>
      </c>
      <c r="AW45">
        <v>1</v>
      </c>
      <c r="AZ45">
        <v>6.53</v>
      </c>
      <c r="BA45">
        <v>1</v>
      </c>
      <c r="BB45">
        <v>1</v>
      </c>
      <c r="BC45">
        <v>6.53</v>
      </c>
      <c r="BD45" t="s">
        <v>3</v>
      </c>
      <c r="BE45" t="s">
        <v>3</v>
      </c>
      <c r="BF45" t="s">
        <v>3</v>
      </c>
      <c r="BG45" t="s">
        <v>3</v>
      </c>
      <c r="BH45">
        <v>3</v>
      </c>
      <c r="BI45">
        <v>1</v>
      </c>
      <c r="BJ45" t="s">
        <v>3</v>
      </c>
      <c r="BM45">
        <v>11001</v>
      </c>
      <c r="BN45">
        <v>0</v>
      </c>
      <c r="BO45" t="s">
        <v>3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123</v>
      </c>
      <c r="CA45">
        <v>75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 t="shared" si="39"/>
        <v>0</v>
      </c>
      <c r="CQ45">
        <f t="shared" si="40"/>
        <v>0</v>
      </c>
      <c r="CR45">
        <f t="shared" si="41"/>
        <v>0</v>
      </c>
      <c r="CS45">
        <f t="shared" si="42"/>
        <v>0</v>
      </c>
      <c r="CT45">
        <f t="shared" si="43"/>
        <v>0</v>
      </c>
      <c r="CU45">
        <f t="shared" si="44"/>
        <v>0</v>
      </c>
      <c r="CV45">
        <f t="shared" si="45"/>
        <v>0</v>
      </c>
      <c r="CW45">
        <f t="shared" si="46"/>
        <v>0</v>
      </c>
      <c r="CX45">
        <f t="shared" si="47"/>
        <v>0</v>
      </c>
      <c r="CY45">
        <f t="shared" si="48"/>
        <v>0</v>
      </c>
      <c r="CZ45">
        <f t="shared" si="49"/>
        <v>0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1003</v>
      </c>
      <c r="DV45" t="s">
        <v>109</v>
      </c>
      <c r="DW45" t="s">
        <v>109</v>
      </c>
      <c r="DX45">
        <v>1</v>
      </c>
      <c r="EE45">
        <v>39174504</v>
      </c>
      <c r="EF45">
        <v>2</v>
      </c>
      <c r="EG45" t="s">
        <v>43</v>
      </c>
      <c r="EH45">
        <v>0</v>
      </c>
      <c r="EI45" t="s">
        <v>3</v>
      </c>
      <c r="EJ45">
        <v>1</v>
      </c>
      <c r="EK45">
        <v>11001</v>
      </c>
      <c r="EL45" t="s">
        <v>20</v>
      </c>
      <c r="EM45" t="s">
        <v>67</v>
      </c>
      <c r="EO45" t="s">
        <v>3</v>
      </c>
      <c r="EQ45">
        <v>0</v>
      </c>
      <c r="ER45">
        <v>0</v>
      </c>
      <c r="ES45">
        <v>0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50"/>
        <v>0</v>
      </c>
      <c r="FS45">
        <v>0</v>
      </c>
      <c r="FT45" t="s">
        <v>46</v>
      </c>
      <c r="FU45" t="s">
        <v>47</v>
      </c>
      <c r="FX45">
        <v>110.7</v>
      </c>
      <c r="FY45">
        <v>63.75</v>
      </c>
      <c r="GA45" t="s">
        <v>3</v>
      </c>
      <c r="GD45">
        <v>0</v>
      </c>
      <c r="GF45">
        <v>-2049262376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 t="shared" si="51"/>
        <v>0</v>
      </c>
      <c r="GM45">
        <f t="shared" si="52"/>
        <v>0</v>
      </c>
      <c r="GN45">
        <f t="shared" si="53"/>
        <v>0</v>
      </c>
      <c r="GO45">
        <f t="shared" si="54"/>
        <v>0</v>
      </c>
      <c r="GP45">
        <f t="shared" si="55"/>
        <v>0</v>
      </c>
      <c r="GR45">
        <v>0</v>
      </c>
      <c r="GS45">
        <v>3</v>
      </c>
      <c r="GT45">
        <v>0</v>
      </c>
      <c r="GU45" t="s">
        <v>3</v>
      </c>
      <c r="GV45">
        <f t="shared" si="56"/>
        <v>0</v>
      </c>
      <c r="GW45">
        <v>1</v>
      </c>
      <c r="GX45">
        <f t="shared" si="57"/>
        <v>0</v>
      </c>
      <c r="HA45">
        <v>0</v>
      </c>
      <c r="HB45">
        <v>0</v>
      </c>
      <c r="IK45">
        <v>0</v>
      </c>
    </row>
    <row r="46" spans="1:245" x14ac:dyDescent="0.2">
      <c r="A46">
        <v>18</v>
      </c>
      <c r="B46">
        <v>1</v>
      </c>
      <c r="C46">
        <v>55</v>
      </c>
      <c r="E46" t="s">
        <v>110</v>
      </c>
      <c r="F46" t="s">
        <v>111</v>
      </c>
      <c r="G46" t="s">
        <v>112</v>
      </c>
      <c r="H46" t="s">
        <v>109</v>
      </c>
      <c r="I46">
        <f>I44*J46</f>
        <v>172.1848</v>
      </c>
      <c r="J46">
        <v>100.99999999999999</v>
      </c>
      <c r="O46">
        <f t="shared" si="21"/>
        <v>13829.71</v>
      </c>
      <c r="P46">
        <f t="shared" si="22"/>
        <v>13829.71</v>
      </c>
      <c r="Q46">
        <f t="shared" si="23"/>
        <v>0</v>
      </c>
      <c r="R46">
        <f t="shared" si="24"/>
        <v>0</v>
      </c>
      <c r="S46">
        <f t="shared" si="25"/>
        <v>0</v>
      </c>
      <c r="T46">
        <f t="shared" si="26"/>
        <v>0</v>
      </c>
      <c r="U46">
        <f t="shared" si="27"/>
        <v>0</v>
      </c>
      <c r="V46">
        <f t="shared" si="28"/>
        <v>0</v>
      </c>
      <c r="W46">
        <f t="shared" si="29"/>
        <v>0</v>
      </c>
      <c r="X46">
        <f t="shared" si="30"/>
        <v>0</v>
      </c>
      <c r="Y46">
        <f t="shared" si="31"/>
        <v>0</v>
      </c>
      <c r="AA46">
        <v>39099382</v>
      </c>
      <c r="AB46">
        <f t="shared" si="32"/>
        <v>12.3</v>
      </c>
      <c r="AC46">
        <f t="shared" si="58"/>
        <v>12.3</v>
      </c>
      <c r="AD46">
        <f t="shared" si="59"/>
        <v>0</v>
      </c>
      <c r="AE46">
        <f t="shared" si="60"/>
        <v>0</v>
      </c>
      <c r="AF46">
        <f t="shared" si="61"/>
        <v>0</v>
      </c>
      <c r="AG46">
        <f t="shared" si="36"/>
        <v>0</v>
      </c>
      <c r="AH46">
        <f t="shared" si="62"/>
        <v>0</v>
      </c>
      <c r="AI46">
        <f t="shared" si="63"/>
        <v>0</v>
      </c>
      <c r="AJ46">
        <f t="shared" si="38"/>
        <v>0</v>
      </c>
      <c r="AK46">
        <v>12.3</v>
      </c>
      <c r="AL46">
        <v>12.3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111</v>
      </c>
      <c r="AU46">
        <v>64</v>
      </c>
      <c r="AV46">
        <v>1</v>
      </c>
      <c r="AW46">
        <v>1</v>
      </c>
      <c r="AZ46">
        <v>6.53</v>
      </c>
      <c r="BA46">
        <v>1</v>
      </c>
      <c r="BB46">
        <v>1</v>
      </c>
      <c r="BC46">
        <v>6.53</v>
      </c>
      <c r="BD46" t="s">
        <v>3</v>
      </c>
      <c r="BE46" t="s">
        <v>3</v>
      </c>
      <c r="BF46" t="s">
        <v>3</v>
      </c>
      <c r="BG46" t="s">
        <v>3</v>
      </c>
      <c r="BH46">
        <v>3</v>
      </c>
      <c r="BI46">
        <v>1</v>
      </c>
      <c r="BJ46" t="s">
        <v>113</v>
      </c>
      <c r="BM46">
        <v>11001</v>
      </c>
      <c r="BN46">
        <v>0</v>
      </c>
      <c r="BO46" t="s">
        <v>3</v>
      </c>
      <c r="BP46">
        <v>0</v>
      </c>
      <c r="BQ46">
        <v>2</v>
      </c>
      <c r="BR46">
        <v>0</v>
      </c>
      <c r="BS46">
        <v>1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3</v>
      </c>
      <c r="BZ46">
        <v>123</v>
      </c>
      <c r="CA46">
        <v>75</v>
      </c>
      <c r="CF46">
        <v>0</v>
      </c>
      <c r="CG46">
        <v>0</v>
      </c>
      <c r="CM46">
        <v>0</v>
      </c>
      <c r="CN46" t="s">
        <v>3</v>
      </c>
      <c r="CO46">
        <v>0</v>
      </c>
      <c r="CP46">
        <f t="shared" si="39"/>
        <v>13829.71</v>
      </c>
      <c r="CQ46">
        <f t="shared" si="40"/>
        <v>80.319000000000003</v>
      </c>
      <c r="CR46">
        <f t="shared" si="41"/>
        <v>0</v>
      </c>
      <c r="CS46">
        <f t="shared" si="42"/>
        <v>0</v>
      </c>
      <c r="CT46">
        <f t="shared" si="43"/>
        <v>0</v>
      </c>
      <c r="CU46">
        <f t="shared" si="44"/>
        <v>0</v>
      </c>
      <c r="CV46">
        <f t="shared" si="45"/>
        <v>0</v>
      </c>
      <c r="CW46">
        <f t="shared" si="46"/>
        <v>0</v>
      </c>
      <c r="CX46">
        <f t="shared" si="47"/>
        <v>0</v>
      </c>
      <c r="CY46">
        <f t="shared" si="48"/>
        <v>0</v>
      </c>
      <c r="CZ46">
        <f t="shared" si="49"/>
        <v>0</v>
      </c>
      <c r="DC46" t="s">
        <v>3</v>
      </c>
      <c r="DD46" t="s">
        <v>3</v>
      </c>
      <c r="DE46" t="s">
        <v>3</v>
      </c>
      <c r="DF46" t="s">
        <v>3</v>
      </c>
      <c r="DG46" t="s">
        <v>3</v>
      </c>
      <c r="DH46" t="s">
        <v>3</v>
      </c>
      <c r="DI46" t="s">
        <v>3</v>
      </c>
      <c r="DJ46" t="s">
        <v>3</v>
      </c>
      <c r="DK46" t="s">
        <v>3</v>
      </c>
      <c r="DL46" t="s">
        <v>3</v>
      </c>
      <c r="DM46" t="s">
        <v>3</v>
      </c>
      <c r="DN46">
        <v>0</v>
      </c>
      <c r="DO46">
        <v>0</v>
      </c>
      <c r="DP46">
        <v>1</v>
      </c>
      <c r="DQ46">
        <v>1</v>
      </c>
      <c r="DU46">
        <v>1003</v>
      </c>
      <c r="DV46" t="s">
        <v>109</v>
      </c>
      <c r="DW46" t="s">
        <v>109</v>
      </c>
      <c r="DX46">
        <v>1</v>
      </c>
      <c r="EE46">
        <v>39174504</v>
      </c>
      <c r="EF46">
        <v>2</v>
      </c>
      <c r="EG46" t="s">
        <v>43</v>
      </c>
      <c r="EH46">
        <v>0</v>
      </c>
      <c r="EI46" t="s">
        <v>3</v>
      </c>
      <c r="EJ46">
        <v>1</v>
      </c>
      <c r="EK46">
        <v>11001</v>
      </c>
      <c r="EL46" t="s">
        <v>20</v>
      </c>
      <c r="EM46" t="s">
        <v>67</v>
      </c>
      <c r="EO46" t="s">
        <v>3</v>
      </c>
      <c r="EQ46">
        <v>0</v>
      </c>
      <c r="ER46">
        <v>12.3</v>
      </c>
      <c r="ES46">
        <v>12.3</v>
      </c>
      <c r="ET46">
        <v>0</v>
      </c>
      <c r="EU46">
        <v>0</v>
      </c>
      <c r="EV46">
        <v>0</v>
      </c>
      <c r="EW46">
        <v>0</v>
      </c>
      <c r="EX46">
        <v>0</v>
      </c>
      <c r="FQ46">
        <v>0</v>
      </c>
      <c r="FR46">
        <f t="shared" si="50"/>
        <v>0</v>
      </c>
      <c r="FS46">
        <v>0</v>
      </c>
      <c r="FT46" t="s">
        <v>46</v>
      </c>
      <c r="FU46" t="s">
        <v>47</v>
      </c>
      <c r="FX46">
        <v>110.7</v>
      </c>
      <c r="FY46">
        <v>63.75</v>
      </c>
      <c r="GA46" t="s">
        <v>3</v>
      </c>
      <c r="GD46">
        <v>0</v>
      </c>
      <c r="GF46">
        <v>-843297162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 t="shared" si="51"/>
        <v>0</v>
      </c>
      <c r="GM46">
        <f t="shared" si="52"/>
        <v>13829.71</v>
      </c>
      <c r="GN46">
        <f t="shared" si="53"/>
        <v>13829.71</v>
      </c>
      <c r="GO46">
        <f t="shared" si="54"/>
        <v>0</v>
      </c>
      <c r="GP46">
        <f t="shared" si="55"/>
        <v>0</v>
      </c>
      <c r="GR46">
        <v>0</v>
      </c>
      <c r="GS46">
        <v>0</v>
      </c>
      <c r="GT46">
        <v>0</v>
      </c>
      <c r="GU46" t="s">
        <v>3</v>
      </c>
      <c r="GV46">
        <f t="shared" si="56"/>
        <v>0</v>
      </c>
      <c r="GW46">
        <v>1</v>
      </c>
      <c r="GX46">
        <f t="shared" si="57"/>
        <v>0</v>
      </c>
      <c r="HA46">
        <v>0</v>
      </c>
      <c r="HB46">
        <v>0</v>
      </c>
      <c r="IK46">
        <v>0</v>
      </c>
    </row>
    <row r="47" spans="1:245" x14ac:dyDescent="0.2">
      <c r="A47">
        <v>18</v>
      </c>
      <c r="B47">
        <v>1</v>
      </c>
      <c r="C47">
        <v>56</v>
      </c>
      <c r="E47" t="s">
        <v>114</v>
      </c>
      <c r="F47" t="s">
        <v>115</v>
      </c>
      <c r="G47" t="s">
        <v>116</v>
      </c>
      <c r="H47" t="s">
        <v>37</v>
      </c>
      <c r="I47">
        <f>I44*J47</f>
        <v>12</v>
      </c>
      <c r="J47">
        <v>7.0389488503050206</v>
      </c>
      <c r="O47">
        <f t="shared" si="21"/>
        <v>0</v>
      </c>
      <c r="P47">
        <f t="shared" si="22"/>
        <v>0</v>
      </c>
      <c r="Q47">
        <f t="shared" si="23"/>
        <v>0</v>
      </c>
      <c r="R47">
        <f t="shared" si="24"/>
        <v>0</v>
      </c>
      <c r="S47">
        <f t="shared" si="25"/>
        <v>0</v>
      </c>
      <c r="T47">
        <f t="shared" si="26"/>
        <v>0</v>
      </c>
      <c r="U47">
        <f t="shared" si="27"/>
        <v>0</v>
      </c>
      <c r="V47">
        <f t="shared" si="28"/>
        <v>0</v>
      </c>
      <c r="W47">
        <f t="shared" si="29"/>
        <v>0</v>
      </c>
      <c r="X47">
        <f t="shared" si="30"/>
        <v>0</v>
      </c>
      <c r="Y47">
        <f t="shared" si="31"/>
        <v>0</v>
      </c>
      <c r="AA47">
        <v>39099382</v>
      </c>
      <c r="AB47">
        <f t="shared" si="32"/>
        <v>0</v>
      </c>
      <c r="AC47">
        <f t="shared" si="58"/>
        <v>0</v>
      </c>
      <c r="AD47">
        <f t="shared" si="59"/>
        <v>0</v>
      </c>
      <c r="AE47">
        <f t="shared" si="60"/>
        <v>0</v>
      </c>
      <c r="AF47">
        <f t="shared" si="61"/>
        <v>0</v>
      </c>
      <c r="AG47">
        <f t="shared" si="36"/>
        <v>0</v>
      </c>
      <c r="AH47">
        <f t="shared" si="62"/>
        <v>0</v>
      </c>
      <c r="AI47">
        <f t="shared" si="63"/>
        <v>0</v>
      </c>
      <c r="AJ47">
        <f t="shared" si="38"/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111</v>
      </c>
      <c r="AU47">
        <v>64</v>
      </c>
      <c r="AV47">
        <v>1</v>
      </c>
      <c r="AW47">
        <v>1</v>
      </c>
      <c r="AZ47">
        <v>6.53</v>
      </c>
      <c r="BA47">
        <v>1</v>
      </c>
      <c r="BB47">
        <v>1</v>
      </c>
      <c r="BC47">
        <v>6.53</v>
      </c>
      <c r="BD47" t="s">
        <v>3</v>
      </c>
      <c r="BE47" t="s">
        <v>3</v>
      </c>
      <c r="BF47" t="s">
        <v>3</v>
      </c>
      <c r="BG47" t="s">
        <v>3</v>
      </c>
      <c r="BH47">
        <v>3</v>
      </c>
      <c r="BI47">
        <v>1</v>
      </c>
      <c r="BJ47" t="s">
        <v>3</v>
      </c>
      <c r="BM47">
        <v>11001</v>
      </c>
      <c r="BN47">
        <v>0</v>
      </c>
      <c r="BO47" t="s">
        <v>3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123</v>
      </c>
      <c r="CA47">
        <v>75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 t="shared" si="39"/>
        <v>0</v>
      </c>
      <c r="CQ47">
        <f t="shared" si="40"/>
        <v>0</v>
      </c>
      <c r="CR47">
        <f t="shared" si="41"/>
        <v>0</v>
      </c>
      <c r="CS47">
        <f t="shared" si="42"/>
        <v>0</v>
      </c>
      <c r="CT47">
        <f t="shared" si="43"/>
        <v>0</v>
      </c>
      <c r="CU47">
        <f t="shared" si="44"/>
        <v>0</v>
      </c>
      <c r="CV47">
        <f t="shared" si="45"/>
        <v>0</v>
      </c>
      <c r="CW47">
        <f t="shared" si="46"/>
        <v>0</v>
      </c>
      <c r="CX47">
        <f t="shared" si="47"/>
        <v>0</v>
      </c>
      <c r="CY47">
        <f t="shared" si="48"/>
        <v>0</v>
      </c>
      <c r="CZ47">
        <f t="shared" si="49"/>
        <v>0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1010</v>
      </c>
      <c r="DV47" t="s">
        <v>37</v>
      </c>
      <c r="DW47" t="s">
        <v>37</v>
      </c>
      <c r="DX47">
        <v>1</v>
      </c>
      <c r="EE47">
        <v>39174504</v>
      </c>
      <c r="EF47">
        <v>2</v>
      </c>
      <c r="EG47" t="s">
        <v>43</v>
      </c>
      <c r="EH47">
        <v>0</v>
      </c>
      <c r="EI47" t="s">
        <v>3</v>
      </c>
      <c r="EJ47">
        <v>1</v>
      </c>
      <c r="EK47">
        <v>11001</v>
      </c>
      <c r="EL47" t="s">
        <v>20</v>
      </c>
      <c r="EM47" t="s">
        <v>67</v>
      </c>
      <c r="EO47" t="s">
        <v>3</v>
      </c>
      <c r="EQ47">
        <v>0</v>
      </c>
      <c r="ER47">
        <v>0</v>
      </c>
      <c r="ES47">
        <v>0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50"/>
        <v>0</v>
      </c>
      <c r="FS47">
        <v>0</v>
      </c>
      <c r="FT47" t="s">
        <v>46</v>
      </c>
      <c r="FU47" t="s">
        <v>47</v>
      </c>
      <c r="FX47">
        <v>110.7</v>
      </c>
      <c r="FY47">
        <v>63.75</v>
      </c>
      <c r="GA47" t="s">
        <v>3</v>
      </c>
      <c r="GD47">
        <v>0</v>
      </c>
      <c r="GF47">
        <v>457303772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 t="shared" si="51"/>
        <v>0</v>
      </c>
      <c r="GM47">
        <f t="shared" si="52"/>
        <v>0</v>
      </c>
      <c r="GN47">
        <f t="shared" si="53"/>
        <v>0</v>
      </c>
      <c r="GO47">
        <f t="shared" si="54"/>
        <v>0</v>
      </c>
      <c r="GP47">
        <f t="shared" si="55"/>
        <v>0</v>
      </c>
      <c r="GR47">
        <v>0</v>
      </c>
      <c r="GS47">
        <v>3</v>
      </c>
      <c r="GT47">
        <v>0</v>
      </c>
      <c r="GU47" t="s">
        <v>3</v>
      </c>
      <c r="GV47">
        <f t="shared" si="56"/>
        <v>0</v>
      </c>
      <c r="GW47">
        <v>1</v>
      </c>
      <c r="GX47">
        <f t="shared" si="57"/>
        <v>0</v>
      </c>
      <c r="HA47">
        <v>0</v>
      </c>
      <c r="HB47">
        <v>0</v>
      </c>
      <c r="IK47">
        <v>0</v>
      </c>
    </row>
    <row r="48" spans="1:245" x14ac:dyDescent="0.2">
      <c r="A48">
        <v>18</v>
      </c>
      <c r="B48">
        <v>1</v>
      </c>
      <c r="C48">
        <v>62</v>
      </c>
      <c r="E48" t="s">
        <v>117</v>
      </c>
      <c r="F48" t="s">
        <v>118</v>
      </c>
      <c r="G48" t="s">
        <v>119</v>
      </c>
      <c r="H48" t="s">
        <v>120</v>
      </c>
      <c r="I48">
        <f>I44*J48</f>
        <v>0.14000000000000001</v>
      </c>
      <c r="J48">
        <v>8.2121069920225248E-2</v>
      </c>
      <c r="O48">
        <f t="shared" si="21"/>
        <v>57.59</v>
      </c>
      <c r="P48">
        <f t="shared" si="22"/>
        <v>57.59</v>
      </c>
      <c r="Q48">
        <f t="shared" si="23"/>
        <v>0</v>
      </c>
      <c r="R48">
        <f t="shared" si="24"/>
        <v>0</v>
      </c>
      <c r="S48">
        <f t="shared" si="25"/>
        <v>0</v>
      </c>
      <c r="T48">
        <f t="shared" si="26"/>
        <v>0</v>
      </c>
      <c r="U48">
        <f t="shared" si="27"/>
        <v>0</v>
      </c>
      <c r="V48">
        <f t="shared" si="28"/>
        <v>0</v>
      </c>
      <c r="W48">
        <f t="shared" si="29"/>
        <v>0</v>
      </c>
      <c r="X48">
        <f t="shared" si="30"/>
        <v>0</v>
      </c>
      <c r="Y48">
        <f t="shared" si="31"/>
        <v>0</v>
      </c>
      <c r="AA48">
        <v>39099382</v>
      </c>
      <c r="AB48">
        <f t="shared" si="32"/>
        <v>63</v>
      </c>
      <c r="AC48">
        <f t="shared" si="58"/>
        <v>63</v>
      </c>
      <c r="AD48">
        <f t="shared" si="59"/>
        <v>0</v>
      </c>
      <c r="AE48">
        <f t="shared" si="60"/>
        <v>0</v>
      </c>
      <c r="AF48">
        <f t="shared" si="61"/>
        <v>0</v>
      </c>
      <c r="AG48">
        <f t="shared" si="36"/>
        <v>0</v>
      </c>
      <c r="AH48">
        <f t="shared" si="62"/>
        <v>0</v>
      </c>
      <c r="AI48">
        <f t="shared" si="63"/>
        <v>0</v>
      </c>
      <c r="AJ48">
        <f t="shared" si="38"/>
        <v>0</v>
      </c>
      <c r="AK48">
        <v>63</v>
      </c>
      <c r="AL48">
        <v>63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111</v>
      </c>
      <c r="AU48">
        <v>64</v>
      </c>
      <c r="AV48">
        <v>1</v>
      </c>
      <c r="AW48">
        <v>1</v>
      </c>
      <c r="AZ48">
        <v>6.53</v>
      </c>
      <c r="BA48">
        <v>1</v>
      </c>
      <c r="BB48">
        <v>1</v>
      </c>
      <c r="BC48">
        <v>6.53</v>
      </c>
      <c r="BD48" t="s">
        <v>3</v>
      </c>
      <c r="BE48" t="s">
        <v>3</v>
      </c>
      <c r="BF48" t="s">
        <v>3</v>
      </c>
      <c r="BG48" t="s">
        <v>3</v>
      </c>
      <c r="BH48">
        <v>3</v>
      </c>
      <c r="BI48">
        <v>1</v>
      </c>
      <c r="BJ48" t="s">
        <v>121</v>
      </c>
      <c r="BM48">
        <v>11001</v>
      </c>
      <c r="BN48">
        <v>0</v>
      </c>
      <c r="BO48" t="s">
        <v>3</v>
      </c>
      <c r="BP48">
        <v>0</v>
      </c>
      <c r="BQ48">
        <v>2</v>
      </c>
      <c r="BR48">
        <v>0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3</v>
      </c>
      <c r="BZ48">
        <v>123</v>
      </c>
      <c r="CA48">
        <v>75</v>
      </c>
      <c r="CF48">
        <v>0</v>
      </c>
      <c r="CG48">
        <v>0</v>
      </c>
      <c r="CM48">
        <v>0</v>
      </c>
      <c r="CN48" t="s">
        <v>3</v>
      </c>
      <c r="CO48">
        <v>0</v>
      </c>
      <c r="CP48">
        <f t="shared" si="39"/>
        <v>57.59</v>
      </c>
      <c r="CQ48">
        <f t="shared" si="40"/>
        <v>411.39000000000004</v>
      </c>
      <c r="CR48">
        <f t="shared" si="41"/>
        <v>0</v>
      </c>
      <c r="CS48">
        <f t="shared" si="42"/>
        <v>0</v>
      </c>
      <c r="CT48">
        <f t="shared" si="43"/>
        <v>0</v>
      </c>
      <c r="CU48">
        <f t="shared" si="44"/>
        <v>0</v>
      </c>
      <c r="CV48">
        <f t="shared" si="45"/>
        <v>0</v>
      </c>
      <c r="CW48">
        <f t="shared" si="46"/>
        <v>0</v>
      </c>
      <c r="CX48">
        <f t="shared" si="47"/>
        <v>0</v>
      </c>
      <c r="CY48">
        <f t="shared" si="48"/>
        <v>0</v>
      </c>
      <c r="CZ48">
        <f t="shared" si="49"/>
        <v>0</v>
      </c>
      <c r="DC48" t="s">
        <v>3</v>
      </c>
      <c r="DD48" t="s">
        <v>3</v>
      </c>
      <c r="DE48" t="s">
        <v>3</v>
      </c>
      <c r="DF48" t="s">
        <v>3</v>
      </c>
      <c r="DG48" t="s">
        <v>3</v>
      </c>
      <c r="DH48" t="s">
        <v>3</v>
      </c>
      <c r="DI48" t="s">
        <v>3</v>
      </c>
      <c r="DJ48" t="s">
        <v>3</v>
      </c>
      <c r="DK48" t="s">
        <v>3</v>
      </c>
      <c r="DL48" t="s">
        <v>3</v>
      </c>
      <c r="DM48" t="s">
        <v>3</v>
      </c>
      <c r="DN48">
        <v>0</v>
      </c>
      <c r="DO48">
        <v>0</v>
      </c>
      <c r="DP48">
        <v>1</v>
      </c>
      <c r="DQ48">
        <v>1</v>
      </c>
      <c r="DU48">
        <v>1010</v>
      </c>
      <c r="DV48" t="s">
        <v>120</v>
      </c>
      <c r="DW48" t="s">
        <v>120</v>
      </c>
      <c r="DX48">
        <v>100</v>
      </c>
      <c r="EE48">
        <v>39174504</v>
      </c>
      <c r="EF48">
        <v>2</v>
      </c>
      <c r="EG48" t="s">
        <v>43</v>
      </c>
      <c r="EH48">
        <v>0</v>
      </c>
      <c r="EI48" t="s">
        <v>3</v>
      </c>
      <c r="EJ48">
        <v>1</v>
      </c>
      <c r="EK48">
        <v>11001</v>
      </c>
      <c r="EL48" t="s">
        <v>20</v>
      </c>
      <c r="EM48" t="s">
        <v>67</v>
      </c>
      <c r="EO48" t="s">
        <v>3</v>
      </c>
      <c r="EQ48">
        <v>0</v>
      </c>
      <c r="ER48">
        <v>63</v>
      </c>
      <c r="ES48">
        <v>63</v>
      </c>
      <c r="ET48">
        <v>0</v>
      </c>
      <c r="EU48">
        <v>0</v>
      </c>
      <c r="EV48">
        <v>0</v>
      </c>
      <c r="EW48">
        <v>0</v>
      </c>
      <c r="EX48">
        <v>0</v>
      </c>
      <c r="FQ48">
        <v>0</v>
      </c>
      <c r="FR48">
        <f t="shared" si="50"/>
        <v>0</v>
      </c>
      <c r="FS48">
        <v>0</v>
      </c>
      <c r="FT48" t="s">
        <v>46</v>
      </c>
      <c r="FU48" t="s">
        <v>47</v>
      </c>
      <c r="FX48">
        <v>110.7</v>
      </c>
      <c r="FY48">
        <v>63.75</v>
      </c>
      <c r="GA48" t="s">
        <v>3</v>
      </c>
      <c r="GD48">
        <v>0</v>
      </c>
      <c r="GF48">
        <v>1906340979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 t="shared" si="51"/>
        <v>0</v>
      </c>
      <c r="GM48">
        <f t="shared" si="52"/>
        <v>57.59</v>
      </c>
      <c r="GN48">
        <f t="shared" si="53"/>
        <v>57.59</v>
      </c>
      <c r="GO48">
        <f t="shared" si="54"/>
        <v>0</v>
      </c>
      <c r="GP48">
        <f t="shared" si="55"/>
        <v>0</v>
      </c>
      <c r="GR48">
        <v>0</v>
      </c>
      <c r="GS48">
        <v>0</v>
      </c>
      <c r="GT48">
        <v>0</v>
      </c>
      <c r="GU48" t="s">
        <v>3</v>
      </c>
      <c r="GV48">
        <f t="shared" si="56"/>
        <v>0</v>
      </c>
      <c r="GW48">
        <v>1</v>
      </c>
      <c r="GX48">
        <f t="shared" si="57"/>
        <v>0</v>
      </c>
      <c r="HA48">
        <v>0</v>
      </c>
      <c r="HB48">
        <v>0</v>
      </c>
      <c r="IK48">
        <v>0</v>
      </c>
    </row>
    <row r="49" spans="1:245" x14ac:dyDescent="0.2">
      <c r="A49">
        <v>18</v>
      </c>
      <c r="B49">
        <v>1</v>
      </c>
      <c r="C49">
        <v>60</v>
      </c>
      <c r="E49" t="s">
        <v>122</v>
      </c>
      <c r="F49" t="s">
        <v>123</v>
      </c>
      <c r="G49" t="s">
        <v>124</v>
      </c>
      <c r="H49" t="s">
        <v>120</v>
      </c>
      <c r="I49">
        <f>I44*J49</f>
        <v>0.14000000000000001</v>
      </c>
      <c r="J49">
        <v>8.2121069920225248E-2</v>
      </c>
      <c r="O49">
        <f t="shared" si="21"/>
        <v>57.59</v>
      </c>
      <c r="P49">
        <f t="shared" si="22"/>
        <v>57.59</v>
      </c>
      <c r="Q49">
        <f t="shared" si="23"/>
        <v>0</v>
      </c>
      <c r="R49">
        <f t="shared" si="24"/>
        <v>0</v>
      </c>
      <c r="S49">
        <f t="shared" si="25"/>
        <v>0</v>
      </c>
      <c r="T49">
        <f t="shared" si="26"/>
        <v>0</v>
      </c>
      <c r="U49">
        <f t="shared" si="27"/>
        <v>0</v>
      </c>
      <c r="V49">
        <f t="shared" si="28"/>
        <v>0</v>
      </c>
      <c r="W49">
        <f t="shared" si="29"/>
        <v>0</v>
      </c>
      <c r="X49">
        <f t="shared" si="30"/>
        <v>0</v>
      </c>
      <c r="Y49">
        <f t="shared" si="31"/>
        <v>0</v>
      </c>
      <c r="AA49">
        <v>39099382</v>
      </c>
      <c r="AB49">
        <f t="shared" si="32"/>
        <v>63</v>
      </c>
      <c r="AC49">
        <f t="shared" si="58"/>
        <v>63</v>
      </c>
      <c r="AD49">
        <f t="shared" si="59"/>
        <v>0</v>
      </c>
      <c r="AE49">
        <f t="shared" si="60"/>
        <v>0</v>
      </c>
      <c r="AF49">
        <f t="shared" si="61"/>
        <v>0</v>
      </c>
      <c r="AG49">
        <f t="shared" si="36"/>
        <v>0</v>
      </c>
      <c r="AH49">
        <f t="shared" si="62"/>
        <v>0</v>
      </c>
      <c r="AI49">
        <f t="shared" si="63"/>
        <v>0</v>
      </c>
      <c r="AJ49">
        <f t="shared" si="38"/>
        <v>0</v>
      </c>
      <c r="AK49">
        <v>63</v>
      </c>
      <c r="AL49">
        <v>63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111</v>
      </c>
      <c r="AU49">
        <v>64</v>
      </c>
      <c r="AV49">
        <v>1</v>
      </c>
      <c r="AW49">
        <v>1</v>
      </c>
      <c r="AZ49">
        <v>6.53</v>
      </c>
      <c r="BA49">
        <v>1</v>
      </c>
      <c r="BB49">
        <v>1</v>
      </c>
      <c r="BC49">
        <v>6.53</v>
      </c>
      <c r="BD49" t="s">
        <v>3</v>
      </c>
      <c r="BE49" t="s">
        <v>3</v>
      </c>
      <c r="BF49" t="s">
        <v>3</v>
      </c>
      <c r="BG49" t="s">
        <v>3</v>
      </c>
      <c r="BH49">
        <v>3</v>
      </c>
      <c r="BI49">
        <v>1</v>
      </c>
      <c r="BJ49" t="s">
        <v>125</v>
      </c>
      <c r="BM49">
        <v>11001</v>
      </c>
      <c r="BN49">
        <v>0</v>
      </c>
      <c r="BO49" t="s">
        <v>3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123</v>
      </c>
      <c r="CA49">
        <v>75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 t="shared" si="39"/>
        <v>57.59</v>
      </c>
      <c r="CQ49">
        <f t="shared" si="40"/>
        <v>411.39000000000004</v>
      </c>
      <c r="CR49">
        <f t="shared" si="41"/>
        <v>0</v>
      </c>
      <c r="CS49">
        <f t="shared" si="42"/>
        <v>0</v>
      </c>
      <c r="CT49">
        <f t="shared" si="43"/>
        <v>0</v>
      </c>
      <c r="CU49">
        <f t="shared" si="44"/>
        <v>0</v>
      </c>
      <c r="CV49">
        <f t="shared" si="45"/>
        <v>0</v>
      </c>
      <c r="CW49">
        <f t="shared" si="46"/>
        <v>0</v>
      </c>
      <c r="CX49">
        <f t="shared" si="47"/>
        <v>0</v>
      </c>
      <c r="CY49">
        <f t="shared" si="48"/>
        <v>0</v>
      </c>
      <c r="CZ49">
        <f t="shared" si="49"/>
        <v>0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1010</v>
      </c>
      <c r="DV49" t="s">
        <v>120</v>
      </c>
      <c r="DW49" t="s">
        <v>120</v>
      </c>
      <c r="DX49">
        <v>100</v>
      </c>
      <c r="EE49">
        <v>39174504</v>
      </c>
      <c r="EF49">
        <v>2</v>
      </c>
      <c r="EG49" t="s">
        <v>43</v>
      </c>
      <c r="EH49">
        <v>0</v>
      </c>
      <c r="EI49" t="s">
        <v>3</v>
      </c>
      <c r="EJ49">
        <v>1</v>
      </c>
      <c r="EK49">
        <v>11001</v>
      </c>
      <c r="EL49" t="s">
        <v>20</v>
      </c>
      <c r="EM49" t="s">
        <v>67</v>
      </c>
      <c r="EO49" t="s">
        <v>3</v>
      </c>
      <c r="EQ49">
        <v>0</v>
      </c>
      <c r="ER49">
        <v>63</v>
      </c>
      <c r="ES49">
        <v>63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50"/>
        <v>0</v>
      </c>
      <c r="FS49">
        <v>0</v>
      </c>
      <c r="FT49" t="s">
        <v>46</v>
      </c>
      <c r="FU49" t="s">
        <v>47</v>
      </c>
      <c r="FX49">
        <v>110.7</v>
      </c>
      <c r="FY49">
        <v>63.75</v>
      </c>
      <c r="GA49" t="s">
        <v>3</v>
      </c>
      <c r="GD49">
        <v>0</v>
      </c>
      <c r="GF49">
        <v>1345842772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 t="shared" si="51"/>
        <v>0</v>
      </c>
      <c r="GM49">
        <f t="shared" si="52"/>
        <v>57.59</v>
      </c>
      <c r="GN49">
        <f t="shared" si="53"/>
        <v>57.59</v>
      </c>
      <c r="GO49">
        <f t="shared" si="54"/>
        <v>0</v>
      </c>
      <c r="GP49">
        <f t="shared" si="55"/>
        <v>0</v>
      </c>
      <c r="GR49">
        <v>0</v>
      </c>
      <c r="GS49">
        <v>0</v>
      </c>
      <c r="GT49">
        <v>0</v>
      </c>
      <c r="GU49" t="s">
        <v>3</v>
      </c>
      <c r="GV49">
        <f t="shared" si="56"/>
        <v>0</v>
      </c>
      <c r="GW49">
        <v>1</v>
      </c>
      <c r="GX49">
        <f t="shared" si="57"/>
        <v>0</v>
      </c>
      <c r="HA49">
        <v>0</v>
      </c>
      <c r="HB49">
        <v>0</v>
      </c>
      <c r="IK49">
        <v>0</v>
      </c>
    </row>
    <row r="50" spans="1:245" x14ac:dyDescent="0.2">
      <c r="A50">
        <v>18</v>
      </c>
      <c r="B50">
        <v>1</v>
      </c>
      <c r="C50">
        <v>63</v>
      </c>
      <c r="E50" t="s">
        <v>126</v>
      </c>
      <c r="F50" t="s">
        <v>127</v>
      </c>
      <c r="G50" t="s">
        <v>128</v>
      </c>
      <c r="H50" t="s">
        <v>120</v>
      </c>
      <c r="I50">
        <f>I44*J50</f>
        <v>0.68</v>
      </c>
      <c r="J50">
        <v>0.39887376818395121</v>
      </c>
      <c r="O50">
        <f t="shared" si="21"/>
        <v>568.37</v>
      </c>
      <c r="P50">
        <f t="shared" si="22"/>
        <v>568.37</v>
      </c>
      <c r="Q50">
        <f t="shared" si="23"/>
        <v>0</v>
      </c>
      <c r="R50">
        <f t="shared" si="24"/>
        <v>0</v>
      </c>
      <c r="S50">
        <f t="shared" si="25"/>
        <v>0</v>
      </c>
      <c r="T50">
        <f t="shared" si="26"/>
        <v>0</v>
      </c>
      <c r="U50">
        <f t="shared" si="27"/>
        <v>0</v>
      </c>
      <c r="V50">
        <f t="shared" si="28"/>
        <v>0</v>
      </c>
      <c r="W50">
        <f t="shared" si="29"/>
        <v>0</v>
      </c>
      <c r="X50">
        <f t="shared" si="30"/>
        <v>0</v>
      </c>
      <c r="Y50">
        <f t="shared" si="31"/>
        <v>0</v>
      </c>
      <c r="AA50">
        <v>39099382</v>
      </c>
      <c r="AB50">
        <f t="shared" si="32"/>
        <v>128</v>
      </c>
      <c r="AC50">
        <f t="shared" si="58"/>
        <v>128</v>
      </c>
      <c r="AD50">
        <f t="shared" si="59"/>
        <v>0</v>
      </c>
      <c r="AE50">
        <f t="shared" si="60"/>
        <v>0</v>
      </c>
      <c r="AF50">
        <f t="shared" si="61"/>
        <v>0</v>
      </c>
      <c r="AG50">
        <f t="shared" si="36"/>
        <v>0</v>
      </c>
      <c r="AH50">
        <f t="shared" si="62"/>
        <v>0</v>
      </c>
      <c r="AI50">
        <f t="shared" si="63"/>
        <v>0</v>
      </c>
      <c r="AJ50">
        <f t="shared" si="38"/>
        <v>0</v>
      </c>
      <c r="AK50">
        <v>128</v>
      </c>
      <c r="AL50">
        <v>128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111</v>
      </c>
      <c r="AU50">
        <v>64</v>
      </c>
      <c r="AV50">
        <v>1</v>
      </c>
      <c r="AW50">
        <v>1</v>
      </c>
      <c r="AZ50">
        <v>6.53</v>
      </c>
      <c r="BA50">
        <v>1</v>
      </c>
      <c r="BB50">
        <v>1</v>
      </c>
      <c r="BC50">
        <v>6.53</v>
      </c>
      <c r="BD50" t="s">
        <v>3</v>
      </c>
      <c r="BE50" t="s">
        <v>3</v>
      </c>
      <c r="BF50" t="s">
        <v>3</v>
      </c>
      <c r="BG50" t="s">
        <v>3</v>
      </c>
      <c r="BH50">
        <v>3</v>
      </c>
      <c r="BI50">
        <v>1</v>
      </c>
      <c r="BJ50" t="s">
        <v>129</v>
      </c>
      <c r="BM50">
        <v>11001</v>
      </c>
      <c r="BN50">
        <v>0</v>
      </c>
      <c r="BO50" t="s">
        <v>3</v>
      </c>
      <c r="BP50">
        <v>0</v>
      </c>
      <c r="BQ50">
        <v>2</v>
      </c>
      <c r="BR50">
        <v>0</v>
      </c>
      <c r="BS50">
        <v>1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3</v>
      </c>
      <c r="BZ50">
        <v>123</v>
      </c>
      <c r="CA50">
        <v>75</v>
      </c>
      <c r="CF50">
        <v>0</v>
      </c>
      <c r="CG50">
        <v>0</v>
      </c>
      <c r="CM50">
        <v>0</v>
      </c>
      <c r="CN50" t="s">
        <v>3</v>
      </c>
      <c r="CO50">
        <v>0</v>
      </c>
      <c r="CP50">
        <f t="shared" si="39"/>
        <v>568.37</v>
      </c>
      <c r="CQ50">
        <f t="shared" si="40"/>
        <v>835.84</v>
      </c>
      <c r="CR50">
        <f t="shared" si="41"/>
        <v>0</v>
      </c>
      <c r="CS50">
        <f t="shared" si="42"/>
        <v>0</v>
      </c>
      <c r="CT50">
        <f t="shared" si="43"/>
        <v>0</v>
      </c>
      <c r="CU50">
        <f t="shared" si="44"/>
        <v>0</v>
      </c>
      <c r="CV50">
        <f t="shared" si="45"/>
        <v>0</v>
      </c>
      <c r="CW50">
        <f t="shared" si="46"/>
        <v>0</v>
      </c>
      <c r="CX50">
        <f t="shared" si="47"/>
        <v>0</v>
      </c>
      <c r="CY50">
        <f t="shared" si="48"/>
        <v>0</v>
      </c>
      <c r="CZ50">
        <f t="shared" si="49"/>
        <v>0</v>
      </c>
      <c r="DC50" t="s">
        <v>3</v>
      </c>
      <c r="DD50" t="s">
        <v>3</v>
      </c>
      <c r="DE50" t="s">
        <v>3</v>
      </c>
      <c r="DF50" t="s">
        <v>3</v>
      </c>
      <c r="DG50" t="s">
        <v>3</v>
      </c>
      <c r="DH50" t="s">
        <v>3</v>
      </c>
      <c r="DI50" t="s">
        <v>3</v>
      </c>
      <c r="DJ50" t="s">
        <v>3</v>
      </c>
      <c r="DK50" t="s">
        <v>3</v>
      </c>
      <c r="DL50" t="s">
        <v>3</v>
      </c>
      <c r="DM50" t="s">
        <v>3</v>
      </c>
      <c r="DN50">
        <v>0</v>
      </c>
      <c r="DO50">
        <v>0</v>
      </c>
      <c r="DP50">
        <v>1</v>
      </c>
      <c r="DQ50">
        <v>1</v>
      </c>
      <c r="DU50">
        <v>1010</v>
      </c>
      <c r="DV50" t="s">
        <v>120</v>
      </c>
      <c r="DW50" t="s">
        <v>120</v>
      </c>
      <c r="DX50">
        <v>100</v>
      </c>
      <c r="EE50">
        <v>39174504</v>
      </c>
      <c r="EF50">
        <v>2</v>
      </c>
      <c r="EG50" t="s">
        <v>43</v>
      </c>
      <c r="EH50">
        <v>0</v>
      </c>
      <c r="EI50" t="s">
        <v>3</v>
      </c>
      <c r="EJ50">
        <v>1</v>
      </c>
      <c r="EK50">
        <v>11001</v>
      </c>
      <c r="EL50" t="s">
        <v>20</v>
      </c>
      <c r="EM50" t="s">
        <v>67</v>
      </c>
      <c r="EO50" t="s">
        <v>3</v>
      </c>
      <c r="EQ50">
        <v>0</v>
      </c>
      <c r="ER50">
        <v>128</v>
      </c>
      <c r="ES50">
        <v>128</v>
      </c>
      <c r="ET50">
        <v>0</v>
      </c>
      <c r="EU50">
        <v>0</v>
      </c>
      <c r="EV50">
        <v>0</v>
      </c>
      <c r="EW50">
        <v>0</v>
      </c>
      <c r="EX50">
        <v>0</v>
      </c>
      <c r="FQ50">
        <v>0</v>
      </c>
      <c r="FR50">
        <f t="shared" si="50"/>
        <v>0</v>
      </c>
      <c r="FS50">
        <v>0</v>
      </c>
      <c r="FT50" t="s">
        <v>46</v>
      </c>
      <c r="FU50" t="s">
        <v>47</v>
      </c>
      <c r="FX50">
        <v>110.7</v>
      </c>
      <c r="FY50">
        <v>63.75</v>
      </c>
      <c r="GA50" t="s">
        <v>3</v>
      </c>
      <c r="GD50">
        <v>0</v>
      </c>
      <c r="GF50">
        <v>848075668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 t="shared" si="51"/>
        <v>0</v>
      </c>
      <c r="GM50">
        <f t="shared" si="52"/>
        <v>568.37</v>
      </c>
      <c r="GN50">
        <f t="shared" si="53"/>
        <v>568.37</v>
      </c>
      <c r="GO50">
        <f t="shared" si="54"/>
        <v>0</v>
      </c>
      <c r="GP50">
        <f t="shared" si="55"/>
        <v>0</v>
      </c>
      <c r="GR50">
        <v>0</v>
      </c>
      <c r="GS50">
        <v>0</v>
      </c>
      <c r="GT50">
        <v>0</v>
      </c>
      <c r="GU50" t="s">
        <v>3</v>
      </c>
      <c r="GV50">
        <f t="shared" si="56"/>
        <v>0</v>
      </c>
      <c r="GW50">
        <v>1</v>
      </c>
      <c r="GX50">
        <f t="shared" si="57"/>
        <v>0</v>
      </c>
      <c r="HA50">
        <v>0</v>
      </c>
      <c r="HB50">
        <v>0</v>
      </c>
      <c r="IK50">
        <v>0</v>
      </c>
    </row>
    <row r="51" spans="1:245" x14ac:dyDescent="0.2">
      <c r="A51">
        <v>18</v>
      </c>
      <c r="B51">
        <v>1</v>
      </c>
      <c r="C51">
        <v>64</v>
      </c>
      <c r="E51" t="s">
        <v>130</v>
      </c>
      <c r="F51" t="s">
        <v>131</v>
      </c>
      <c r="G51" t="s">
        <v>132</v>
      </c>
      <c r="H51" t="s">
        <v>120</v>
      </c>
      <c r="I51">
        <f>I44*J51</f>
        <v>0.11999999999999998</v>
      </c>
      <c r="J51">
        <v>7.0389488503050199E-2</v>
      </c>
      <c r="O51">
        <f t="shared" si="21"/>
        <v>100.3</v>
      </c>
      <c r="P51">
        <f t="shared" si="22"/>
        <v>100.3</v>
      </c>
      <c r="Q51">
        <f t="shared" si="23"/>
        <v>0</v>
      </c>
      <c r="R51">
        <f t="shared" si="24"/>
        <v>0</v>
      </c>
      <c r="S51">
        <f t="shared" si="25"/>
        <v>0</v>
      </c>
      <c r="T51">
        <f t="shared" si="26"/>
        <v>0</v>
      </c>
      <c r="U51">
        <f t="shared" si="27"/>
        <v>0</v>
      </c>
      <c r="V51">
        <f t="shared" si="28"/>
        <v>0</v>
      </c>
      <c r="W51">
        <f t="shared" si="29"/>
        <v>0</v>
      </c>
      <c r="X51">
        <f t="shared" si="30"/>
        <v>0</v>
      </c>
      <c r="Y51">
        <f t="shared" si="31"/>
        <v>0</v>
      </c>
      <c r="AA51">
        <v>39099382</v>
      </c>
      <c r="AB51">
        <f t="shared" si="32"/>
        <v>128</v>
      </c>
      <c r="AC51">
        <f t="shared" si="58"/>
        <v>128</v>
      </c>
      <c r="AD51">
        <f t="shared" si="59"/>
        <v>0</v>
      </c>
      <c r="AE51">
        <f t="shared" si="60"/>
        <v>0</v>
      </c>
      <c r="AF51">
        <f t="shared" si="61"/>
        <v>0</v>
      </c>
      <c r="AG51">
        <f t="shared" si="36"/>
        <v>0</v>
      </c>
      <c r="AH51">
        <f t="shared" si="62"/>
        <v>0</v>
      </c>
      <c r="AI51">
        <f t="shared" si="63"/>
        <v>0</v>
      </c>
      <c r="AJ51">
        <f t="shared" si="38"/>
        <v>0</v>
      </c>
      <c r="AK51">
        <v>128</v>
      </c>
      <c r="AL51">
        <v>128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111</v>
      </c>
      <c r="AU51">
        <v>64</v>
      </c>
      <c r="AV51">
        <v>1</v>
      </c>
      <c r="AW51">
        <v>1</v>
      </c>
      <c r="AZ51">
        <v>6.53</v>
      </c>
      <c r="BA51">
        <v>1</v>
      </c>
      <c r="BB51">
        <v>1</v>
      </c>
      <c r="BC51">
        <v>6.53</v>
      </c>
      <c r="BD51" t="s">
        <v>3</v>
      </c>
      <c r="BE51" t="s">
        <v>3</v>
      </c>
      <c r="BF51" t="s">
        <v>3</v>
      </c>
      <c r="BG51" t="s">
        <v>3</v>
      </c>
      <c r="BH51">
        <v>3</v>
      </c>
      <c r="BI51">
        <v>1</v>
      </c>
      <c r="BJ51" t="s">
        <v>133</v>
      </c>
      <c r="BM51">
        <v>11001</v>
      </c>
      <c r="BN51">
        <v>0</v>
      </c>
      <c r="BO51" t="s">
        <v>3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123</v>
      </c>
      <c r="CA51">
        <v>75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 t="shared" si="39"/>
        <v>100.3</v>
      </c>
      <c r="CQ51">
        <f t="shared" si="40"/>
        <v>835.84</v>
      </c>
      <c r="CR51">
        <f t="shared" si="41"/>
        <v>0</v>
      </c>
      <c r="CS51">
        <f t="shared" si="42"/>
        <v>0</v>
      </c>
      <c r="CT51">
        <f t="shared" si="43"/>
        <v>0</v>
      </c>
      <c r="CU51">
        <f t="shared" si="44"/>
        <v>0</v>
      </c>
      <c r="CV51">
        <f t="shared" si="45"/>
        <v>0</v>
      </c>
      <c r="CW51">
        <f t="shared" si="46"/>
        <v>0</v>
      </c>
      <c r="CX51">
        <f t="shared" si="47"/>
        <v>0</v>
      </c>
      <c r="CY51">
        <f t="shared" si="48"/>
        <v>0</v>
      </c>
      <c r="CZ51">
        <f t="shared" si="49"/>
        <v>0</v>
      </c>
      <c r="DC51" t="s">
        <v>3</v>
      </c>
      <c r="DD51" t="s">
        <v>3</v>
      </c>
      <c r="DE51" t="s">
        <v>3</v>
      </c>
      <c r="DF51" t="s">
        <v>3</v>
      </c>
      <c r="DG51" t="s">
        <v>3</v>
      </c>
      <c r="DH51" t="s">
        <v>3</v>
      </c>
      <c r="DI51" t="s">
        <v>3</v>
      </c>
      <c r="DJ51" t="s">
        <v>3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1010</v>
      </c>
      <c r="DV51" t="s">
        <v>120</v>
      </c>
      <c r="DW51" t="s">
        <v>120</v>
      </c>
      <c r="DX51">
        <v>100</v>
      </c>
      <c r="EE51">
        <v>39174504</v>
      </c>
      <c r="EF51">
        <v>2</v>
      </c>
      <c r="EG51" t="s">
        <v>43</v>
      </c>
      <c r="EH51">
        <v>0</v>
      </c>
      <c r="EI51" t="s">
        <v>3</v>
      </c>
      <c r="EJ51">
        <v>1</v>
      </c>
      <c r="EK51">
        <v>11001</v>
      </c>
      <c r="EL51" t="s">
        <v>20</v>
      </c>
      <c r="EM51" t="s">
        <v>67</v>
      </c>
      <c r="EO51" t="s">
        <v>3</v>
      </c>
      <c r="EQ51">
        <v>0</v>
      </c>
      <c r="ER51">
        <v>128</v>
      </c>
      <c r="ES51">
        <v>128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50"/>
        <v>0</v>
      </c>
      <c r="FS51">
        <v>0</v>
      </c>
      <c r="FT51" t="s">
        <v>46</v>
      </c>
      <c r="FU51" t="s">
        <v>47</v>
      </c>
      <c r="FX51">
        <v>110.7</v>
      </c>
      <c r="FY51">
        <v>63.75</v>
      </c>
      <c r="GA51" t="s">
        <v>3</v>
      </c>
      <c r="GD51">
        <v>0</v>
      </c>
      <c r="GF51">
        <v>1508644261</v>
      </c>
      <c r="GG51">
        <v>1</v>
      </c>
      <c r="GH51">
        <v>1</v>
      </c>
      <c r="GI51">
        <v>4</v>
      </c>
      <c r="GJ51">
        <v>0</v>
      </c>
      <c r="GK51">
        <f>ROUND(R51*(R12)/100,2)</f>
        <v>0</v>
      </c>
      <c r="GL51">
        <f t="shared" si="51"/>
        <v>0</v>
      </c>
      <c r="GM51">
        <f t="shared" si="52"/>
        <v>100.3</v>
      </c>
      <c r="GN51">
        <f t="shared" si="53"/>
        <v>100.3</v>
      </c>
      <c r="GO51">
        <f t="shared" si="54"/>
        <v>0</v>
      </c>
      <c r="GP51">
        <f t="shared" si="55"/>
        <v>0</v>
      </c>
      <c r="GR51">
        <v>0</v>
      </c>
      <c r="GS51">
        <v>0</v>
      </c>
      <c r="GT51">
        <v>0</v>
      </c>
      <c r="GU51" t="s">
        <v>3</v>
      </c>
      <c r="GV51">
        <f t="shared" si="56"/>
        <v>0</v>
      </c>
      <c r="GW51">
        <v>1</v>
      </c>
      <c r="GX51">
        <f t="shared" si="57"/>
        <v>0</v>
      </c>
      <c r="HA51">
        <v>0</v>
      </c>
      <c r="HB51">
        <v>0</v>
      </c>
      <c r="IK51">
        <v>0</v>
      </c>
    </row>
    <row r="52" spans="1:245" x14ac:dyDescent="0.2">
      <c r="A52">
        <v>18</v>
      </c>
      <c r="B52">
        <v>1</v>
      </c>
      <c r="C52">
        <v>65</v>
      </c>
      <c r="E52" t="s">
        <v>134</v>
      </c>
      <c r="F52" t="s">
        <v>135</v>
      </c>
      <c r="G52" t="s">
        <v>136</v>
      </c>
      <c r="H52" t="s">
        <v>120</v>
      </c>
      <c r="I52">
        <f>I44*J52</f>
        <v>0.11999999999999998</v>
      </c>
      <c r="J52">
        <v>7.0389488503050199E-2</v>
      </c>
      <c r="O52">
        <f t="shared" si="21"/>
        <v>100.3</v>
      </c>
      <c r="P52">
        <f t="shared" si="22"/>
        <v>100.3</v>
      </c>
      <c r="Q52">
        <f t="shared" si="23"/>
        <v>0</v>
      </c>
      <c r="R52">
        <f t="shared" si="24"/>
        <v>0</v>
      </c>
      <c r="S52">
        <f t="shared" si="25"/>
        <v>0</v>
      </c>
      <c r="T52">
        <f t="shared" si="26"/>
        <v>0</v>
      </c>
      <c r="U52">
        <f t="shared" si="27"/>
        <v>0</v>
      </c>
      <c r="V52">
        <f t="shared" si="28"/>
        <v>0</v>
      </c>
      <c r="W52">
        <f t="shared" si="29"/>
        <v>0</v>
      </c>
      <c r="X52">
        <f t="shared" si="30"/>
        <v>0</v>
      </c>
      <c r="Y52">
        <f t="shared" si="31"/>
        <v>0</v>
      </c>
      <c r="AA52">
        <v>39099382</v>
      </c>
      <c r="AB52">
        <f t="shared" si="32"/>
        <v>128</v>
      </c>
      <c r="AC52">
        <f t="shared" si="58"/>
        <v>128</v>
      </c>
      <c r="AD52">
        <f t="shared" si="59"/>
        <v>0</v>
      </c>
      <c r="AE52">
        <f t="shared" si="60"/>
        <v>0</v>
      </c>
      <c r="AF52">
        <f t="shared" si="61"/>
        <v>0</v>
      </c>
      <c r="AG52">
        <f t="shared" si="36"/>
        <v>0</v>
      </c>
      <c r="AH52">
        <f t="shared" si="62"/>
        <v>0</v>
      </c>
      <c r="AI52">
        <f t="shared" si="63"/>
        <v>0</v>
      </c>
      <c r="AJ52">
        <f t="shared" si="38"/>
        <v>0</v>
      </c>
      <c r="AK52">
        <v>128</v>
      </c>
      <c r="AL52">
        <v>128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111</v>
      </c>
      <c r="AU52">
        <v>64</v>
      </c>
      <c r="AV52">
        <v>1</v>
      </c>
      <c r="AW52">
        <v>1</v>
      </c>
      <c r="AZ52">
        <v>6.53</v>
      </c>
      <c r="BA52">
        <v>1</v>
      </c>
      <c r="BB52">
        <v>1</v>
      </c>
      <c r="BC52">
        <v>6.53</v>
      </c>
      <c r="BD52" t="s">
        <v>3</v>
      </c>
      <c r="BE52" t="s">
        <v>3</v>
      </c>
      <c r="BF52" t="s">
        <v>3</v>
      </c>
      <c r="BG52" t="s">
        <v>3</v>
      </c>
      <c r="BH52">
        <v>3</v>
      </c>
      <c r="BI52">
        <v>1</v>
      </c>
      <c r="BJ52" t="s">
        <v>137</v>
      </c>
      <c r="BM52">
        <v>11001</v>
      </c>
      <c r="BN52">
        <v>0</v>
      </c>
      <c r="BO52" t="s">
        <v>3</v>
      </c>
      <c r="BP52">
        <v>0</v>
      </c>
      <c r="BQ52">
        <v>2</v>
      </c>
      <c r="BR52">
        <v>0</v>
      </c>
      <c r="BS52">
        <v>1</v>
      </c>
      <c r="BT52">
        <v>1</v>
      </c>
      <c r="BU52">
        <v>1</v>
      </c>
      <c r="BV52">
        <v>1</v>
      </c>
      <c r="BW52">
        <v>1</v>
      </c>
      <c r="BX52">
        <v>1</v>
      </c>
      <c r="BY52" t="s">
        <v>3</v>
      </c>
      <c r="BZ52">
        <v>123</v>
      </c>
      <c r="CA52">
        <v>75</v>
      </c>
      <c r="CF52">
        <v>0</v>
      </c>
      <c r="CG52">
        <v>0</v>
      </c>
      <c r="CM52">
        <v>0</v>
      </c>
      <c r="CN52" t="s">
        <v>3</v>
      </c>
      <c r="CO52">
        <v>0</v>
      </c>
      <c r="CP52">
        <f t="shared" si="39"/>
        <v>100.3</v>
      </c>
      <c r="CQ52">
        <f t="shared" si="40"/>
        <v>835.84</v>
      </c>
      <c r="CR52">
        <f t="shared" si="41"/>
        <v>0</v>
      </c>
      <c r="CS52">
        <f t="shared" si="42"/>
        <v>0</v>
      </c>
      <c r="CT52">
        <f t="shared" si="43"/>
        <v>0</v>
      </c>
      <c r="CU52">
        <f t="shared" si="44"/>
        <v>0</v>
      </c>
      <c r="CV52">
        <f t="shared" si="45"/>
        <v>0</v>
      </c>
      <c r="CW52">
        <f t="shared" si="46"/>
        <v>0</v>
      </c>
      <c r="CX52">
        <f t="shared" si="47"/>
        <v>0</v>
      </c>
      <c r="CY52">
        <f t="shared" si="48"/>
        <v>0</v>
      </c>
      <c r="CZ52">
        <f t="shared" si="49"/>
        <v>0</v>
      </c>
      <c r="DC52" t="s">
        <v>3</v>
      </c>
      <c r="DD52" t="s">
        <v>3</v>
      </c>
      <c r="DE52" t="s">
        <v>3</v>
      </c>
      <c r="DF52" t="s">
        <v>3</v>
      </c>
      <c r="DG52" t="s">
        <v>3</v>
      </c>
      <c r="DH52" t="s">
        <v>3</v>
      </c>
      <c r="DI52" t="s">
        <v>3</v>
      </c>
      <c r="DJ52" t="s">
        <v>3</v>
      </c>
      <c r="DK52" t="s">
        <v>3</v>
      </c>
      <c r="DL52" t="s">
        <v>3</v>
      </c>
      <c r="DM52" t="s">
        <v>3</v>
      </c>
      <c r="DN52">
        <v>0</v>
      </c>
      <c r="DO52">
        <v>0</v>
      </c>
      <c r="DP52">
        <v>1</v>
      </c>
      <c r="DQ52">
        <v>1</v>
      </c>
      <c r="DU52">
        <v>1010</v>
      </c>
      <c r="DV52" t="s">
        <v>120</v>
      </c>
      <c r="DW52" t="s">
        <v>120</v>
      </c>
      <c r="DX52">
        <v>100</v>
      </c>
      <c r="EE52">
        <v>39174504</v>
      </c>
      <c r="EF52">
        <v>2</v>
      </c>
      <c r="EG52" t="s">
        <v>43</v>
      </c>
      <c r="EH52">
        <v>0</v>
      </c>
      <c r="EI52" t="s">
        <v>3</v>
      </c>
      <c r="EJ52">
        <v>1</v>
      </c>
      <c r="EK52">
        <v>11001</v>
      </c>
      <c r="EL52" t="s">
        <v>20</v>
      </c>
      <c r="EM52" t="s">
        <v>67</v>
      </c>
      <c r="EO52" t="s">
        <v>3</v>
      </c>
      <c r="EQ52">
        <v>0</v>
      </c>
      <c r="ER52">
        <v>128</v>
      </c>
      <c r="ES52">
        <v>128</v>
      </c>
      <c r="ET52">
        <v>0</v>
      </c>
      <c r="EU52">
        <v>0</v>
      </c>
      <c r="EV52">
        <v>0</v>
      </c>
      <c r="EW52">
        <v>0</v>
      </c>
      <c r="EX52">
        <v>0</v>
      </c>
      <c r="FQ52">
        <v>0</v>
      </c>
      <c r="FR52">
        <f t="shared" si="50"/>
        <v>0</v>
      </c>
      <c r="FS52">
        <v>0</v>
      </c>
      <c r="FT52" t="s">
        <v>46</v>
      </c>
      <c r="FU52" t="s">
        <v>47</v>
      </c>
      <c r="FX52">
        <v>110.7</v>
      </c>
      <c r="FY52">
        <v>63.75</v>
      </c>
      <c r="GA52" t="s">
        <v>3</v>
      </c>
      <c r="GD52">
        <v>0</v>
      </c>
      <c r="GF52">
        <v>-1530028590</v>
      </c>
      <c r="GG52">
        <v>1</v>
      </c>
      <c r="GH52">
        <v>1</v>
      </c>
      <c r="GI52">
        <v>4</v>
      </c>
      <c r="GJ52">
        <v>0</v>
      </c>
      <c r="GK52">
        <f>ROUND(R52*(R12)/100,2)</f>
        <v>0</v>
      </c>
      <c r="GL52">
        <f t="shared" si="51"/>
        <v>0</v>
      </c>
      <c r="GM52">
        <f t="shared" si="52"/>
        <v>100.3</v>
      </c>
      <c r="GN52">
        <f t="shared" si="53"/>
        <v>100.3</v>
      </c>
      <c r="GO52">
        <f t="shared" si="54"/>
        <v>0</v>
      </c>
      <c r="GP52">
        <f t="shared" si="55"/>
        <v>0</v>
      </c>
      <c r="GR52">
        <v>0</v>
      </c>
      <c r="GS52">
        <v>0</v>
      </c>
      <c r="GT52">
        <v>0</v>
      </c>
      <c r="GU52" t="s">
        <v>3</v>
      </c>
      <c r="GV52">
        <f t="shared" si="56"/>
        <v>0</v>
      </c>
      <c r="GW52">
        <v>1</v>
      </c>
      <c r="GX52">
        <f t="shared" si="57"/>
        <v>0</v>
      </c>
      <c r="HA52">
        <v>0</v>
      </c>
      <c r="HB52">
        <v>0</v>
      </c>
      <c r="IK52">
        <v>0</v>
      </c>
    </row>
    <row r="53" spans="1:245" x14ac:dyDescent="0.2">
      <c r="A53">
        <v>18</v>
      </c>
      <c r="B53">
        <v>1</v>
      </c>
      <c r="C53">
        <v>61</v>
      </c>
      <c r="E53" t="s">
        <v>138</v>
      </c>
      <c r="F53" t="s">
        <v>123</v>
      </c>
      <c r="G53" t="s">
        <v>124</v>
      </c>
      <c r="H53" t="s">
        <v>120</v>
      </c>
      <c r="I53">
        <f>I44*J53</f>
        <v>0.11999999999999998</v>
      </c>
      <c r="J53">
        <v>7.0389488503050199E-2</v>
      </c>
      <c r="O53">
        <f t="shared" si="21"/>
        <v>49.37</v>
      </c>
      <c r="P53">
        <f t="shared" si="22"/>
        <v>49.37</v>
      </c>
      <c r="Q53">
        <f t="shared" si="23"/>
        <v>0</v>
      </c>
      <c r="R53">
        <f t="shared" si="24"/>
        <v>0</v>
      </c>
      <c r="S53">
        <f t="shared" si="25"/>
        <v>0</v>
      </c>
      <c r="T53">
        <f t="shared" si="26"/>
        <v>0</v>
      </c>
      <c r="U53">
        <f t="shared" si="27"/>
        <v>0</v>
      </c>
      <c r="V53">
        <f t="shared" si="28"/>
        <v>0</v>
      </c>
      <c r="W53">
        <f t="shared" si="29"/>
        <v>0</v>
      </c>
      <c r="X53">
        <f t="shared" si="30"/>
        <v>0</v>
      </c>
      <c r="Y53">
        <f t="shared" si="31"/>
        <v>0</v>
      </c>
      <c r="AA53">
        <v>39099382</v>
      </c>
      <c r="AB53">
        <f t="shared" si="32"/>
        <v>63</v>
      </c>
      <c r="AC53">
        <f t="shared" si="58"/>
        <v>63</v>
      </c>
      <c r="AD53">
        <f t="shared" si="59"/>
        <v>0</v>
      </c>
      <c r="AE53">
        <f t="shared" si="60"/>
        <v>0</v>
      </c>
      <c r="AF53">
        <f t="shared" si="61"/>
        <v>0</v>
      </c>
      <c r="AG53">
        <f t="shared" si="36"/>
        <v>0</v>
      </c>
      <c r="AH53">
        <f t="shared" si="62"/>
        <v>0</v>
      </c>
      <c r="AI53">
        <f t="shared" si="63"/>
        <v>0</v>
      </c>
      <c r="AJ53">
        <f t="shared" si="38"/>
        <v>0</v>
      </c>
      <c r="AK53">
        <v>63</v>
      </c>
      <c r="AL53">
        <v>63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111</v>
      </c>
      <c r="AU53">
        <v>64</v>
      </c>
      <c r="AV53">
        <v>1</v>
      </c>
      <c r="AW53">
        <v>1</v>
      </c>
      <c r="AZ53">
        <v>6.53</v>
      </c>
      <c r="BA53">
        <v>1</v>
      </c>
      <c r="BB53">
        <v>1</v>
      </c>
      <c r="BC53">
        <v>6.53</v>
      </c>
      <c r="BD53" t="s">
        <v>3</v>
      </c>
      <c r="BE53" t="s">
        <v>3</v>
      </c>
      <c r="BF53" t="s">
        <v>3</v>
      </c>
      <c r="BG53" t="s">
        <v>3</v>
      </c>
      <c r="BH53">
        <v>3</v>
      </c>
      <c r="BI53">
        <v>1</v>
      </c>
      <c r="BJ53" t="s">
        <v>125</v>
      </c>
      <c r="BM53">
        <v>11001</v>
      </c>
      <c r="BN53">
        <v>0</v>
      </c>
      <c r="BO53" t="s">
        <v>3</v>
      </c>
      <c r="BP53">
        <v>0</v>
      </c>
      <c r="BQ53">
        <v>2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123</v>
      </c>
      <c r="CA53">
        <v>75</v>
      </c>
      <c r="CF53">
        <v>0</v>
      </c>
      <c r="CG53">
        <v>0</v>
      </c>
      <c r="CM53">
        <v>0</v>
      </c>
      <c r="CN53" t="s">
        <v>3</v>
      </c>
      <c r="CO53">
        <v>0</v>
      </c>
      <c r="CP53">
        <f t="shared" si="39"/>
        <v>49.37</v>
      </c>
      <c r="CQ53">
        <f t="shared" si="40"/>
        <v>411.39000000000004</v>
      </c>
      <c r="CR53">
        <f t="shared" si="41"/>
        <v>0</v>
      </c>
      <c r="CS53">
        <f t="shared" si="42"/>
        <v>0</v>
      </c>
      <c r="CT53">
        <f t="shared" si="43"/>
        <v>0</v>
      </c>
      <c r="CU53">
        <f t="shared" si="44"/>
        <v>0</v>
      </c>
      <c r="CV53">
        <f t="shared" si="45"/>
        <v>0</v>
      </c>
      <c r="CW53">
        <f t="shared" si="46"/>
        <v>0</v>
      </c>
      <c r="CX53">
        <f t="shared" si="47"/>
        <v>0</v>
      </c>
      <c r="CY53">
        <f t="shared" si="48"/>
        <v>0</v>
      </c>
      <c r="CZ53">
        <f t="shared" si="49"/>
        <v>0</v>
      </c>
      <c r="DC53" t="s">
        <v>3</v>
      </c>
      <c r="DD53" t="s">
        <v>3</v>
      </c>
      <c r="DE53" t="s">
        <v>3</v>
      </c>
      <c r="DF53" t="s">
        <v>3</v>
      </c>
      <c r="DG53" t="s">
        <v>3</v>
      </c>
      <c r="DH53" t="s">
        <v>3</v>
      </c>
      <c r="DI53" t="s">
        <v>3</v>
      </c>
      <c r="DJ53" t="s">
        <v>3</v>
      </c>
      <c r="DK53" t="s">
        <v>3</v>
      </c>
      <c r="DL53" t="s">
        <v>3</v>
      </c>
      <c r="DM53" t="s">
        <v>3</v>
      </c>
      <c r="DN53">
        <v>0</v>
      </c>
      <c r="DO53">
        <v>0</v>
      </c>
      <c r="DP53">
        <v>1</v>
      </c>
      <c r="DQ53">
        <v>1</v>
      </c>
      <c r="DU53">
        <v>1010</v>
      </c>
      <c r="DV53" t="s">
        <v>120</v>
      </c>
      <c r="DW53" t="s">
        <v>120</v>
      </c>
      <c r="DX53">
        <v>100</v>
      </c>
      <c r="EE53">
        <v>39174504</v>
      </c>
      <c r="EF53">
        <v>2</v>
      </c>
      <c r="EG53" t="s">
        <v>43</v>
      </c>
      <c r="EH53">
        <v>0</v>
      </c>
      <c r="EI53" t="s">
        <v>3</v>
      </c>
      <c r="EJ53">
        <v>1</v>
      </c>
      <c r="EK53">
        <v>11001</v>
      </c>
      <c r="EL53" t="s">
        <v>20</v>
      </c>
      <c r="EM53" t="s">
        <v>67</v>
      </c>
      <c r="EO53" t="s">
        <v>3</v>
      </c>
      <c r="EQ53">
        <v>0</v>
      </c>
      <c r="ER53">
        <v>63</v>
      </c>
      <c r="ES53">
        <v>63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50"/>
        <v>0</v>
      </c>
      <c r="FS53">
        <v>0</v>
      </c>
      <c r="FT53" t="s">
        <v>46</v>
      </c>
      <c r="FU53" t="s">
        <v>47</v>
      </c>
      <c r="FX53">
        <v>110.7</v>
      </c>
      <c r="FY53">
        <v>63.75</v>
      </c>
      <c r="GA53" t="s">
        <v>3</v>
      </c>
      <c r="GD53">
        <v>0</v>
      </c>
      <c r="GF53">
        <v>1345842772</v>
      </c>
      <c r="GG53">
        <v>1</v>
      </c>
      <c r="GH53">
        <v>1</v>
      </c>
      <c r="GI53">
        <v>4</v>
      </c>
      <c r="GJ53">
        <v>0</v>
      </c>
      <c r="GK53">
        <f>ROUND(R53*(R12)/100,2)</f>
        <v>0</v>
      </c>
      <c r="GL53">
        <f t="shared" si="51"/>
        <v>0</v>
      </c>
      <c r="GM53">
        <f t="shared" si="52"/>
        <v>49.37</v>
      </c>
      <c r="GN53">
        <f t="shared" si="53"/>
        <v>49.37</v>
      </c>
      <c r="GO53">
        <f t="shared" si="54"/>
        <v>0</v>
      </c>
      <c r="GP53">
        <f t="shared" si="55"/>
        <v>0</v>
      </c>
      <c r="GR53">
        <v>0</v>
      </c>
      <c r="GS53">
        <v>3</v>
      </c>
      <c r="GT53">
        <v>0</v>
      </c>
      <c r="GU53" t="s">
        <v>3</v>
      </c>
      <c r="GV53">
        <f t="shared" si="56"/>
        <v>0</v>
      </c>
      <c r="GW53">
        <v>1</v>
      </c>
      <c r="GX53">
        <f t="shared" si="57"/>
        <v>0</v>
      </c>
      <c r="HA53">
        <v>0</v>
      </c>
      <c r="HB53">
        <v>0</v>
      </c>
      <c r="IK53">
        <v>0</v>
      </c>
    </row>
    <row r="54" spans="1:245" x14ac:dyDescent="0.2">
      <c r="A54">
        <v>18</v>
      </c>
      <c r="B54">
        <v>1</v>
      </c>
      <c r="C54">
        <v>57</v>
      </c>
      <c r="E54" t="s">
        <v>139</v>
      </c>
      <c r="F54" t="s">
        <v>115</v>
      </c>
      <c r="G54" t="s">
        <v>140</v>
      </c>
      <c r="H54" t="s">
        <v>37</v>
      </c>
      <c r="I54">
        <f>I44*J54</f>
        <v>68</v>
      </c>
      <c r="J54">
        <v>39.887376818395119</v>
      </c>
      <c r="O54">
        <f t="shared" si="21"/>
        <v>0</v>
      </c>
      <c r="P54">
        <f t="shared" si="22"/>
        <v>0</v>
      </c>
      <c r="Q54">
        <f t="shared" si="23"/>
        <v>0</v>
      </c>
      <c r="R54">
        <f t="shared" si="24"/>
        <v>0</v>
      </c>
      <c r="S54">
        <f t="shared" si="25"/>
        <v>0</v>
      </c>
      <c r="T54">
        <f t="shared" si="26"/>
        <v>0</v>
      </c>
      <c r="U54">
        <f t="shared" si="27"/>
        <v>0</v>
      </c>
      <c r="V54">
        <f t="shared" si="28"/>
        <v>0</v>
      </c>
      <c r="W54">
        <f t="shared" si="29"/>
        <v>0</v>
      </c>
      <c r="X54">
        <f t="shared" si="30"/>
        <v>0</v>
      </c>
      <c r="Y54">
        <f t="shared" si="31"/>
        <v>0</v>
      </c>
      <c r="AA54">
        <v>39099382</v>
      </c>
      <c r="AB54">
        <f t="shared" si="32"/>
        <v>0</v>
      </c>
      <c r="AC54">
        <f t="shared" si="58"/>
        <v>0</v>
      </c>
      <c r="AD54">
        <f t="shared" si="59"/>
        <v>0</v>
      </c>
      <c r="AE54">
        <f t="shared" si="60"/>
        <v>0</v>
      </c>
      <c r="AF54">
        <f t="shared" si="61"/>
        <v>0</v>
      </c>
      <c r="AG54">
        <f t="shared" si="36"/>
        <v>0</v>
      </c>
      <c r="AH54">
        <f t="shared" si="62"/>
        <v>0</v>
      </c>
      <c r="AI54">
        <f t="shared" si="63"/>
        <v>0</v>
      </c>
      <c r="AJ54">
        <f t="shared" si="38"/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111</v>
      </c>
      <c r="AU54">
        <v>64</v>
      </c>
      <c r="AV54">
        <v>1</v>
      </c>
      <c r="AW54">
        <v>1</v>
      </c>
      <c r="AZ54">
        <v>6.53</v>
      </c>
      <c r="BA54">
        <v>1</v>
      </c>
      <c r="BB54">
        <v>1</v>
      </c>
      <c r="BC54">
        <v>6.53</v>
      </c>
      <c r="BD54" t="s">
        <v>3</v>
      </c>
      <c r="BE54" t="s">
        <v>3</v>
      </c>
      <c r="BF54" t="s">
        <v>3</v>
      </c>
      <c r="BG54" t="s">
        <v>3</v>
      </c>
      <c r="BH54">
        <v>3</v>
      </c>
      <c r="BI54">
        <v>1</v>
      </c>
      <c r="BJ54" t="s">
        <v>3</v>
      </c>
      <c r="BM54">
        <v>11001</v>
      </c>
      <c r="BN54">
        <v>0</v>
      </c>
      <c r="BO54" t="s">
        <v>3</v>
      </c>
      <c r="BP54">
        <v>0</v>
      </c>
      <c r="BQ54">
        <v>2</v>
      </c>
      <c r="BR54">
        <v>0</v>
      </c>
      <c r="BS54">
        <v>1</v>
      </c>
      <c r="BT54">
        <v>1</v>
      </c>
      <c r="BU54">
        <v>1</v>
      </c>
      <c r="BV54">
        <v>1</v>
      </c>
      <c r="BW54">
        <v>1</v>
      </c>
      <c r="BX54">
        <v>1</v>
      </c>
      <c r="BY54" t="s">
        <v>3</v>
      </c>
      <c r="BZ54">
        <v>123</v>
      </c>
      <c r="CA54">
        <v>75</v>
      </c>
      <c r="CF54">
        <v>0</v>
      </c>
      <c r="CG54">
        <v>0</v>
      </c>
      <c r="CM54">
        <v>0</v>
      </c>
      <c r="CN54" t="s">
        <v>3</v>
      </c>
      <c r="CO54">
        <v>0</v>
      </c>
      <c r="CP54">
        <f t="shared" si="39"/>
        <v>0</v>
      </c>
      <c r="CQ54">
        <f t="shared" si="40"/>
        <v>0</v>
      </c>
      <c r="CR54">
        <f t="shared" si="41"/>
        <v>0</v>
      </c>
      <c r="CS54">
        <f t="shared" si="42"/>
        <v>0</v>
      </c>
      <c r="CT54">
        <f t="shared" si="43"/>
        <v>0</v>
      </c>
      <c r="CU54">
        <f t="shared" si="44"/>
        <v>0</v>
      </c>
      <c r="CV54">
        <f t="shared" si="45"/>
        <v>0</v>
      </c>
      <c r="CW54">
        <f t="shared" si="46"/>
        <v>0</v>
      </c>
      <c r="CX54">
        <f t="shared" si="47"/>
        <v>0</v>
      </c>
      <c r="CY54">
        <f t="shared" si="48"/>
        <v>0</v>
      </c>
      <c r="CZ54">
        <f t="shared" si="49"/>
        <v>0</v>
      </c>
      <c r="DC54" t="s">
        <v>3</v>
      </c>
      <c r="DD54" t="s">
        <v>3</v>
      </c>
      <c r="DE54" t="s">
        <v>3</v>
      </c>
      <c r="DF54" t="s">
        <v>3</v>
      </c>
      <c r="DG54" t="s">
        <v>3</v>
      </c>
      <c r="DH54" t="s">
        <v>3</v>
      </c>
      <c r="DI54" t="s">
        <v>3</v>
      </c>
      <c r="DJ54" t="s">
        <v>3</v>
      </c>
      <c r="DK54" t="s">
        <v>3</v>
      </c>
      <c r="DL54" t="s">
        <v>3</v>
      </c>
      <c r="DM54" t="s">
        <v>3</v>
      </c>
      <c r="DN54">
        <v>0</v>
      </c>
      <c r="DO54">
        <v>0</v>
      </c>
      <c r="DP54">
        <v>1</v>
      </c>
      <c r="DQ54">
        <v>1</v>
      </c>
      <c r="DU54">
        <v>1010</v>
      </c>
      <c r="DV54" t="s">
        <v>37</v>
      </c>
      <c r="DW54" t="s">
        <v>37</v>
      </c>
      <c r="DX54">
        <v>1</v>
      </c>
      <c r="EE54">
        <v>39174504</v>
      </c>
      <c r="EF54">
        <v>2</v>
      </c>
      <c r="EG54" t="s">
        <v>43</v>
      </c>
      <c r="EH54">
        <v>0</v>
      </c>
      <c r="EI54" t="s">
        <v>3</v>
      </c>
      <c r="EJ54">
        <v>1</v>
      </c>
      <c r="EK54">
        <v>11001</v>
      </c>
      <c r="EL54" t="s">
        <v>20</v>
      </c>
      <c r="EM54" t="s">
        <v>67</v>
      </c>
      <c r="EO54" t="s">
        <v>3</v>
      </c>
      <c r="EQ54">
        <v>0</v>
      </c>
      <c r="ER54">
        <v>0</v>
      </c>
      <c r="ES54">
        <v>0</v>
      </c>
      <c r="ET54">
        <v>0</v>
      </c>
      <c r="EU54">
        <v>0</v>
      </c>
      <c r="EV54">
        <v>0</v>
      </c>
      <c r="EW54">
        <v>0</v>
      </c>
      <c r="EX54">
        <v>0</v>
      </c>
      <c r="FQ54">
        <v>0</v>
      </c>
      <c r="FR54">
        <f t="shared" si="50"/>
        <v>0</v>
      </c>
      <c r="FS54">
        <v>0</v>
      </c>
      <c r="FT54" t="s">
        <v>46</v>
      </c>
      <c r="FU54" t="s">
        <v>47</v>
      </c>
      <c r="FX54">
        <v>110.7</v>
      </c>
      <c r="FY54">
        <v>63.75</v>
      </c>
      <c r="GA54" t="s">
        <v>3</v>
      </c>
      <c r="GD54">
        <v>0</v>
      </c>
      <c r="GF54">
        <v>2133044040</v>
      </c>
      <c r="GG54">
        <v>1</v>
      </c>
      <c r="GH54">
        <v>1</v>
      </c>
      <c r="GI54">
        <v>4</v>
      </c>
      <c r="GJ54">
        <v>0</v>
      </c>
      <c r="GK54">
        <f>ROUND(R54*(R12)/100,2)</f>
        <v>0</v>
      </c>
      <c r="GL54">
        <f t="shared" si="51"/>
        <v>0</v>
      </c>
      <c r="GM54">
        <f t="shared" si="52"/>
        <v>0</v>
      </c>
      <c r="GN54">
        <f t="shared" si="53"/>
        <v>0</v>
      </c>
      <c r="GO54">
        <f t="shared" si="54"/>
        <v>0</v>
      </c>
      <c r="GP54">
        <f t="shared" si="55"/>
        <v>0</v>
      </c>
      <c r="GR54">
        <v>0</v>
      </c>
      <c r="GS54">
        <v>3</v>
      </c>
      <c r="GT54">
        <v>0</v>
      </c>
      <c r="GU54" t="s">
        <v>3</v>
      </c>
      <c r="GV54">
        <f t="shared" si="56"/>
        <v>0</v>
      </c>
      <c r="GW54">
        <v>1</v>
      </c>
      <c r="GX54">
        <f t="shared" si="57"/>
        <v>0</v>
      </c>
      <c r="HA54">
        <v>0</v>
      </c>
      <c r="HB54">
        <v>0</v>
      </c>
      <c r="IK54">
        <v>0</v>
      </c>
    </row>
    <row r="55" spans="1:245" x14ac:dyDescent="0.2">
      <c r="A55">
        <v>18</v>
      </c>
      <c r="B55">
        <v>1</v>
      </c>
      <c r="C55">
        <v>58</v>
      </c>
      <c r="E55" t="s">
        <v>141</v>
      </c>
      <c r="F55" t="s">
        <v>115</v>
      </c>
      <c r="G55" t="s">
        <v>142</v>
      </c>
      <c r="H55" t="s">
        <v>37</v>
      </c>
      <c r="I55">
        <f>I44*J55</f>
        <v>14.000000000000002</v>
      </c>
      <c r="J55">
        <v>8.2121069920225249</v>
      </c>
      <c r="O55">
        <f t="shared" si="21"/>
        <v>0</v>
      </c>
      <c r="P55">
        <f t="shared" si="22"/>
        <v>0</v>
      </c>
      <c r="Q55">
        <f t="shared" si="23"/>
        <v>0</v>
      </c>
      <c r="R55">
        <f t="shared" si="24"/>
        <v>0</v>
      </c>
      <c r="S55">
        <f t="shared" si="25"/>
        <v>0</v>
      </c>
      <c r="T55">
        <f t="shared" si="26"/>
        <v>0</v>
      </c>
      <c r="U55">
        <f t="shared" si="27"/>
        <v>0</v>
      </c>
      <c r="V55">
        <f t="shared" si="28"/>
        <v>0</v>
      </c>
      <c r="W55">
        <f t="shared" si="29"/>
        <v>0</v>
      </c>
      <c r="X55">
        <f t="shared" si="30"/>
        <v>0</v>
      </c>
      <c r="Y55">
        <f t="shared" si="31"/>
        <v>0</v>
      </c>
      <c r="AA55">
        <v>39099382</v>
      </c>
      <c r="AB55">
        <f t="shared" si="32"/>
        <v>0</v>
      </c>
      <c r="AC55">
        <f t="shared" si="58"/>
        <v>0</v>
      </c>
      <c r="AD55">
        <f t="shared" si="59"/>
        <v>0</v>
      </c>
      <c r="AE55">
        <f t="shared" si="60"/>
        <v>0</v>
      </c>
      <c r="AF55">
        <f t="shared" si="61"/>
        <v>0</v>
      </c>
      <c r="AG55">
        <f t="shared" si="36"/>
        <v>0</v>
      </c>
      <c r="AH55">
        <f t="shared" si="62"/>
        <v>0</v>
      </c>
      <c r="AI55">
        <f t="shared" si="63"/>
        <v>0</v>
      </c>
      <c r="AJ55">
        <f t="shared" si="38"/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111</v>
      </c>
      <c r="AU55">
        <v>64</v>
      </c>
      <c r="AV55">
        <v>1</v>
      </c>
      <c r="AW55">
        <v>1</v>
      </c>
      <c r="AZ55">
        <v>6.53</v>
      </c>
      <c r="BA55">
        <v>1</v>
      </c>
      <c r="BB55">
        <v>1</v>
      </c>
      <c r="BC55">
        <v>6.53</v>
      </c>
      <c r="BD55" t="s">
        <v>3</v>
      </c>
      <c r="BE55" t="s">
        <v>3</v>
      </c>
      <c r="BF55" t="s">
        <v>3</v>
      </c>
      <c r="BG55" t="s">
        <v>3</v>
      </c>
      <c r="BH55">
        <v>3</v>
      </c>
      <c r="BI55">
        <v>1</v>
      </c>
      <c r="BJ55" t="s">
        <v>3</v>
      </c>
      <c r="BM55">
        <v>11001</v>
      </c>
      <c r="BN55">
        <v>0</v>
      </c>
      <c r="BO55" t="s">
        <v>3</v>
      </c>
      <c r="BP55">
        <v>0</v>
      </c>
      <c r="BQ55">
        <v>2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3</v>
      </c>
      <c r="BZ55">
        <v>123</v>
      </c>
      <c r="CA55">
        <v>75</v>
      </c>
      <c r="CF55">
        <v>0</v>
      </c>
      <c r="CG55">
        <v>0</v>
      </c>
      <c r="CM55">
        <v>0</v>
      </c>
      <c r="CN55" t="s">
        <v>3</v>
      </c>
      <c r="CO55">
        <v>0</v>
      </c>
      <c r="CP55">
        <f t="shared" si="39"/>
        <v>0</v>
      </c>
      <c r="CQ55">
        <f t="shared" si="40"/>
        <v>0</v>
      </c>
      <c r="CR55">
        <f t="shared" si="41"/>
        <v>0</v>
      </c>
      <c r="CS55">
        <f t="shared" si="42"/>
        <v>0</v>
      </c>
      <c r="CT55">
        <f t="shared" si="43"/>
        <v>0</v>
      </c>
      <c r="CU55">
        <f t="shared" si="44"/>
        <v>0</v>
      </c>
      <c r="CV55">
        <f t="shared" si="45"/>
        <v>0</v>
      </c>
      <c r="CW55">
        <f t="shared" si="46"/>
        <v>0</v>
      </c>
      <c r="CX55">
        <f t="shared" si="47"/>
        <v>0</v>
      </c>
      <c r="CY55">
        <f t="shared" si="48"/>
        <v>0</v>
      </c>
      <c r="CZ55">
        <f t="shared" si="49"/>
        <v>0</v>
      </c>
      <c r="DC55" t="s">
        <v>3</v>
      </c>
      <c r="DD55" t="s">
        <v>3</v>
      </c>
      <c r="DE55" t="s">
        <v>3</v>
      </c>
      <c r="DF55" t="s">
        <v>3</v>
      </c>
      <c r="DG55" t="s">
        <v>3</v>
      </c>
      <c r="DH55" t="s">
        <v>3</v>
      </c>
      <c r="DI55" t="s">
        <v>3</v>
      </c>
      <c r="DJ55" t="s">
        <v>3</v>
      </c>
      <c r="DK55" t="s">
        <v>3</v>
      </c>
      <c r="DL55" t="s">
        <v>3</v>
      </c>
      <c r="DM55" t="s">
        <v>3</v>
      </c>
      <c r="DN55">
        <v>0</v>
      </c>
      <c r="DO55">
        <v>0</v>
      </c>
      <c r="DP55">
        <v>1</v>
      </c>
      <c r="DQ55">
        <v>1</v>
      </c>
      <c r="DU55">
        <v>1010</v>
      </c>
      <c r="DV55" t="s">
        <v>37</v>
      </c>
      <c r="DW55" t="s">
        <v>37</v>
      </c>
      <c r="DX55">
        <v>1</v>
      </c>
      <c r="EE55">
        <v>39174504</v>
      </c>
      <c r="EF55">
        <v>2</v>
      </c>
      <c r="EG55" t="s">
        <v>43</v>
      </c>
      <c r="EH55">
        <v>0</v>
      </c>
      <c r="EI55" t="s">
        <v>3</v>
      </c>
      <c r="EJ55">
        <v>1</v>
      </c>
      <c r="EK55">
        <v>11001</v>
      </c>
      <c r="EL55" t="s">
        <v>20</v>
      </c>
      <c r="EM55" t="s">
        <v>67</v>
      </c>
      <c r="EO55" t="s">
        <v>3</v>
      </c>
      <c r="EQ55">
        <v>0</v>
      </c>
      <c r="ER55">
        <v>0</v>
      </c>
      <c r="ES55">
        <v>0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 t="shared" si="50"/>
        <v>0</v>
      </c>
      <c r="FS55">
        <v>0</v>
      </c>
      <c r="FT55" t="s">
        <v>46</v>
      </c>
      <c r="FU55" t="s">
        <v>47</v>
      </c>
      <c r="FX55">
        <v>110.7</v>
      </c>
      <c r="FY55">
        <v>63.75</v>
      </c>
      <c r="GA55" t="s">
        <v>3</v>
      </c>
      <c r="GD55">
        <v>0</v>
      </c>
      <c r="GF55">
        <v>1953413105</v>
      </c>
      <c r="GG55">
        <v>1</v>
      </c>
      <c r="GH55">
        <v>1</v>
      </c>
      <c r="GI55">
        <v>4</v>
      </c>
      <c r="GJ55">
        <v>0</v>
      </c>
      <c r="GK55">
        <f>ROUND(R55*(R12)/100,2)</f>
        <v>0</v>
      </c>
      <c r="GL55">
        <f t="shared" si="51"/>
        <v>0</v>
      </c>
      <c r="GM55">
        <f t="shared" si="52"/>
        <v>0</v>
      </c>
      <c r="GN55">
        <f t="shared" si="53"/>
        <v>0</v>
      </c>
      <c r="GO55">
        <f t="shared" si="54"/>
        <v>0</v>
      </c>
      <c r="GP55">
        <f t="shared" si="55"/>
        <v>0</v>
      </c>
      <c r="GR55">
        <v>0</v>
      </c>
      <c r="GS55">
        <v>3</v>
      </c>
      <c r="GT55">
        <v>0</v>
      </c>
      <c r="GU55" t="s">
        <v>3</v>
      </c>
      <c r="GV55">
        <f t="shared" si="56"/>
        <v>0</v>
      </c>
      <c r="GW55">
        <v>1</v>
      </c>
      <c r="GX55">
        <f t="shared" si="57"/>
        <v>0</v>
      </c>
      <c r="HA55">
        <v>0</v>
      </c>
      <c r="HB55">
        <v>0</v>
      </c>
      <c r="IK55">
        <v>0</v>
      </c>
    </row>
    <row r="56" spans="1:245" x14ac:dyDescent="0.2">
      <c r="A56">
        <v>18</v>
      </c>
      <c r="B56">
        <v>1</v>
      </c>
      <c r="C56">
        <v>59</v>
      </c>
      <c r="E56" t="s">
        <v>143</v>
      </c>
      <c r="F56" t="s">
        <v>115</v>
      </c>
      <c r="G56" t="s">
        <v>144</v>
      </c>
      <c r="H56" t="s">
        <v>37</v>
      </c>
      <c r="I56">
        <f>I44*J56</f>
        <v>14.000000000000002</v>
      </c>
      <c r="J56">
        <v>8.2121069920225249</v>
      </c>
      <c r="O56">
        <f t="shared" si="21"/>
        <v>0</v>
      </c>
      <c r="P56">
        <f t="shared" si="22"/>
        <v>0</v>
      </c>
      <c r="Q56">
        <f t="shared" si="23"/>
        <v>0</v>
      </c>
      <c r="R56">
        <f t="shared" si="24"/>
        <v>0</v>
      </c>
      <c r="S56">
        <f t="shared" si="25"/>
        <v>0</v>
      </c>
      <c r="T56">
        <f t="shared" si="26"/>
        <v>0</v>
      </c>
      <c r="U56">
        <f t="shared" si="27"/>
        <v>0</v>
      </c>
      <c r="V56">
        <f t="shared" si="28"/>
        <v>0</v>
      </c>
      <c r="W56">
        <f t="shared" si="29"/>
        <v>0</v>
      </c>
      <c r="X56">
        <f t="shared" si="30"/>
        <v>0</v>
      </c>
      <c r="Y56">
        <f t="shared" si="31"/>
        <v>0</v>
      </c>
      <c r="AA56">
        <v>39099382</v>
      </c>
      <c r="AB56">
        <f t="shared" si="32"/>
        <v>0</v>
      </c>
      <c r="AC56">
        <f t="shared" si="58"/>
        <v>0</v>
      </c>
      <c r="AD56">
        <f t="shared" si="59"/>
        <v>0</v>
      </c>
      <c r="AE56">
        <f t="shared" si="60"/>
        <v>0</v>
      </c>
      <c r="AF56">
        <f t="shared" si="61"/>
        <v>0</v>
      </c>
      <c r="AG56">
        <f t="shared" si="36"/>
        <v>0</v>
      </c>
      <c r="AH56">
        <f t="shared" si="62"/>
        <v>0</v>
      </c>
      <c r="AI56">
        <f t="shared" si="63"/>
        <v>0</v>
      </c>
      <c r="AJ56">
        <f t="shared" si="38"/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111</v>
      </c>
      <c r="AU56">
        <v>64</v>
      </c>
      <c r="AV56">
        <v>1</v>
      </c>
      <c r="AW56">
        <v>1</v>
      </c>
      <c r="AZ56">
        <v>6.53</v>
      </c>
      <c r="BA56">
        <v>1</v>
      </c>
      <c r="BB56">
        <v>1</v>
      </c>
      <c r="BC56">
        <v>6.53</v>
      </c>
      <c r="BD56" t="s">
        <v>3</v>
      </c>
      <c r="BE56" t="s">
        <v>3</v>
      </c>
      <c r="BF56" t="s">
        <v>3</v>
      </c>
      <c r="BG56" t="s">
        <v>3</v>
      </c>
      <c r="BH56">
        <v>3</v>
      </c>
      <c r="BI56">
        <v>1</v>
      </c>
      <c r="BJ56" t="s">
        <v>3</v>
      </c>
      <c r="BM56">
        <v>11001</v>
      </c>
      <c r="BN56">
        <v>0</v>
      </c>
      <c r="BO56" t="s">
        <v>3</v>
      </c>
      <c r="BP56">
        <v>0</v>
      </c>
      <c r="BQ56">
        <v>2</v>
      </c>
      <c r="BR56">
        <v>0</v>
      </c>
      <c r="BS56">
        <v>1</v>
      </c>
      <c r="BT56">
        <v>1</v>
      </c>
      <c r="BU56">
        <v>1</v>
      </c>
      <c r="BV56">
        <v>1</v>
      </c>
      <c r="BW56">
        <v>1</v>
      </c>
      <c r="BX56">
        <v>1</v>
      </c>
      <c r="BY56" t="s">
        <v>3</v>
      </c>
      <c r="BZ56">
        <v>123</v>
      </c>
      <c r="CA56">
        <v>75</v>
      </c>
      <c r="CF56">
        <v>0</v>
      </c>
      <c r="CG56">
        <v>0</v>
      </c>
      <c r="CM56">
        <v>0</v>
      </c>
      <c r="CN56" t="s">
        <v>3</v>
      </c>
      <c r="CO56">
        <v>0</v>
      </c>
      <c r="CP56">
        <f t="shared" si="39"/>
        <v>0</v>
      </c>
      <c r="CQ56">
        <f t="shared" si="40"/>
        <v>0</v>
      </c>
      <c r="CR56">
        <f t="shared" si="41"/>
        <v>0</v>
      </c>
      <c r="CS56">
        <f t="shared" si="42"/>
        <v>0</v>
      </c>
      <c r="CT56">
        <f t="shared" si="43"/>
        <v>0</v>
      </c>
      <c r="CU56">
        <f t="shared" si="44"/>
        <v>0</v>
      </c>
      <c r="CV56">
        <f t="shared" si="45"/>
        <v>0</v>
      </c>
      <c r="CW56">
        <f t="shared" si="46"/>
        <v>0</v>
      </c>
      <c r="CX56">
        <f t="shared" si="47"/>
        <v>0</v>
      </c>
      <c r="CY56">
        <f t="shared" si="48"/>
        <v>0</v>
      </c>
      <c r="CZ56">
        <f t="shared" si="49"/>
        <v>0</v>
      </c>
      <c r="DC56" t="s">
        <v>3</v>
      </c>
      <c r="DD56" t="s">
        <v>3</v>
      </c>
      <c r="DE56" t="s">
        <v>3</v>
      </c>
      <c r="DF56" t="s">
        <v>3</v>
      </c>
      <c r="DG56" t="s">
        <v>3</v>
      </c>
      <c r="DH56" t="s">
        <v>3</v>
      </c>
      <c r="DI56" t="s">
        <v>3</v>
      </c>
      <c r="DJ56" t="s">
        <v>3</v>
      </c>
      <c r="DK56" t="s">
        <v>3</v>
      </c>
      <c r="DL56" t="s">
        <v>3</v>
      </c>
      <c r="DM56" t="s">
        <v>3</v>
      </c>
      <c r="DN56">
        <v>0</v>
      </c>
      <c r="DO56">
        <v>0</v>
      </c>
      <c r="DP56">
        <v>1</v>
      </c>
      <c r="DQ56">
        <v>1</v>
      </c>
      <c r="DU56">
        <v>1010</v>
      </c>
      <c r="DV56" t="s">
        <v>37</v>
      </c>
      <c r="DW56" t="s">
        <v>37</v>
      </c>
      <c r="DX56">
        <v>1</v>
      </c>
      <c r="EE56">
        <v>39174504</v>
      </c>
      <c r="EF56">
        <v>2</v>
      </c>
      <c r="EG56" t="s">
        <v>43</v>
      </c>
      <c r="EH56">
        <v>0</v>
      </c>
      <c r="EI56" t="s">
        <v>3</v>
      </c>
      <c r="EJ56">
        <v>1</v>
      </c>
      <c r="EK56">
        <v>11001</v>
      </c>
      <c r="EL56" t="s">
        <v>20</v>
      </c>
      <c r="EM56" t="s">
        <v>67</v>
      </c>
      <c r="EO56" t="s">
        <v>3</v>
      </c>
      <c r="EQ56">
        <v>0</v>
      </c>
      <c r="ER56">
        <v>0</v>
      </c>
      <c r="ES56">
        <v>0</v>
      </c>
      <c r="ET56">
        <v>0</v>
      </c>
      <c r="EU56">
        <v>0</v>
      </c>
      <c r="EV56">
        <v>0</v>
      </c>
      <c r="EW56">
        <v>0</v>
      </c>
      <c r="EX56">
        <v>0</v>
      </c>
      <c r="FQ56">
        <v>0</v>
      </c>
      <c r="FR56">
        <f t="shared" si="50"/>
        <v>0</v>
      </c>
      <c r="FS56">
        <v>0</v>
      </c>
      <c r="FT56" t="s">
        <v>46</v>
      </c>
      <c r="FU56" t="s">
        <v>47</v>
      </c>
      <c r="FX56">
        <v>110.7</v>
      </c>
      <c r="FY56">
        <v>63.75</v>
      </c>
      <c r="GA56" t="s">
        <v>3</v>
      </c>
      <c r="GD56">
        <v>0</v>
      </c>
      <c r="GF56">
        <v>-333106949</v>
      </c>
      <c r="GG56">
        <v>1</v>
      </c>
      <c r="GH56">
        <v>1</v>
      </c>
      <c r="GI56">
        <v>4</v>
      </c>
      <c r="GJ56">
        <v>0</v>
      </c>
      <c r="GK56">
        <f>ROUND(R56*(R12)/100,2)</f>
        <v>0</v>
      </c>
      <c r="GL56">
        <f t="shared" si="51"/>
        <v>0</v>
      </c>
      <c r="GM56">
        <f t="shared" si="52"/>
        <v>0</v>
      </c>
      <c r="GN56">
        <f t="shared" si="53"/>
        <v>0</v>
      </c>
      <c r="GO56">
        <f t="shared" si="54"/>
        <v>0</v>
      </c>
      <c r="GP56">
        <f t="shared" si="55"/>
        <v>0</v>
      </c>
      <c r="GR56">
        <v>0</v>
      </c>
      <c r="GS56">
        <v>3</v>
      </c>
      <c r="GT56">
        <v>0</v>
      </c>
      <c r="GU56" t="s">
        <v>3</v>
      </c>
      <c r="GV56">
        <f t="shared" si="56"/>
        <v>0</v>
      </c>
      <c r="GW56">
        <v>1</v>
      </c>
      <c r="GX56">
        <f t="shared" si="57"/>
        <v>0</v>
      </c>
      <c r="HA56">
        <v>0</v>
      </c>
      <c r="HB56">
        <v>0</v>
      </c>
      <c r="IK56">
        <v>0</v>
      </c>
    </row>
    <row r="57" spans="1:245" x14ac:dyDescent="0.2">
      <c r="A57">
        <v>17</v>
      </c>
      <c r="B57">
        <v>1</v>
      </c>
      <c r="C57">
        <f>ROW(SmtRes!A70)</f>
        <v>70</v>
      </c>
      <c r="D57">
        <f>ROW(EtalonRes!A64)</f>
        <v>64</v>
      </c>
      <c r="E57" t="s">
        <v>145</v>
      </c>
      <c r="F57" t="s">
        <v>146</v>
      </c>
      <c r="G57" t="s">
        <v>147</v>
      </c>
      <c r="H57" t="s">
        <v>17</v>
      </c>
      <c r="I57">
        <f>ROUND(7.2/100,9)</f>
        <v>7.1999999999999995E-2</v>
      </c>
      <c r="J57">
        <v>0</v>
      </c>
      <c r="O57">
        <f t="shared" si="21"/>
        <v>106.18</v>
      </c>
      <c r="P57">
        <f t="shared" si="22"/>
        <v>37.799999999999997</v>
      </c>
      <c r="Q57">
        <f t="shared" si="23"/>
        <v>0</v>
      </c>
      <c r="R57">
        <f t="shared" si="24"/>
        <v>0</v>
      </c>
      <c r="S57">
        <f t="shared" si="25"/>
        <v>68.38</v>
      </c>
      <c r="T57">
        <f t="shared" si="26"/>
        <v>0</v>
      </c>
      <c r="U57">
        <f t="shared" si="27"/>
        <v>1.19808</v>
      </c>
      <c r="V57">
        <f t="shared" si="28"/>
        <v>0</v>
      </c>
      <c r="W57">
        <f t="shared" si="29"/>
        <v>0</v>
      </c>
      <c r="X57">
        <f t="shared" si="30"/>
        <v>75.900000000000006</v>
      </c>
      <c r="Y57">
        <f t="shared" si="31"/>
        <v>43.76</v>
      </c>
      <c r="AA57">
        <v>39099382</v>
      </c>
      <c r="AB57">
        <f t="shared" si="32"/>
        <v>225.83</v>
      </c>
      <c r="AC57">
        <f t="shared" si="58"/>
        <v>80.400000000000006</v>
      </c>
      <c r="AD57">
        <f t="shared" si="59"/>
        <v>0</v>
      </c>
      <c r="AE57">
        <f t="shared" si="60"/>
        <v>0</v>
      </c>
      <c r="AF57">
        <f t="shared" si="61"/>
        <v>145.43</v>
      </c>
      <c r="AG57">
        <f t="shared" si="36"/>
        <v>0</v>
      </c>
      <c r="AH57">
        <f t="shared" si="62"/>
        <v>16.64</v>
      </c>
      <c r="AI57">
        <f t="shared" si="63"/>
        <v>0</v>
      </c>
      <c r="AJ57">
        <f t="shared" si="38"/>
        <v>0</v>
      </c>
      <c r="AK57">
        <v>225.83</v>
      </c>
      <c r="AL57">
        <v>80.400000000000006</v>
      </c>
      <c r="AM57">
        <v>0</v>
      </c>
      <c r="AN57">
        <v>0</v>
      </c>
      <c r="AO57">
        <v>145.43</v>
      </c>
      <c r="AP57">
        <v>0</v>
      </c>
      <c r="AQ57">
        <v>16.64</v>
      </c>
      <c r="AR57">
        <v>0</v>
      </c>
      <c r="AS57">
        <v>0</v>
      </c>
      <c r="AT57">
        <v>111</v>
      </c>
      <c r="AU57">
        <v>64</v>
      </c>
      <c r="AV57">
        <v>1</v>
      </c>
      <c r="AW57">
        <v>1</v>
      </c>
      <c r="AZ57">
        <v>6.53</v>
      </c>
      <c r="BA57">
        <v>6.53</v>
      </c>
      <c r="BB57">
        <v>6.53</v>
      </c>
      <c r="BC57">
        <v>6.53</v>
      </c>
      <c r="BD57" t="s">
        <v>3</v>
      </c>
      <c r="BE57" t="s">
        <v>3</v>
      </c>
      <c r="BF57" t="s">
        <v>3</v>
      </c>
      <c r="BG57" t="s">
        <v>3</v>
      </c>
      <c r="BH57">
        <v>0</v>
      </c>
      <c r="BI57">
        <v>1</v>
      </c>
      <c r="BJ57" t="s">
        <v>148</v>
      </c>
      <c r="BM57">
        <v>11001</v>
      </c>
      <c r="BN57">
        <v>0</v>
      </c>
      <c r="BO57" t="s">
        <v>3</v>
      </c>
      <c r="BP57">
        <v>0</v>
      </c>
      <c r="BQ57">
        <v>2</v>
      </c>
      <c r="BR57">
        <v>0</v>
      </c>
      <c r="BS57">
        <v>6.53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3</v>
      </c>
      <c r="BZ57">
        <v>123</v>
      </c>
      <c r="CA57">
        <v>75</v>
      </c>
      <c r="CF57">
        <v>0</v>
      </c>
      <c r="CG57">
        <v>0</v>
      </c>
      <c r="CM57">
        <v>0</v>
      </c>
      <c r="CN57" t="s">
        <v>3</v>
      </c>
      <c r="CO57">
        <v>0</v>
      </c>
      <c r="CP57">
        <f t="shared" si="39"/>
        <v>106.17999999999999</v>
      </c>
      <c r="CQ57">
        <f t="shared" si="40"/>
        <v>525.01200000000006</v>
      </c>
      <c r="CR57">
        <f t="shared" si="41"/>
        <v>0</v>
      </c>
      <c r="CS57">
        <f t="shared" si="42"/>
        <v>0</v>
      </c>
      <c r="CT57">
        <f t="shared" si="43"/>
        <v>949.65790000000004</v>
      </c>
      <c r="CU57">
        <f t="shared" si="44"/>
        <v>0</v>
      </c>
      <c r="CV57">
        <f t="shared" si="45"/>
        <v>16.64</v>
      </c>
      <c r="CW57">
        <f t="shared" si="46"/>
        <v>0</v>
      </c>
      <c r="CX57">
        <f t="shared" si="47"/>
        <v>0</v>
      </c>
      <c r="CY57">
        <f t="shared" si="48"/>
        <v>75.901799999999994</v>
      </c>
      <c r="CZ57">
        <f t="shared" si="49"/>
        <v>43.763199999999998</v>
      </c>
      <c r="DC57" t="s">
        <v>3</v>
      </c>
      <c r="DD57" t="s">
        <v>3</v>
      </c>
      <c r="DE57" t="s">
        <v>3</v>
      </c>
      <c r="DF57" t="s">
        <v>3</v>
      </c>
      <c r="DG57" t="s">
        <v>3</v>
      </c>
      <c r="DH57" t="s">
        <v>3</v>
      </c>
      <c r="DI57" t="s">
        <v>3</v>
      </c>
      <c r="DJ57" t="s">
        <v>3</v>
      </c>
      <c r="DK57" t="s">
        <v>3</v>
      </c>
      <c r="DL57" t="s">
        <v>3</v>
      </c>
      <c r="DM57" t="s">
        <v>3</v>
      </c>
      <c r="DN57">
        <v>0</v>
      </c>
      <c r="DO57">
        <v>0</v>
      </c>
      <c r="DP57">
        <v>1</v>
      </c>
      <c r="DQ57">
        <v>1</v>
      </c>
      <c r="DU57">
        <v>1003</v>
      </c>
      <c r="DV57" t="s">
        <v>17</v>
      </c>
      <c r="DW57" t="s">
        <v>17</v>
      </c>
      <c r="DX57">
        <v>100</v>
      </c>
      <c r="EE57">
        <v>39174504</v>
      </c>
      <c r="EF57">
        <v>2</v>
      </c>
      <c r="EG57" t="s">
        <v>43</v>
      </c>
      <c r="EH57">
        <v>0</v>
      </c>
      <c r="EI57" t="s">
        <v>3</v>
      </c>
      <c r="EJ57">
        <v>1</v>
      </c>
      <c r="EK57">
        <v>11001</v>
      </c>
      <c r="EL57" t="s">
        <v>20</v>
      </c>
      <c r="EM57" t="s">
        <v>67</v>
      </c>
      <c r="EO57" t="s">
        <v>3</v>
      </c>
      <c r="EQ57">
        <v>0</v>
      </c>
      <c r="ER57">
        <v>225.83</v>
      </c>
      <c r="ES57">
        <v>80.400000000000006</v>
      </c>
      <c r="ET57">
        <v>0</v>
      </c>
      <c r="EU57">
        <v>0</v>
      </c>
      <c r="EV57">
        <v>145.43</v>
      </c>
      <c r="EW57">
        <v>16.64</v>
      </c>
      <c r="EX57">
        <v>0</v>
      </c>
      <c r="EY57">
        <v>0</v>
      </c>
      <c r="FQ57">
        <v>0</v>
      </c>
      <c r="FR57">
        <f t="shared" si="50"/>
        <v>0</v>
      </c>
      <c r="FS57">
        <v>0</v>
      </c>
      <c r="FT57" t="s">
        <v>46</v>
      </c>
      <c r="FU57" t="s">
        <v>47</v>
      </c>
      <c r="FX57">
        <v>110.7</v>
      </c>
      <c r="FY57">
        <v>63.75</v>
      </c>
      <c r="GA57" t="s">
        <v>3</v>
      </c>
      <c r="GD57">
        <v>0</v>
      </c>
      <c r="GF57">
        <v>30217037</v>
      </c>
      <c r="GG57">
        <v>1</v>
      </c>
      <c r="GH57">
        <v>1</v>
      </c>
      <c r="GI57">
        <v>4</v>
      </c>
      <c r="GJ57">
        <v>0</v>
      </c>
      <c r="GK57">
        <f>ROUND(R57*(R12)/100,2)</f>
        <v>0</v>
      </c>
      <c r="GL57">
        <f t="shared" si="51"/>
        <v>0</v>
      </c>
      <c r="GM57">
        <f t="shared" si="52"/>
        <v>225.84</v>
      </c>
      <c r="GN57">
        <f t="shared" si="53"/>
        <v>225.84</v>
      </c>
      <c r="GO57">
        <f t="shared" si="54"/>
        <v>0</v>
      </c>
      <c r="GP57">
        <f t="shared" si="55"/>
        <v>0</v>
      </c>
      <c r="GR57">
        <v>0</v>
      </c>
      <c r="GS57">
        <v>0</v>
      </c>
      <c r="GT57">
        <v>0</v>
      </c>
      <c r="GU57" t="s">
        <v>3</v>
      </c>
      <c r="GV57">
        <f t="shared" si="56"/>
        <v>0</v>
      </c>
      <c r="GW57">
        <v>1</v>
      </c>
      <c r="GX57">
        <f t="shared" si="57"/>
        <v>0</v>
      </c>
      <c r="HA57">
        <v>0</v>
      </c>
      <c r="HB57">
        <v>0</v>
      </c>
      <c r="IK57">
        <v>0</v>
      </c>
    </row>
    <row r="58" spans="1:245" x14ac:dyDescent="0.2">
      <c r="A58">
        <v>18</v>
      </c>
      <c r="B58">
        <v>1</v>
      </c>
      <c r="C58">
        <v>70</v>
      </c>
      <c r="E58" t="s">
        <v>149</v>
      </c>
      <c r="F58" t="s">
        <v>150</v>
      </c>
      <c r="G58" t="s">
        <v>151</v>
      </c>
      <c r="H58" t="s">
        <v>37</v>
      </c>
      <c r="I58">
        <f>I57*J58</f>
        <v>1</v>
      </c>
      <c r="J58">
        <v>13.888888888888889</v>
      </c>
      <c r="O58">
        <f t="shared" si="21"/>
        <v>204.26</v>
      </c>
      <c r="P58">
        <f t="shared" si="22"/>
        <v>204.26</v>
      </c>
      <c r="Q58">
        <f t="shared" si="23"/>
        <v>0</v>
      </c>
      <c r="R58">
        <f t="shared" si="24"/>
        <v>0</v>
      </c>
      <c r="S58">
        <f t="shared" si="25"/>
        <v>0</v>
      </c>
      <c r="T58">
        <f t="shared" si="26"/>
        <v>0</v>
      </c>
      <c r="U58">
        <f t="shared" si="27"/>
        <v>0</v>
      </c>
      <c r="V58">
        <f t="shared" si="28"/>
        <v>0</v>
      </c>
      <c r="W58">
        <f t="shared" si="29"/>
        <v>0</v>
      </c>
      <c r="X58">
        <f t="shared" si="30"/>
        <v>0</v>
      </c>
      <c r="Y58">
        <f t="shared" si="31"/>
        <v>0</v>
      </c>
      <c r="AA58">
        <v>39099382</v>
      </c>
      <c r="AB58">
        <f t="shared" si="32"/>
        <v>31.28</v>
      </c>
      <c r="AC58">
        <f t="shared" si="58"/>
        <v>31.28</v>
      </c>
      <c r="AD58">
        <f t="shared" si="59"/>
        <v>0</v>
      </c>
      <c r="AE58">
        <f t="shared" si="60"/>
        <v>0</v>
      </c>
      <c r="AF58">
        <f t="shared" si="61"/>
        <v>0</v>
      </c>
      <c r="AG58">
        <f t="shared" si="36"/>
        <v>0</v>
      </c>
      <c r="AH58">
        <f t="shared" si="62"/>
        <v>0</v>
      </c>
      <c r="AI58">
        <f t="shared" si="63"/>
        <v>0</v>
      </c>
      <c r="AJ58">
        <f t="shared" si="38"/>
        <v>0</v>
      </c>
      <c r="AK58">
        <v>31.28</v>
      </c>
      <c r="AL58">
        <v>31.28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111</v>
      </c>
      <c r="AU58">
        <v>64</v>
      </c>
      <c r="AV58">
        <v>1</v>
      </c>
      <c r="AW58">
        <v>1</v>
      </c>
      <c r="AZ58">
        <v>6.53</v>
      </c>
      <c r="BA58">
        <v>1</v>
      </c>
      <c r="BB58">
        <v>1</v>
      </c>
      <c r="BC58">
        <v>6.53</v>
      </c>
      <c r="BD58" t="s">
        <v>3</v>
      </c>
      <c r="BE58" t="s">
        <v>3</v>
      </c>
      <c r="BF58" t="s">
        <v>3</v>
      </c>
      <c r="BG58" t="s">
        <v>3</v>
      </c>
      <c r="BH58">
        <v>3</v>
      </c>
      <c r="BI58">
        <v>1</v>
      </c>
      <c r="BJ58" t="s">
        <v>152</v>
      </c>
      <c r="BM58">
        <v>11001</v>
      </c>
      <c r="BN58">
        <v>0</v>
      </c>
      <c r="BO58" t="s">
        <v>3</v>
      </c>
      <c r="BP58">
        <v>0</v>
      </c>
      <c r="BQ58">
        <v>2</v>
      </c>
      <c r="BR58">
        <v>0</v>
      </c>
      <c r="BS58">
        <v>1</v>
      </c>
      <c r="BT58">
        <v>1</v>
      </c>
      <c r="BU58">
        <v>1</v>
      </c>
      <c r="BV58">
        <v>1</v>
      </c>
      <c r="BW58">
        <v>1</v>
      </c>
      <c r="BX58">
        <v>1</v>
      </c>
      <c r="BY58" t="s">
        <v>3</v>
      </c>
      <c r="BZ58">
        <v>123</v>
      </c>
      <c r="CA58">
        <v>75</v>
      </c>
      <c r="CF58">
        <v>0</v>
      </c>
      <c r="CG58">
        <v>0</v>
      </c>
      <c r="CM58">
        <v>0</v>
      </c>
      <c r="CN58" t="s">
        <v>3</v>
      </c>
      <c r="CO58">
        <v>0</v>
      </c>
      <c r="CP58">
        <f t="shared" si="39"/>
        <v>204.26</v>
      </c>
      <c r="CQ58">
        <f t="shared" si="40"/>
        <v>204.25840000000002</v>
      </c>
      <c r="CR58">
        <f t="shared" si="41"/>
        <v>0</v>
      </c>
      <c r="CS58">
        <f t="shared" si="42"/>
        <v>0</v>
      </c>
      <c r="CT58">
        <f t="shared" si="43"/>
        <v>0</v>
      </c>
      <c r="CU58">
        <f t="shared" si="44"/>
        <v>0</v>
      </c>
      <c r="CV58">
        <f t="shared" si="45"/>
        <v>0</v>
      </c>
      <c r="CW58">
        <f t="shared" si="46"/>
        <v>0</v>
      </c>
      <c r="CX58">
        <f t="shared" si="47"/>
        <v>0</v>
      </c>
      <c r="CY58">
        <f t="shared" si="48"/>
        <v>0</v>
      </c>
      <c r="CZ58">
        <f t="shared" si="49"/>
        <v>0</v>
      </c>
      <c r="DC58" t="s">
        <v>3</v>
      </c>
      <c r="DD58" t="s">
        <v>3</v>
      </c>
      <c r="DE58" t="s">
        <v>3</v>
      </c>
      <c r="DF58" t="s">
        <v>3</v>
      </c>
      <c r="DG58" t="s">
        <v>3</v>
      </c>
      <c r="DH58" t="s">
        <v>3</v>
      </c>
      <c r="DI58" t="s">
        <v>3</v>
      </c>
      <c r="DJ58" t="s">
        <v>3</v>
      </c>
      <c r="DK58" t="s">
        <v>3</v>
      </c>
      <c r="DL58" t="s">
        <v>3</v>
      </c>
      <c r="DM58" t="s">
        <v>3</v>
      </c>
      <c r="DN58">
        <v>0</v>
      </c>
      <c r="DO58">
        <v>0</v>
      </c>
      <c r="DP58">
        <v>1</v>
      </c>
      <c r="DQ58">
        <v>1</v>
      </c>
      <c r="DU58">
        <v>1010</v>
      </c>
      <c r="DV58" t="s">
        <v>37</v>
      </c>
      <c r="DW58" t="s">
        <v>37</v>
      </c>
      <c r="DX58">
        <v>1</v>
      </c>
      <c r="EE58">
        <v>39174504</v>
      </c>
      <c r="EF58">
        <v>2</v>
      </c>
      <c r="EG58" t="s">
        <v>43</v>
      </c>
      <c r="EH58">
        <v>0</v>
      </c>
      <c r="EI58" t="s">
        <v>3</v>
      </c>
      <c r="EJ58">
        <v>1</v>
      </c>
      <c r="EK58">
        <v>11001</v>
      </c>
      <c r="EL58" t="s">
        <v>20</v>
      </c>
      <c r="EM58" t="s">
        <v>67</v>
      </c>
      <c r="EO58" t="s">
        <v>3</v>
      </c>
      <c r="EQ58">
        <v>0</v>
      </c>
      <c r="ER58">
        <v>31.28</v>
      </c>
      <c r="ES58">
        <v>31.28</v>
      </c>
      <c r="ET58">
        <v>0</v>
      </c>
      <c r="EU58">
        <v>0</v>
      </c>
      <c r="EV58">
        <v>0</v>
      </c>
      <c r="EW58">
        <v>0</v>
      </c>
      <c r="EX58">
        <v>0</v>
      </c>
      <c r="FQ58">
        <v>0</v>
      </c>
      <c r="FR58">
        <f t="shared" si="50"/>
        <v>0</v>
      </c>
      <c r="FS58">
        <v>0</v>
      </c>
      <c r="FT58" t="s">
        <v>46</v>
      </c>
      <c r="FU58" t="s">
        <v>47</v>
      </c>
      <c r="FX58">
        <v>110.7</v>
      </c>
      <c r="FY58">
        <v>63.75</v>
      </c>
      <c r="GA58" t="s">
        <v>3</v>
      </c>
      <c r="GD58">
        <v>0</v>
      </c>
      <c r="GF58">
        <v>577992781</v>
      </c>
      <c r="GG58">
        <v>1</v>
      </c>
      <c r="GH58">
        <v>1</v>
      </c>
      <c r="GI58">
        <v>4</v>
      </c>
      <c r="GJ58">
        <v>0</v>
      </c>
      <c r="GK58">
        <f>ROUND(R58*(R12)/100,2)</f>
        <v>0</v>
      </c>
      <c r="GL58">
        <f t="shared" si="51"/>
        <v>0</v>
      </c>
      <c r="GM58">
        <f t="shared" si="52"/>
        <v>204.26</v>
      </c>
      <c r="GN58">
        <f t="shared" si="53"/>
        <v>204.26</v>
      </c>
      <c r="GO58">
        <f t="shared" si="54"/>
        <v>0</v>
      </c>
      <c r="GP58">
        <f t="shared" si="55"/>
        <v>0</v>
      </c>
      <c r="GR58">
        <v>0</v>
      </c>
      <c r="GS58">
        <v>0</v>
      </c>
      <c r="GT58">
        <v>0</v>
      </c>
      <c r="GU58" t="s">
        <v>3</v>
      </c>
      <c r="GV58">
        <f t="shared" si="56"/>
        <v>0</v>
      </c>
      <c r="GW58">
        <v>1</v>
      </c>
      <c r="GX58">
        <f t="shared" si="57"/>
        <v>0</v>
      </c>
      <c r="HA58">
        <v>0</v>
      </c>
      <c r="HB58">
        <v>0</v>
      </c>
      <c r="IK58">
        <v>0</v>
      </c>
    </row>
    <row r="59" spans="1:245" x14ac:dyDescent="0.2">
      <c r="A59">
        <v>18</v>
      </c>
      <c r="B59">
        <v>1</v>
      </c>
      <c r="C59">
        <v>69</v>
      </c>
      <c r="E59" t="s">
        <v>153</v>
      </c>
      <c r="F59" t="s">
        <v>154</v>
      </c>
      <c r="G59" t="s">
        <v>155</v>
      </c>
      <c r="H59" t="s">
        <v>37</v>
      </c>
      <c r="I59">
        <f>I57*J59</f>
        <v>6</v>
      </c>
      <c r="J59">
        <v>83.333333333333343</v>
      </c>
      <c r="O59">
        <f t="shared" si="21"/>
        <v>590.44000000000005</v>
      </c>
      <c r="P59">
        <f t="shared" si="22"/>
        <v>590.44000000000005</v>
      </c>
      <c r="Q59">
        <f t="shared" si="23"/>
        <v>0</v>
      </c>
      <c r="R59">
        <f t="shared" si="24"/>
        <v>0</v>
      </c>
      <c r="S59">
        <f t="shared" si="25"/>
        <v>0</v>
      </c>
      <c r="T59">
        <f t="shared" si="26"/>
        <v>0</v>
      </c>
      <c r="U59">
        <f t="shared" si="27"/>
        <v>0</v>
      </c>
      <c r="V59">
        <f t="shared" si="28"/>
        <v>0</v>
      </c>
      <c r="W59">
        <f t="shared" si="29"/>
        <v>0</v>
      </c>
      <c r="X59">
        <f t="shared" si="30"/>
        <v>0</v>
      </c>
      <c r="Y59">
        <f t="shared" si="31"/>
        <v>0</v>
      </c>
      <c r="AA59">
        <v>39099382</v>
      </c>
      <c r="AB59">
        <f t="shared" si="32"/>
        <v>15.07</v>
      </c>
      <c r="AC59">
        <f t="shared" si="58"/>
        <v>15.07</v>
      </c>
      <c r="AD59">
        <f t="shared" si="59"/>
        <v>0</v>
      </c>
      <c r="AE59">
        <f t="shared" si="60"/>
        <v>0</v>
      </c>
      <c r="AF59">
        <f t="shared" si="61"/>
        <v>0</v>
      </c>
      <c r="AG59">
        <f t="shared" si="36"/>
        <v>0</v>
      </c>
      <c r="AH59">
        <f t="shared" si="62"/>
        <v>0</v>
      </c>
      <c r="AI59">
        <f t="shared" si="63"/>
        <v>0</v>
      </c>
      <c r="AJ59">
        <f t="shared" si="38"/>
        <v>0</v>
      </c>
      <c r="AK59">
        <v>15.07</v>
      </c>
      <c r="AL59">
        <v>15.07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111</v>
      </c>
      <c r="AU59">
        <v>64</v>
      </c>
      <c r="AV59">
        <v>1</v>
      </c>
      <c r="AW59">
        <v>1</v>
      </c>
      <c r="AZ59">
        <v>6.53</v>
      </c>
      <c r="BA59">
        <v>1</v>
      </c>
      <c r="BB59">
        <v>1</v>
      </c>
      <c r="BC59">
        <v>6.53</v>
      </c>
      <c r="BD59" t="s">
        <v>3</v>
      </c>
      <c r="BE59" t="s">
        <v>3</v>
      </c>
      <c r="BF59" t="s">
        <v>3</v>
      </c>
      <c r="BG59" t="s">
        <v>3</v>
      </c>
      <c r="BH59">
        <v>3</v>
      </c>
      <c r="BI59">
        <v>1</v>
      </c>
      <c r="BJ59" t="s">
        <v>156</v>
      </c>
      <c r="BM59">
        <v>11001</v>
      </c>
      <c r="BN59">
        <v>0</v>
      </c>
      <c r="BO59" t="s">
        <v>3</v>
      </c>
      <c r="BP59">
        <v>0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3</v>
      </c>
      <c r="BZ59">
        <v>123</v>
      </c>
      <c r="CA59">
        <v>75</v>
      </c>
      <c r="CF59">
        <v>0</v>
      </c>
      <c r="CG59">
        <v>0</v>
      </c>
      <c r="CM59">
        <v>0</v>
      </c>
      <c r="CN59" t="s">
        <v>3</v>
      </c>
      <c r="CO59">
        <v>0</v>
      </c>
      <c r="CP59">
        <f t="shared" si="39"/>
        <v>590.44000000000005</v>
      </c>
      <c r="CQ59">
        <f t="shared" si="40"/>
        <v>98.4071</v>
      </c>
      <c r="CR59">
        <f t="shared" si="41"/>
        <v>0</v>
      </c>
      <c r="CS59">
        <f t="shared" si="42"/>
        <v>0</v>
      </c>
      <c r="CT59">
        <f t="shared" si="43"/>
        <v>0</v>
      </c>
      <c r="CU59">
        <f t="shared" si="44"/>
        <v>0</v>
      </c>
      <c r="CV59">
        <f t="shared" si="45"/>
        <v>0</v>
      </c>
      <c r="CW59">
        <f t="shared" si="46"/>
        <v>0</v>
      </c>
      <c r="CX59">
        <f t="shared" si="47"/>
        <v>0</v>
      </c>
      <c r="CY59">
        <f t="shared" si="48"/>
        <v>0</v>
      </c>
      <c r="CZ59">
        <f t="shared" si="49"/>
        <v>0</v>
      </c>
      <c r="DC59" t="s">
        <v>3</v>
      </c>
      <c r="DD59" t="s">
        <v>3</v>
      </c>
      <c r="DE59" t="s">
        <v>3</v>
      </c>
      <c r="DF59" t="s">
        <v>3</v>
      </c>
      <c r="DG59" t="s">
        <v>3</v>
      </c>
      <c r="DH59" t="s">
        <v>3</v>
      </c>
      <c r="DI59" t="s">
        <v>3</v>
      </c>
      <c r="DJ59" t="s">
        <v>3</v>
      </c>
      <c r="DK59" t="s">
        <v>3</v>
      </c>
      <c r="DL59" t="s">
        <v>3</v>
      </c>
      <c r="DM59" t="s">
        <v>3</v>
      </c>
      <c r="DN59">
        <v>0</v>
      </c>
      <c r="DO59">
        <v>0</v>
      </c>
      <c r="DP59">
        <v>1</v>
      </c>
      <c r="DQ59">
        <v>1</v>
      </c>
      <c r="DU59">
        <v>1010</v>
      </c>
      <c r="DV59" t="s">
        <v>37</v>
      </c>
      <c r="DW59" t="s">
        <v>37</v>
      </c>
      <c r="DX59">
        <v>1</v>
      </c>
      <c r="EE59">
        <v>39174504</v>
      </c>
      <c r="EF59">
        <v>2</v>
      </c>
      <c r="EG59" t="s">
        <v>43</v>
      </c>
      <c r="EH59">
        <v>0</v>
      </c>
      <c r="EI59" t="s">
        <v>3</v>
      </c>
      <c r="EJ59">
        <v>1</v>
      </c>
      <c r="EK59">
        <v>11001</v>
      </c>
      <c r="EL59" t="s">
        <v>20</v>
      </c>
      <c r="EM59" t="s">
        <v>67</v>
      </c>
      <c r="EO59" t="s">
        <v>3</v>
      </c>
      <c r="EQ59">
        <v>0</v>
      </c>
      <c r="ER59">
        <v>15.07</v>
      </c>
      <c r="ES59">
        <v>15.07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50"/>
        <v>0</v>
      </c>
      <c r="FS59">
        <v>0</v>
      </c>
      <c r="FT59" t="s">
        <v>46</v>
      </c>
      <c r="FU59" t="s">
        <v>47</v>
      </c>
      <c r="FX59">
        <v>110.7</v>
      </c>
      <c r="FY59">
        <v>63.75</v>
      </c>
      <c r="GA59" t="s">
        <v>3</v>
      </c>
      <c r="GD59">
        <v>0</v>
      </c>
      <c r="GF59">
        <v>-1858633972</v>
      </c>
      <c r="GG59">
        <v>1</v>
      </c>
      <c r="GH59">
        <v>1</v>
      </c>
      <c r="GI59">
        <v>4</v>
      </c>
      <c r="GJ59">
        <v>0</v>
      </c>
      <c r="GK59">
        <f>ROUND(R59*(R12)/100,2)</f>
        <v>0</v>
      </c>
      <c r="GL59">
        <f t="shared" si="51"/>
        <v>0</v>
      </c>
      <c r="GM59">
        <f t="shared" si="52"/>
        <v>590.44000000000005</v>
      </c>
      <c r="GN59">
        <f t="shared" si="53"/>
        <v>590.44000000000005</v>
      </c>
      <c r="GO59">
        <f t="shared" si="54"/>
        <v>0</v>
      </c>
      <c r="GP59">
        <f t="shared" si="55"/>
        <v>0</v>
      </c>
      <c r="GR59">
        <v>0</v>
      </c>
      <c r="GS59">
        <v>0</v>
      </c>
      <c r="GT59">
        <v>0</v>
      </c>
      <c r="GU59" t="s">
        <v>3</v>
      </c>
      <c r="GV59">
        <f t="shared" si="56"/>
        <v>0</v>
      </c>
      <c r="GW59">
        <v>1</v>
      </c>
      <c r="GX59">
        <f t="shared" si="57"/>
        <v>0</v>
      </c>
      <c r="HA59">
        <v>0</v>
      </c>
      <c r="HB59">
        <v>0</v>
      </c>
      <c r="IK59">
        <v>0</v>
      </c>
    </row>
    <row r="60" spans="1:245" x14ac:dyDescent="0.2">
      <c r="A60">
        <v>18</v>
      </c>
      <c r="B60">
        <v>1</v>
      </c>
      <c r="C60">
        <v>68</v>
      </c>
      <c r="E60" t="s">
        <v>157</v>
      </c>
      <c r="F60" t="s">
        <v>158</v>
      </c>
      <c r="G60" t="s">
        <v>159</v>
      </c>
      <c r="H60" t="s">
        <v>109</v>
      </c>
      <c r="I60">
        <f>I57*J60</f>
        <v>7.56</v>
      </c>
      <c r="J60">
        <v>105</v>
      </c>
      <c r="O60">
        <f t="shared" ref="O60:O79" si="64">ROUND(CP60,2)</f>
        <v>0</v>
      </c>
      <c r="P60">
        <f t="shared" ref="P60:P79" si="65">ROUND(CQ60*I60,2)</f>
        <v>0</v>
      </c>
      <c r="Q60">
        <f t="shared" ref="Q60:Q79" si="66">ROUND(CR60*I60,2)</f>
        <v>0</v>
      </c>
      <c r="R60">
        <f t="shared" ref="R60:R79" si="67">ROUND(CS60*I60,2)</f>
        <v>0</v>
      </c>
      <c r="S60">
        <f t="shared" ref="S60:S79" si="68">ROUND(CT60*I60,2)</f>
        <v>0</v>
      </c>
      <c r="T60">
        <f t="shared" ref="T60:T79" si="69">ROUND(CU60*I60,2)</f>
        <v>0</v>
      </c>
      <c r="U60">
        <f t="shared" ref="U60:U79" si="70">CV60*I60</f>
        <v>0</v>
      </c>
      <c r="V60">
        <f t="shared" ref="V60:V79" si="71">CW60*I60</f>
        <v>0</v>
      </c>
      <c r="W60">
        <f t="shared" ref="W60:W79" si="72">ROUND(CX60*I60,2)</f>
        <v>0</v>
      </c>
      <c r="X60">
        <f t="shared" ref="X60:X79" si="73">ROUND(CY60,2)</f>
        <v>0</v>
      </c>
      <c r="Y60">
        <f t="shared" ref="Y60:Y79" si="74">ROUND(CZ60,2)</f>
        <v>0</v>
      </c>
      <c r="AA60">
        <v>39099382</v>
      </c>
      <c r="AB60">
        <f t="shared" ref="AB60:AB79" si="75">ROUND((AC60+AD60+AF60),2)</f>
        <v>0</v>
      </c>
      <c r="AC60">
        <f t="shared" si="58"/>
        <v>0</v>
      </c>
      <c r="AD60">
        <f t="shared" si="59"/>
        <v>0</v>
      </c>
      <c r="AE60">
        <f t="shared" si="60"/>
        <v>0</v>
      </c>
      <c r="AF60">
        <f t="shared" si="61"/>
        <v>0</v>
      </c>
      <c r="AG60">
        <f t="shared" ref="AG60:AG79" si="76">ROUND((AP60),2)</f>
        <v>0</v>
      </c>
      <c r="AH60">
        <f t="shared" si="62"/>
        <v>0</v>
      </c>
      <c r="AI60">
        <f t="shared" si="63"/>
        <v>0</v>
      </c>
      <c r="AJ60">
        <f t="shared" ref="AJ60:AJ79" si="77">ROUND((AS60),2)</f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111</v>
      </c>
      <c r="AU60">
        <v>64</v>
      </c>
      <c r="AV60">
        <v>1</v>
      </c>
      <c r="AW60">
        <v>1</v>
      </c>
      <c r="AZ60">
        <v>6.53</v>
      </c>
      <c r="BA60">
        <v>1</v>
      </c>
      <c r="BB60">
        <v>1</v>
      </c>
      <c r="BC60">
        <v>6.53</v>
      </c>
      <c r="BD60" t="s">
        <v>3</v>
      </c>
      <c r="BE60" t="s">
        <v>3</v>
      </c>
      <c r="BF60" t="s">
        <v>3</v>
      </c>
      <c r="BG60" t="s">
        <v>3</v>
      </c>
      <c r="BH60">
        <v>3</v>
      </c>
      <c r="BI60">
        <v>1</v>
      </c>
      <c r="BJ60" t="s">
        <v>3</v>
      </c>
      <c r="BM60">
        <v>11001</v>
      </c>
      <c r="BN60">
        <v>0</v>
      </c>
      <c r="BO60" t="s">
        <v>3</v>
      </c>
      <c r="BP60">
        <v>0</v>
      </c>
      <c r="BQ60">
        <v>2</v>
      </c>
      <c r="BR60">
        <v>0</v>
      </c>
      <c r="BS60">
        <v>1</v>
      </c>
      <c r="BT60">
        <v>1</v>
      </c>
      <c r="BU60">
        <v>1</v>
      </c>
      <c r="BV60">
        <v>1</v>
      </c>
      <c r="BW60">
        <v>1</v>
      </c>
      <c r="BX60">
        <v>1</v>
      </c>
      <c r="BY60" t="s">
        <v>3</v>
      </c>
      <c r="BZ60">
        <v>123</v>
      </c>
      <c r="CA60">
        <v>75</v>
      </c>
      <c r="CF60">
        <v>0</v>
      </c>
      <c r="CG60">
        <v>0</v>
      </c>
      <c r="CM60">
        <v>0</v>
      </c>
      <c r="CN60" t="s">
        <v>3</v>
      </c>
      <c r="CO60">
        <v>0</v>
      </c>
      <c r="CP60">
        <f t="shared" ref="CP60:CP79" si="78">(P60+Q60+S60)</f>
        <v>0</v>
      </c>
      <c r="CQ60">
        <f t="shared" ref="CQ60:CQ79" si="79">AC60*BC60</f>
        <v>0</v>
      </c>
      <c r="CR60">
        <f t="shared" ref="CR60:CR79" si="80">AD60*BB60</f>
        <v>0</v>
      </c>
      <c r="CS60">
        <f t="shared" ref="CS60:CS79" si="81">AE60*BS60</f>
        <v>0</v>
      </c>
      <c r="CT60">
        <f t="shared" ref="CT60:CT79" si="82">AF60*BA60</f>
        <v>0</v>
      </c>
      <c r="CU60">
        <f t="shared" ref="CU60:CU79" si="83">AG60</f>
        <v>0</v>
      </c>
      <c r="CV60">
        <f t="shared" ref="CV60:CV79" si="84">AH60</f>
        <v>0</v>
      </c>
      <c r="CW60">
        <f t="shared" ref="CW60:CW79" si="85">AI60</f>
        <v>0</v>
      </c>
      <c r="CX60">
        <f t="shared" ref="CX60:CX79" si="86">AJ60</f>
        <v>0</v>
      </c>
      <c r="CY60">
        <f t="shared" ref="CY60:CY79" si="87">(((S60+R60)*AT60)/100)</f>
        <v>0</v>
      </c>
      <c r="CZ60">
        <f t="shared" ref="CZ60:CZ79" si="88">(((S60+R60)*AU60)/100)</f>
        <v>0</v>
      </c>
      <c r="DC60" t="s">
        <v>3</v>
      </c>
      <c r="DD60" t="s">
        <v>3</v>
      </c>
      <c r="DE60" t="s">
        <v>3</v>
      </c>
      <c r="DF60" t="s">
        <v>3</v>
      </c>
      <c r="DG60" t="s">
        <v>3</v>
      </c>
      <c r="DH60" t="s">
        <v>3</v>
      </c>
      <c r="DI60" t="s">
        <v>3</v>
      </c>
      <c r="DJ60" t="s">
        <v>3</v>
      </c>
      <c r="DK60" t="s">
        <v>3</v>
      </c>
      <c r="DL60" t="s">
        <v>3</v>
      </c>
      <c r="DM60" t="s">
        <v>3</v>
      </c>
      <c r="DN60">
        <v>0</v>
      </c>
      <c r="DO60">
        <v>0</v>
      </c>
      <c r="DP60">
        <v>1</v>
      </c>
      <c r="DQ60">
        <v>1</v>
      </c>
      <c r="DU60">
        <v>1003</v>
      </c>
      <c r="DV60" t="s">
        <v>109</v>
      </c>
      <c r="DW60" t="s">
        <v>109</v>
      </c>
      <c r="DX60">
        <v>1</v>
      </c>
      <c r="EE60">
        <v>39174504</v>
      </c>
      <c r="EF60">
        <v>2</v>
      </c>
      <c r="EG60" t="s">
        <v>43</v>
      </c>
      <c r="EH60">
        <v>0</v>
      </c>
      <c r="EI60" t="s">
        <v>3</v>
      </c>
      <c r="EJ60">
        <v>1</v>
      </c>
      <c r="EK60">
        <v>11001</v>
      </c>
      <c r="EL60" t="s">
        <v>20</v>
      </c>
      <c r="EM60" t="s">
        <v>67</v>
      </c>
      <c r="EO60" t="s">
        <v>3</v>
      </c>
      <c r="EQ60">
        <v>0</v>
      </c>
      <c r="ER60">
        <v>0</v>
      </c>
      <c r="ES60">
        <v>0</v>
      </c>
      <c r="ET60">
        <v>0</v>
      </c>
      <c r="EU60">
        <v>0</v>
      </c>
      <c r="EV60">
        <v>0</v>
      </c>
      <c r="EW60">
        <v>0</v>
      </c>
      <c r="EX60">
        <v>0</v>
      </c>
      <c r="FQ60">
        <v>0</v>
      </c>
      <c r="FR60">
        <f t="shared" ref="FR60:FR81" si="89">ROUND(IF(AND(BH60=3,BI60=3),P60,0),2)</f>
        <v>0</v>
      </c>
      <c r="FS60">
        <v>0</v>
      </c>
      <c r="FT60" t="s">
        <v>46</v>
      </c>
      <c r="FU60" t="s">
        <v>47</v>
      </c>
      <c r="FX60">
        <v>110.7</v>
      </c>
      <c r="FY60">
        <v>63.75</v>
      </c>
      <c r="GA60" t="s">
        <v>3</v>
      </c>
      <c r="GD60">
        <v>0</v>
      </c>
      <c r="GF60">
        <v>2101938969</v>
      </c>
      <c r="GG60">
        <v>1</v>
      </c>
      <c r="GH60">
        <v>1</v>
      </c>
      <c r="GI60">
        <v>4</v>
      </c>
      <c r="GJ60">
        <v>0</v>
      </c>
      <c r="GK60">
        <f>ROUND(R60*(R12)/100,2)</f>
        <v>0</v>
      </c>
      <c r="GL60">
        <f t="shared" ref="GL60:GL81" si="90">ROUND(IF(AND(BH60=3,BI60=3,FS60&lt;&gt;0),P60,0),2)</f>
        <v>0</v>
      </c>
      <c r="GM60">
        <f t="shared" ref="GM60:GM79" si="91">ROUND(O60+X60+Y60+GK60,2)+GX60</f>
        <v>0</v>
      </c>
      <c r="GN60">
        <f t="shared" ref="GN60:GN79" si="92">IF(OR(BI60=0,BI60=1),ROUND(O60+X60+Y60+GK60,2),0)</f>
        <v>0</v>
      </c>
      <c r="GO60">
        <f t="shared" ref="GO60:GO79" si="93">IF(BI60=2,ROUND(O60+X60+Y60+GK60,2),0)</f>
        <v>0</v>
      </c>
      <c r="GP60">
        <f t="shared" ref="GP60:GP79" si="94">IF(BI60=4,ROUND(O60+X60+Y60+GK60,2)+GX60,0)</f>
        <v>0</v>
      </c>
      <c r="GR60">
        <v>0</v>
      </c>
      <c r="GS60">
        <v>3</v>
      </c>
      <c r="GT60">
        <v>0</v>
      </c>
      <c r="GU60" t="s">
        <v>3</v>
      </c>
      <c r="GV60">
        <f t="shared" ref="GV60:GV79" si="95">ROUND(GT60,2)</f>
        <v>0</v>
      </c>
      <c r="GW60">
        <v>1</v>
      </c>
      <c r="GX60">
        <f t="shared" ref="GX60:GX81" si="96">ROUND(GV60*GW60*I60,2)</f>
        <v>0</v>
      </c>
      <c r="HA60">
        <v>0</v>
      </c>
      <c r="HB60">
        <v>0</v>
      </c>
      <c r="IK60">
        <v>0</v>
      </c>
    </row>
    <row r="61" spans="1:245" x14ac:dyDescent="0.2">
      <c r="A61">
        <v>17</v>
      </c>
      <c r="B61">
        <v>1</v>
      </c>
      <c r="C61">
        <f>ROW(SmtRes!A78)</f>
        <v>78</v>
      </c>
      <c r="D61">
        <f>ROW(EtalonRes!A72)</f>
        <v>72</v>
      </c>
      <c r="E61" t="s">
        <v>160</v>
      </c>
      <c r="F61" t="s">
        <v>161</v>
      </c>
      <c r="G61" t="s">
        <v>162</v>
      </c>
      <c r="H61" t="s">
        <v>25</v>
      </c>
      <c r="I61">
        <v>1.5465</v>
      </c>
      <c r="J61">
        <v>0</v>
      </c>
      <c r="O61">
        <f t="shared" si="64"/>
        <v>22091.5</v>
      </c>
      <c r="P61">
        <f t="shared" si="65"/>
        <v>11415.51</v>
      </c>
      <c r="Q61">
        <f t="shared" si="66"/>
        <v>1305.05</v>
      </c>
      <c r="R61">
        <f t="shared" si="67"/>
        <v>756.19</v>
      </c>
      <c r="S61">
        <f t="shared" si="68"/>
        <v>9370.94</v>
      </c>
      <c r="T61">
        <f t="shared" si="69"/>
        <v>0</v>
      </c>
      <c r="U61">
        <f t="shared" si="70"/>
        <v>152.66429399999998</v>
      </c>
      <c r="V61">
        <f t="shared" si="71"/>
        <v>12.15935625</v>
      </c>
      <c r="W61">
        <f t="shared" si="72"/>
        <v>0</v>
      </c>
      <c r="X61">
        <f t="shared" si="73"/>
        <v>9620.77</v>
      </c>
      <c r="Y61">
        <f t="shared" si="74"/>
        <v>4759.75</v>
      </c>
      <c r="AA61">
        <v>39099382</v>
      </c>
      <c r="AB61">
        <f t="shared" si="75"/>
        <v>2187.5700000000002</v>
      </c>
      <c r="AC61">
        <f t="shared" si="58"/>
        <v>1130.4000000000001</v>
      </c>
      <c r="AD61">
        <f>ROUND(((((ET61*1.25))-((EU61*1.25)))+AE61),2)</f>
        <v>129.22999999999999</v>
      </c>
      <c r="AE61">
        <f>ROUND(((EU61*1.25)),2)</f>
        <v>74.88</v>
      </c>
      <c r="AF61">
        <f>ROUND(((EV61*1.15)),2)</f>
        <v>927.94</v>
      </c>
      <c r="AG61">
        <f t="shared" si="76"/>
        <v>0</v>
      </c>
      <c r="AH61">
        <f>((EW61*1.15))</f>
        <v>98.715999999999994</v>
      </c>
      <c r="AI61">
        <f>((EX61*1.25))</f>
        <v>7.8624999999999998</v>
      </c>
      <c r="AJ61">
        <f t="shared" si="77"/>
        <v>0</v>
      </c>
      <c r="AK61">
        <v>2040.68</v>
      </c>
      <c r="AL61">
        <v>1130.4000000000001</v>
      </c>
      <c r="AM61">
        <v>103.38</v>
      </c>
      <c r="AN61">
        <v>59.9</v>
      </c>
      <c r="AO61">
        <v>806.9</v>
      </c>
      <c r="AP61">
        <v>0</v>
      </c>
      <c r="AQ61">
        <v>85.84</v>
      </c>
      <c r="AR61">
        <v>6.29</v>
      </c>
      <c r="AS61">
        <v>0</v>
      </c>
      <c r="AT61">
        <v>95</v>
      </c>
      <c r="AU61">
        <v>47</v>
      </c>
      <c r="AV61">
        <v>1</v>
      </c>
      <c r="AW61">
        <v>1</v>
      </c>
      <c r="AZ61">
        <v>6.53</v>
      </c>
      <c r="BA61">
        <v>6.53</v>
      </c>
      <c r="BB61">
        <v>6.53</v>
      </c>
      <c r="BC61">
        <v>6.53</v>
      </c>
      <c r="BD61" t="s">
        <v>3</v>
      </c>
      <c r="BE61" t="s">
        <v>3</v>
      </c>
      <c r="BF61" t="s">
        <v>3</v>
      </c>
      <c r="BG61" t="s">
        <v>3</v>
      </c>
      <c r="BH61">
        <v>0</v>
      </c>
      <c r="BI61">
        <v>1</v>
      </c>
      <c r="BJ61" t="s">
        <v>163</v>
      </c>
      <c r="BM61">
        <v>15001</v>
      </c>
      <c r="BN61">
        <v>0</v>
      </c>
      <c r="BO61" t="s">
        <v>3</v>
      </c>
      <c r="BP61">
        <v>0</v>
      </c>
      <c r="BQ61">
        <v>2</v>
      </c>
      <c r="BR61">
        <v>0</v>
      </c>
      <c r="BS61">
        <v>6.53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3</v>
      </c>
      <c r="BZ61">
        <v>105</v>
      </c>
      <c r="CA61">
        <v>55</v>
      </c>
      <c r="CF61">
        <v>0</v>
      </c>
      <c r="CG61">
        <v>0</v>
      </c>
      <c r="CM61">
        <v>0</v>
      </c>
      <c r="CN61" t="s">
        <v>937</v>
      </c>
      <c r="CO61">
        <v>0</v>
      </c>
      <c r="CP61">
        <f t="shared" si="78"/>
        <v>22091.5</v>
      </c>
      <c r="CQ61">
        <f t="shared" si="79"/>
        <v>7381.5120000000006</v>
      </c>
      <c r="CR61">
        <f t="shared" si="80"/>
        <v>843.87189999999998</v>
      </c>
      <c r="CS61">
        <f t="shared" si="81"/>
        <v>488.96639999999996</v>
      </c>
      <c r="CT61">
        <f t="shared" si="82"/>
        <v>6059.4482000000007</v>
      </c>
      <c r="CU61">
        <f t="shared" si="83"/>
        <v>0</v>
      </c>
      <c r="CV61">
        <f t="shared" si="84"/>
        <v>98.715999999999994</v>
      </c>
      <c r="CW61">
        <f t="shared" si="85"/>
        <v>7.8624999999999998</v>
      </c>
      <c r="CX61">
        <f t="shared" si="86"/>
        <v>0</v>
      </c>
      <c r="CY61">
        <f t="shared" si="87"/>
        <v>9620.7735000000011</v>
      </c>
      <c r="CZ61">
        <f t="shared" si="88"/>
        <v>4759.7511000000004</v>
      </c>
      <c r="DC61" t="s">
        <v>3</v>
      </c>
      <c r="DD61" t="s">
        <v>3</v>
      </c>
      <c r="DE61" t="s">
        <v>65</v>
      </c>
      <c r="DF61" t="s">
        <v>65</v>
      </c>
      <c r="DG61" t="s">
        <v>66</v>
      </c>
      <c r="DH61" t="s">
        <v>3</v>
      </c>
      <c r="DI61" t="s">
        <v>66</v>
      </c>
      <c r="DJ61" t="s">
        <v>65</v>
      </c>
      <c r="DK61" t="s">
        <v>3</v>
      </c>
      <c r="DL61" t="s">
        <v>3</v>
      </c>
      <c r="DM61" t="s">
        <v>3</v>
      </c>
      <c r="DN61">
        <v>0</v>
      </c>
      <c r="DO61">
        <v>0</v>
      </c>
      <c r="DP61">
        <v>1</v>
      </c>
      <c r="DQ61">
        <v>1</v>
      </c>
      <c r="DU61">
        <v>1005</v>
      </c>
      <c r="DV61" t="s">
        <v>25</v>
      </c>
      <c r="DW61" t="s">
        <v>25</v>
      </c>
      <c r="DX61">
        <v>100</v>
      </c>
      <c r="EE61">
        <v>39174529</v>
      </c>
      <c r="EF61">
        <v>2</v>
      </c>
      <c r="EG61" t="s">
        <v>43</v>
      </c>
      <c r="EH61">
        <v>0</v>
      </c>
      <c r="EI61" t="s">
        <v>3</v>
      </c>
      <c r="EJ61">
        <v>1</v>
      </c>
      <c r="EK61">
        <v>15001</v>
      </c>
      <c r="EL61" t="s">
        <v>80</v>
      </c>
      <c r="EM61" t="s">
        <v>81</v>
      </c>
      <c r="EO61" t="s">
        <v>68</v>
      </c>
      <c r="EQ61">
        <v>0</v>
      </c>
      <c r="ER61">
        <v>2040.68</v>
      </c>
      <c r="ES61">
        <v>1130.4000000000001</v>
      </c>
      <c r="ET61">
        <v>103.38</v>
      </c>
      <c r="EU61">
        <v>59.9</v>
      </c>
      <c r="EV61">
        <v>806.9</v>
      </c>
      <c r="EW61">
        <v>85.84</v>
      </c>
      <c r="EX61">
        <v>6.29</v>
      </c>
      <c r="EY61">
        <v>0</v>
      </c>
      <c r="FQ61">
        <v>0</v>
      </c>
      <c r="FR61">
        <f t="shared" si="89"/>
        <v>0</v>
      </c>
      <c r="FS61">
        <v>0</v>
      </c>
      <c r="FT61" t="s">
        <v>46</v>
      </c>
      <c r="FU61" t="s">
        <v>47</v>
      </c>
      <c r="FX61">
        <v>94.5</v>
      </c>
      <c r="FY61">
        <v>46.75</v>
      </c>
      <c r="GA61" t="s">
        <v>3</v>
      </c>
      <c r="GD61">
        <v>0</v>
      </c>
      <c r="GF61">
        <v>2119154356</v>
      </c>
      <c r="GG61">
        <v>1</v>
      </c>
      <c r="GH61">
        <v>1</v>
      </c>
      <c r="GI61">
        <v>4</v>
      </c>
      <c r="GJ61">
        <v>0</v>
      </c>
      <c r="GK61">
        <f>ROUND(R61*(R12)/100,2)</f>
        <v>0</v>
      </c>
      <c r="GL61">
        <f t="shared" si="90"/>
        <v>0</v>
      </c>
      <c r="GM61">
        <f t="shared" si="91"/>
        <v>36472.019999999997</v>
      </c>
      <c r="GN61">
        <f t="shared" si="92"/>
        <v>36472.019999999997</v>
      </c>
      <c r="GO61">
        <f t="shared" si="93"/>
        <v>0</v>
      </c>
      <c r="GP61">
        <f t="shared" si="94"/>
        <v>0</v>
      </c>
      <c r="GR61">
        <v>0</v>
      </c>
      <c r="GS61">
        <v>3</v>
      </c>
      <c r="GT61">
        <v>0</v>
      </c>
      <c r="GU61" t="s">
        <v>3</v>
      </c>
      <c r="GV61">
        <f t="shared" si="95"/>
        <v>0</v>
      </c>
      <c r="GW61">
        <v>1</v>
      </c>
      <c r="GX61">
        <f t="shared" si="96"/>
        <v>0</v>
      </c>
      <c r="HA61">
        <v>0</v>
      </c>
      <c r="HB61">
        <v>0</v>
      </c>
      <c r="IK61">
        <v>0</v>
      </c>
    </row>
    <row r="62" spans="1:245" x14ac:dyDescent="0.2">
      <c r="A62">
        <v>17</v>
      </c>
      <c r="B62">
        <v>1</v>
      </c>
      <c r="C62">
        <f>ROW(SmtRes!A83)</f>
        <v>83</v>
      </c>
      <c r="D62">
        <f>ROW(EtalonRes!A77)</f>
        <v>77</v>
      </c>
      <c r="E62" t="s">
        <v>164</v>
      </c>
      <c r="F62" t="s">
        <v>165</v>
      </c>
      <c r="G62" t="s">
        <v>166</v>
      </c>
      <c r="H62" t="s">
        <v>25</v>
      </c>
      <c r="I62">
        <v>2.7930000000000001</v>
      </c>
      <c r="J62">
        <v>0</v>
      </c>
      <c r="O62">
        <f t="shared" si="64"/>
        <v>120796.39</v>
      </c>
      <c r="P62">
        <f t="shared" si="65"/>
        <v>97308.57</v>
      </c>
      <c r="Q62">
        <f t="shared" si="66"/>
        <v>5922.16</v>
      </c>
      <c r="R62">
        <f t="shared" si="67"/>
        <v>1156.1300000000001</v>
      </c>
      <c r="S62">
        <f t="shared" si="68"/>
        <v>17565.66</v>
      </c>
      <c r="T62">
        <f t="shared" si="69"/>
        <v>0</v>
      </c>
      <c r="U62">
        <f t="shared" si="70"/>
        <v>286.17077999999998</v>
      </c>
      <c r="V62">
        <f t="shared" si="71"/>
        <v>14.914620000000001</v>
      </c>
      <c r="W62">
        <f t="shared" si="72"/>
        <v>0</v>
      </c>
      <c r="X62">
        <f t="shared" si="73"/>
        <v>17785.7</v>
      </c>
      <c r="Y62">
        <f t="shared" si="74"/>
        <v>8799.24</v>
      </c>
      <c r="AA62">
        <v>39099382</v>
      </c>
      <c r="AB62">
        <f t="shared" si="75"/>
        <v>6623.23</v>
      </c>
      <c r="AC62">
        <f t="shared" si="58"/>
        <v>5335.4</v>
      </c>
      <c r="AD62">
        <f t="shared" ref="AD62:AD71" si="97">ROUND((((ET62)-(EU62))+AE62),2)</f>
        <v>324.70999999999998</v>
      </c>
      <c r="AE62">
        <f t="shared" ref="AE62:AE71" si="98">ROUND((EU62),2)</f>
        <v>63.39</v>
      </c>
      <c r="AF62">
        <f t="shared" ref="AF62:AF71" si="99">ROUND((EV62),2)</f>
        <v>963.12</v>
      </c>
      <c r="AG62">
        <f t="shared" si="76"/>
        <v>0</v>
      </c>
      <c r="AH62">
        <f t="shared" ref="AH62:AH71" si="100">(EW62)</f>
        <v>102.46</v>
      </c>
      <c r="AI62">
        <f t="shared" ref="AI62:AI71" si="101">(EX62)</f>
        <v>5.34</v>
      </c>
      <c r="AJ62">
        <f t="shared" si="77"/>
        <v>0</v>
      </c>
      <c r="AK62">
        <v>6623.23</v>
      </c>
      <c r="AL62">
        <v>5335.4</v>
      </c>
      <c r="AM62">
        <v>324.70999999999998</v>
      </c>
      <c r="AN62">
        <v>63.39</v>
      </c>
      <c r="AO62">
        <v>963.12</v>
      </c>
      <c r="AP62">
        <v>0</v>
      </c>
      <c r="AQ62">
        <v>102.46</v>
      </c>
      <c r="AR62">
        <v>5.34</v>
      </c>
      <c r="AS62">
        <v>0</v>
      </c>
      <c r="AT62">
        <v>95</v>
      </c>
      <c r="AU62">
        <v>47</v>
      </c>
      <c r="AV62">
        <v>1</v>
      </c>
      <c r="AW62">
        <v>1</v>
      </c>
      <c r="AZ62">
        <v>6.53</v>
      </c>
      <c r="BA62">
        <v>6.53</v>
      </c>
      <c r="BB62">
        <v>6.53</v>
      </c>
      <c r="BC62">
        <v>6.53</v>
      </c>
      <c r="BD62" t="s">
        <v>3</v>
      </c>
      <c r="BE62" t="s">
        <v>3</v>
      </c>
      <c r="BF62" t="s">
        <v>3</v>
      </c>
      <c r="BG62" t="s">
        <v>3</v>
      </c>
      <c r="BH62">
        <v>0</v>
      </c>
      <c r="BI62">
        <v>1</v>
      </c>
      <c r="BJ62" t="s">
        <v>167</v>
      </c>
      <c r="BM62">
        <v>15001</v>
      </c>
      <c r="BN62">
        <v>0</v>
      </c>
      <c r="BO62" t="s">
        <v>3</v>
      </c>
      <c r="BP62">
        <v>0</v>
      </c>
      <c r="BQ62">
        <v>2</v>
      </c>
      <c r="BR62">
        <v>0</v>
      </c>
      <c r="BS62">
        <v>6.53</v>
      </c>
      <c r="BT62">
        <v>1</v>
      </c>
      <c r="BU62">
        <v>1</v>
      </c>
      <c r="BV62">
        <v>1</v>
      </c>
      <c r="BW62">
        <v>1</v>
      </c>
      <c r="BX62">
        <v>1</v>
      </c>
      <c r="BY62" t="s">
        <v>3</v>
      </c>
      <c r="BZ62">
        <v>105</v>
      </c>
      <c r="CA62">
        <v>55</v>
      </c>
      <c r="CF62">
        <v>0</v>
      </c>
      <c r="CG62">
        <v>0</v>
      </c>
      <c r="CM62">
        <v>0</v>
      </c>
      <c r="CN62" t="s">
        <v>3</v>
      </c>
      <c r="CO62">
        <v>0</v>
      </c>
      <c r="CP62">
        <f t="shared" si="78"/>
        <v>120796.39000000001</v>
      </c>
      <c r="CQ62">
        <f t="shared" si="79"/>
        <v>34840.161999999997</v>
      </c>
      <c r="CR62">
        <f t="shared" si="80"/>
        <v>2120.3562999999999</v>
      </c>
      <c r="CS62">
        <f t="shared" si="81"/>
        <v>413.93670000000003</v>
      </c>
      <c r="CT62">
        <f t="shared" si="82"/>
        <v>6289.1736000000001</v>
      </c>
      <c r="CU62">
        <f t="shared" si="83"/>
        <v>0</v>
      </c>
      <c r="CV62">
        <f t="shared" si="84"/>
        <v>102.46</v>
      </c>
      <c r="CW62">
        <f t="shared" si="85"/>
        <v>5.34</v>
      </c>
      <c r="CX62">
        <f t="shared" si="86"/>
        <v>0</v>
      </c>
      <c r="CY62">
        <f t="shared" si="87"/>
        <v>17785.700499999999</v>
      </c>
      <c r="CZ62">
        <f t="shared" si="88"/>
        <v>8799.2412999999997</v>
      </c>
      <c r="DC62" t="s">
        <v>3</v>
      </c>
      <c r="DD62" t="s">
        <v>3</v>
      </c>
      <c r="DE62" t="s">
        <v>3</v>
      </c>
      <c r="DF62" t="s">
        <v>3</v>
      </c>
      <c r="DG62" t="s">
        <v>3</v>
      </c>
      <c r="DH62" t="s">
        <v>3</v>
      </c>
      <c r="DI62" t="s">
        <v>3</v>
      </c>
      <c r="DJ62" t="s">
        <v>3</v>
      </c>
      <c r="DK62" t="s">
        <v>3</v>
      </c>
      <c r="DL62" t="s">
        <v>3</v>
      </c>
      <c r="DM62" t="s">
        <v>3</v>
      </c>
      <c r="DN62">
        <v>0</v>
      </c>
      <c r="DO62">
        <v>0</v>
      </c>
      <c r="DP62">
        <v>1</v>
      </c>
      <c r="DQ62">
        <v>1</v>
      </c>
      <c r="DU62">
        <v>1005</v>
      </c>
      <c r="DV62" t="s">
        <v>25</v>
      </c>
      <c r="DW62" t="s">
        <v>25</v>
      </c>
      <c r="DX62">
        <v>100</v>
      </c>
      <c r="EE62">
        <v>39174529</v>
      </c>
      <c r="EF62">
        <v>2</v>
      </c>
      <c r="EG62" t="s">
        <v>43</v>
      </c>
      <c r="EH62">
        <v>0</v>
      </c>
      <c r="EI62" t="s">
        <v>3</v>
      </c>
      <c r="EJ62">
        <v>1</v>
      </c>
      <c r="EK62">
        <v>15001</v>
      </c>
      <c r="EL62" t="s">
        <v>80</v>
      </c>
      <c r="EM62" t="s">
        <v>81</v>
      </c>
      <c r="EO62" t="s">
        <v>3</v>
      </c>
      <c r="EQ62">
        <v>0</v>
      </c>
      <c r="ER62">
        <v>6623.23</v>
      </c>
      <c r="ES62">
        <v>5335.4</v>
      </c>
      <c r="ET62">
        <v>324.70999999999998</v>
      </c>
      <c r="EU62">
        <v>63.39</v>
      </c>
      <c r="EV62">
        <v>963.12</v>
      </c>
      <c r="EW62">
        <v>102.46</v>
      </c>
      <c r="EX62">
        <v>5.34</v>
      </c>
      <c r="EY62">
        <v>0</v>
      </c>
      <c r="FQ62">
        <v>0</v>
      </c>
      <c r="FR62">
        <f t="shared" si="89"/>
        <v>0</v>
      </c>
      <c r="FS62">
        <v>0</v>
      </c>
      <c r="FT62" t="s">
        <v>46</v>
      </c>
      <c r="FU62" t="s">
        <v>47</v>
      </c>
      <c r="FX62">
        <v>94.5</v>
      </c>
      <c r="FY62">
        <v>46.75</v>
      </c>
      <c r="GA62" t="s">
        <v>3</v>
      </c>
      <c r="GD62">
        <v>0</v>
      </c>
      <c r="GF62">
        <v>-59192285</v>
      </c>
      <c r="GG62">
        <v>1</v>
      </c>
      <c r="GH62">
        <v>1</v>
      </c>
      <c r="GI62">
        <v>4</v>
      </c>
      <c r="GJ62">
        <v>0</v>
      </c>
      <c r="GK62">
        <f>ROUND(R62*(R12)/100,2)</f>
        <v>0</v>
      </c>
      <c r="GL62">
        <f t="shared" si="90"/>
        <v>0</v>
      </c>
      <c r="GM62">
        <f t="shared" si="91"/>
        <v>147381.32999999999</v>
      </c>
      <c r="GN62">
        <f t="shared" si="92"/>
        <v>147381.32999999999</v>
      </c>
      <c r="GO62">
        <f t="shared" si="93"/>
        <v>0</v>
      </c>
      <c r="GP62">
        <f t="shared" si="94"/>
        <v>0</v>
      </c>
      <c r="GR62">
        <v>0</v>
      </c>
      <c r="GS62">
        <v>0</v>
      </c>
      <c r="GT62">
        <v>0</v>
      </c>
      <c r="GU62" t="s">
        <v>3</v>
      </c>
      <c r="GV62">
        <f t="shared" si="95"/>
        <v>0</v>
      </c>
      <c r="GW62">
        <v>1</v>
      </c>
      <c r="GX62">
        <f t="shared" si="96"/>
        <v>0</v>
      </c>
      <c r="HA62">
        <v>0</v>
      </c>
      <c r="HB62">
        <v>0</v>
      </c>
      <c r="IK62">
        <v>0</v>
      </c>
    </row>
    <row r="63" spans="1:245" x14ac:dyDescent="0.2">
      <c r="A63">
        <v>17</v>
      </c>
      <c r="B63">
        <v>1</v>
      </c>
      <c r="C63">
        <f>ROW(SmtRes!A89)</f>
        <v>89</v>
      </c>
      <c r="D63">
        <f>ROW(EtalonRes!A82)</f>
        <v>82</v>
      </c>
      <c r="E63" t="s">
        <v>168</v>
      </c>
      <c r="F63" t="s">
        <v>169</v>
      </c>
      <c r="G63" t="s">
        <v>170</v>
      </c>
      <c r="H63" t="s">
        <v>25</v>
      </c>
      <c r="I63">
        <v>4.6379999999999999</v>
      </c>
      <c r="J63">
        <v>0</v>
      </c>
      <c r="O63">
        <f t="shared" si="64"/>
        <v>27921.71</v>
      </c>
      <c r="P63">
        <f t="shared" si="65"/>
        <v>16652.23</v>
      </c>
      <c r="Q63">
        <f t="shared" si="66"/>
        <v>606.03</v>
      </c>
      <c r="R63">
        <f t="shared" si="67"/>
        <v>261.67</v>
      </c>
      <c r="S63">
        <f t="shared" si="68"/>
        <v>10663.45</v>
      </c>
      <c r="T63">
        <f t="shared" si="69"/>
        <v>0</v>
      </c>
      <c r="U63">
        <f t="shared" si="70"/>
        <v>196.51205999999999</v>
      </c>
      <c r="V63">
        <f t="shared" si="71"/>
        <v>2.9683199999999998</v>
      </c>
      <c r="W63">
        <f t="shared" si="72"/>
        <v>0</v>
      </c>
      <c r="X63">
        <f t="shared" si="73"/>
        <v>8630.84</v>
      </c>
      <c r="Y63">
        <f t="shared" si="74"/>
        <v>5462.56</v>
      </c>
      <c r="AA63">
        <v>39099382</v>
      </c>
      <c r="AB63">
        <f t="shared" si="75"/>
        <v>921.93</v>
      </c>
      <c r="AC63">
        <f t="shared" si="58"/>
        <v>549.83000000000004</v>
      </c>
      <c r="AD63">
        <f t="shared" si="97"/>
        <v>20.010000000000002</v>
      </c>
      <c r="AE63">
        <f t="shared" si="98"/>
        <v>8.64</v>
      </c>
      <c r="AF63">
        <f t="shared" si="99"/>
        <v>352.09</v>
      </c>
      <c r="AG63">
        <f t="shared" si="76"/>
        <v>0</v>
      </c>
      <c r="AH63">
        <f t="shared" si="100"/>
        <v>42.37</v>
      </c>
      <c r="AI63">
        <f t="shared" si="101"/>
        <v>0.64</v>
      </c>
      <c r="AJ63">
        <f t="shared" si="77"/>
        <v>0</v>
      </c>
      <c r="AK63">
        <v>921.93</v>
      </c>
      <c r="AL63">
        <v>549.83000000000004</v>
      </c>
      <c r="AM63">
        <v>20.010000000000002</v>
      </c>
      <c r="AN63">
        <v>8.64</v>
      </c>
      <c r="AO63">
        <v>352.09</v>
      </c>
      <c r="AP63">
        <v>0</v>
      </c>
      <c r="AQ63">
        <v>42.37</v>
      </c>
      <c r="AR63">
        <v>0.64</v>
      </c>
      <c r="AS63">
        <v>0</v>
      </c>
      <c r="AT63">
        <v>79</v>
      </c>
      <c r="AU63">
        <v>50</v>
      </c>
      <c r="AV63">
        <v>1</v>
      </c>
      <c r="AW63">
        <v>1</v>
      </c>
      <c r="AZ63">
        <v>6.53</v>
      </c>
      <c r="BA63">
        <v>6.53</v>
      </c>
      <c r="BB63">
        <v>6.53</v>
      </c>
      <c r="BC63">
        <v>6.53</v>
      </c>
      <c r="BD63" t="s">
        <v>3</v>
      </c>
      <c r="BE63" t="s">
        <v>3</v>
      </c>
      <c r="BF63" t="s">
        <v>3</v>
      </c>
      <c r="BG63" t="s">
        <v>3</v>
      </c>
      <c r="BH63">
        <v>0</v>
      </c>
      <c r="BI63">
        <v>1</v>
      </c>
      <c r="BJ63" t="s">
        <v>171</v>
      </c>
      <c r="BM63">
        <v>61001</v>
      </c>
      <c r="BN63">
        <v>0</v>
      </c>
      <c r="BO63" t="s">
        <v>3</v>
      </c>
      <c r="BP63">
        <v>0</v>
      </c>
      <c r="BQ63">
        <v>6</v>
      </c>
      <c r="BR63">
        <v>0</v>
      </c>
      <c r="BS63">
        <v>6.53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3</v>
      </c>
      <c r="BZ63">
        <v>79</v>
      </c>
      <c r="CA63">
        <v>50</v>
      </c>
      <c r="CF63">
        <v>0</v>
      </c>
      <c r="CG63">
        <v>0</v>
      </c>
      <c r="CM63">
        <v>0</v>
      </c>
      <c r="CN63" t="s">
        <v>3</v>
      </c>
      <c r="CO63">
        <v>0</v>
      </c>
      <c r="CP63">
        <f t="shared" si="78"/>
        <v>27921.71</v>
      </c>
      <c r="CQ63">
        <f t="shared" si="79"/>
        <v>3590.3899000000006</v>
      </c>
      <c r="CR63">
        <f t="shared" si="80"/>
        <v>130.6653</v>
      </c>
      <c r="CS63">
        <f t="shared" si="81"/>
        <v>56.419200000000004</v>
      </c>
      <c r="CT63">
        <f t="shared" si="82"/>
        <v>2299.1477</v>
      </c>
      <c r="CU63">
        <f t="shared" si="83"/>
        <v>0</v>
      </c>
      <c r="CV63">
        <f t="shared" si="84"/>
        <v>42.37</v>
      </c>
      <c r="CW63">
        <f t="shared" si="85"/>
        <v>0.64</v>
      </c>
      <c r="CX63">
        <f t="shared" si="86"/>
        <v>0</v>
      </c>
      <c r="CY63">
        <f t="shared" si="87"/>
        <v>8630.8448000000008</v>
      </c>
      <c r="CZ63">
        <f t="shared" si="88"/>
        <v>5462.56</v>
      </c>
      <c r="DC63" t="s">
        <v>3</v>
      </c>
      <c r="DD63" t="s">
        <v>3</v>
      </c>
      <c r="DE63" t="s">
        <v>3</v>
      </c>
      <c r="DF63" t="s">
        <v>3</v>
      </c>
      <c r="DG63" t="s">
        <v>3</v>
      </c>
      <c r="DH63" t="s">
        <v>3</v>
      </c>
      <c r="DI63" t="s">
        <v>3</v>
      </c>
      <c r="DJ63" t="s">
        <v>3</v>
      </c>
      <c r="DK63" t="s">
        <v>3</v>
      </c>
      <c r="DL63" t="s">
        <v>3</v>
      </c>
      <c r="DM63" t="s">
        <v>3</v>
      </c>
      <c r="DN63">
        <v>0</v>
      </c>
      <c r="DO63">
        <v>0</v>
      </c>
      <c r="DP63">
        <v>1</v>
      </c>
      <c r="DQ63">
        <v>1</v>
      </c>
      <c r="DU63">
        <v>1005</v>
      </c>
      <c r="DV63" t="s">
        <v>25</v>
      </c>
      <c r="DW63" t="s">
        <v>25</v>
      </c>
      <c r="DX63">
        <v>100</v>
      </c>
      <c r="EE63">
        <v>39174586</v>
      </c>
      <c r="EF63">
        <v>6</v>
      </c>
      <c r="EG63" t="s">
        <v>19</v>
      </c>
      <c r="EH63">
        <v>0</v>
      </c>
      <c r="EI63" t="s">
        <v>3</v>
      </c>
      <c r="EJ63">
        <v>1</v>
      </c>
      <c r="EK63">
        <v>61001</v>
      </c>
      <c r="EL63" t="s">
        <v>172</v>
      </c>
      <c r="EM63" t="s">
        <v>173</v>
      </c>
      <c r="EO63" t="s">
        <v>3</v>
      </c>
      <c r="EQ63">
        <v>0</v>
      </c>
      <c r="ER63">
        <v>921.93</v>
      </c>
      <c r="ES63">
        <v>549.83000000000004</v>
      </c>
      <c r="ET63">
        <v>20.010000000000002</v>
      </c>
      <c r="EU63">
        <v>8.64</v>
      </c>
      <c r="EV63">
        <v>352.09</v>
      </c>
      <c r="EW63">
        <v>42.37</v>
      </c>
      <c r="EX63">
        <v>0.64</v>
      </c>
      <c r="EY63">
        <v>0</v>
      </c>
      <c r="FQ63">
        <v>0</v>
      </c>
      <c r="FR63">
        <f t="shared" si="89"/>
        <v>0</v>
      </c>
      <c r="FS63">
        <v>0</v>
      </c>
      <c r="FX63">
        <v>79</v>
      </c>
      <c r="FY63">
        <v>50</v>
      </c>
      <c r="GA63" t="s">
        <v>3</v>
      </c>
      <c r="GD63">
        <v>0</v>
      </c>
      <c r="GF63">
        <v>651283125</v>
      </c>
      <c r="GG63">
        <v>1</v>
      </c>
      <c r="GH63">
        <v>1</v>
      </c>
      <c r="GI63">
        <v>4</v>
      </c>
      <c r="GJ63">
        <v>0</v>
      </c>
      <c r="GK63">
        <f>ROUND(R63*(R12)/100,2)</f>
        <v>0</v>
      </c>
      <c r="GL63">
        <f t="shared" si="90"/>
        <v>0</v>
      </c>
      <c r="GM63">
        <f t="shared" si="91"/>
        <v>42015.11</v>
      </c>
      <c r="GN63">
        <f t="shared" si="92"/>
        <v>42015.11</v>
      </c>
      <c r="GO63">
        <f t="shared" si="93"/>
        <v>0</v>
      </c>
      <c r="GP63">
        <f t="shared" si="94"/>
        <v>0</v>
      </c>
      <c r="GR63">
        <v>0</v>
      </c>
      <c r="GS63">
        <v>0</v>
      </c>
      <c r="GT63">
        <v>0</v>
      </c>
      <c r="GU63" t="s">
        <v>3</v>
      </c>
      <c r="GV63">
        <f t="shared" si="95"/>
        <v>0</v>
      </c>
      <c r="GW63">
        <v>1</v>
      </c>
      <c r="GX63">
        <f t="shared" si="96"/>
        <v>0</v>
      </c>
      <c r="HA63">
        <v>0</v>
      </c>
      <c r="HB63">
        <v>0</v>
      </c>
      <c r="IK63">
        <v>0</v>
      </c>
    </row>
    <row r="64" spans="1:245" x14ac:dyDescent="0.2">
      <c r="A64">
        <v>18</v>
      </c>
      <c r="B64">
        <v>1</v>
      </c>
      <c r="C64">
        <v>88</v>
      </c>
      <c r="E64" t="s">
        <v>174</v>
      </c>
      <c r="F64" t="s">
        <v>175</v>
      </c>
      <c r="G64" t="s">
        <v>176</v>
      </c>
      <c r="H64" t="s">
        <v>56</v>
      </c>
      <c r="I64">
        <f>I63*J64</f>
        <v>-4.9162800000000004</v>
      </c>
      <c r="J64">
        <v>-1.06</v>
      </c>
      <c r="O64">
        <f t="shared" si="64"/>
        <v>-16626.62</v>
      </c>
      <c r="P64">
        <f t="shared" si="65"/>
        <v>-16626.62</v>
      </c>
      <c r="Q64">
        <f t="shared" si="66"/>
        <v>0</v>
      </c>
      <c r="R64">
        <f t="shared" si="67"/>
        <v>0</v>
      </c>
      <c r="S64">
        <f t="shared" si="68"/>
        <v>0</v>
      </c>
      <c r="T64">
        <f t="shared" si="69"/>
        <v>0</v>
      </c>
      <c r="U64">
        <f t="shared" si="70"/>
        <v>0</v>
      </c>
      <c r="V64">
        <f t="shared" si="71"/>
        <v>0</v>
      </c>
      <c r="W64">
        <f t="shared" si="72"/>
        <v>0</v>
      </c>
      <c r="X64">
        <f t="shared" si="73"/>
        <v>0</v>
      </c>
      <c r="Y64">
        <f t="shared" si="74"/>
        <v>0</v>
      </c>
      <c r="AA64">
        <v>39099382</v>
      </c>
      <c r="AB64">
        <f t="shared" si="75"/>
        <v>517.91</v>
      </c>
      <c r="AC64">
        <f t="shared" si="58"/>
        <v>517.91</v>
      </c>
      <c r="AD64">
        <f t="shared" si="97"/>
        <v>0</v>
      </c>
      <c r="AE64">
        <f t="shared" si="98"/>
        <v>0</v>
      </c>
      <c r="AF64">
        <f t="shared" si="99"/>
        <v>0</v>
      </c>
      <c r="AG64">
        <f t="shared" si="76"/>
        <v>0</v>
      </c>
      <c r="AH64">
        <f t="shared" si="100"/>
        <v>0</v>
      </c>
      <c r="AI64">
        <f t="shared" si="101"/>
        <v>0</v>
      </c>
      <c r="AJ64">
        <f t="shared" si="77"/>
        <v>0</v>
      </c>
      <c r="AK64">
        <v>517.91</v>
      </c>
      <c r="AL64">
        <v>517.91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79</v>
      </c>
      <c r="AU64">
        <v>50</v>
      </c>
      <c r="AV64">
        <v>1</v>
      </c>
      <c r="AW64">
        <v>1</v>
      </c>
      <c r="AZ64">
        <v>6.53</v>
      </c>
      <c r="BA64">
        <v>1</v>
      </c>
      <c r="BB64">
        <v>1</v>
      </c>
      <c r="BC64">
        <v>6.53</v>
      </c>
      <c r="BD64" t="s">
        <v>3</v>
      </c>
      <c r="BE64" t="s">
        <v>3</v>
      </c>
      <c r="BF64" t="s">
        <v>3</v>
      </c>
      <c r="BG64" t="s">
        <v>3</v>
      </c>
      <c r="BH64">
        <v>3</v>
      </c>
      <c r="BI64">
        <v>1</v>
      </c>
      <c r="BJ64" t="s">
        <v>177</v>
      </c>
      <c r="BM64">
        <v>61001</v>
      </c>
      <c r="BN64">
        <v>0</v>
      </c>
      <c r="BO64" t="s">
        <v>3</v>
      </c>
      <c r="BP64">
        <v>0</v>
      </c>
      <c r="BQ64">
        <v>6</v>
      </c>
      <c r="BR64">
        <v>1</v>
      </c>
      <c r="BS64">
        <v>1</v>
      </c>
      <c r="BT64">
        <v>1</v>
      </c>
      <c r="BU64">
        <v>1</v>
      </c>
      <c r="BV64">
        <v>1</v>
      </c>
      <c r="BW64">
        <v>1</v>
      </c>
      <c r="BX64">
        <v>1</v>
      </c>
      <c r="BY64" t="s">
        <v>3</v>
      </c>
      <c r="BZ64">
        <v>79</v>
      </c>
      <c r="CA64">
        <v>50</v>
      </c>
      <c r="CF64">
        <v>0</v>
      </c>
      <c r="CG64">
        <v>0</v>
      </c>
      <c r="CM64">
        <v>0</v>
      </c>
      <c r="CN64" t="s">
        <v>3</v>
      </c>
      <c r="CO64">
        <v>0</v>
      </c>
      <c r="CP64">
        <f t="shared" si="78"/>
        <v>-16626.62</v>
      </c>
      <c r="CQ64">
        <f t="shared" si="79"/>
        <v>3381.9522999999999</v>
      </c>
      <c r="CR64">
        <f t="shared" si="80"/>
        <v>0</v>
      </c>
      <c r="CS64">
        <f t="shared" si="81"/>
        <v>0</v>
      </c>
      <c r="CT64">
        <f t="shared" si="82"/>
        <v>0</v>
      </c>
      <c r="CU64">
        <f t="shared" si="83"/>
        <v>0</v>
      </c>
      <c r="CV64">
        <f t="shared" si="84"/>
        <v>0</v>
      </c>
      <c r="CW64">
        <f t="shared" si="85"/>
        <v>0</v>
      </c>
      <c r="CX64">
        <f t="shared" si="86"/>
        <v>0</v>
      </c>
      <c r="CY64">
        <f t="shared" si="87"/>
        <v>0</v>
      </c>
      <c r="CZ64">
        <f t="shared" si="88"/>
        <v>0</v>
      </c>
      <c r="DC64" t="s">
        <v>3</v>
      </c>
      <c r="DD64" t="s">
        <v>3</v>
      </c>
      <c r="DE64" t="s">
        <v>3</v>
      </c>
      <c r="DF64" t="s">
        <v>3</v>
      </c>
      <c r="DG64" t="s">
        <v>3</v>
      </c>
      <c r="DH64" t="s">
        <v>3</v>
      </c>
      <c r="DI64" t="s">
        <v>3</v>
      </c>
      <c r="DJ64" t="s">
        <v>3</v>
      </c>
      <c r="DK64" t="s">
        <v>3</v>
      </c>
      <c r="DL64" t="s">
        <v>3</v>
      </c>
      <c r="DM64" t="s">
        <v>3</v>
      </c>
      <c r="DN64">
        <v>0</v>
      </c>
      <c r="DO64">
        <v>0</v>
      </c>
      <c r="DP64">
        <v>1</v>
      </c>
      <c r="DQ64">
        <v>1</v>
      </c>
      <c r="DU64">
        <v>1007</v>
      </c>
      <c r="DV64" t="s">
        <v>56</v>
      </c>
      <c r="DW64" t="s">
        <v>56</v>
      </c>
      <c r="DX64">
        <v>1</v>
      </c>
      <c r="EE64">
        <v>39174586</v>
      </c>
      <c r="EF64">
        <v>6</v>
      </c>
      <c r="EG64" t="s">
        <v>19</v>
      </c>
      <c r="EH64">
        <v>0</v>
      </c>
      <c r="EI64" t="s">
        <v>3</v>
      </c>
      <c r="EJ64">
        <v>1</v>
      </c>
      <c r="EK64">
        <v>61001</v>
      </c>
      <c r="EL64" t="s">
        <v>172</v>
      </c>
      <c r="EM64" t="s">
        <v>173</v>
      </c>
      <c r="EO64" t="s">
        <v>3</v>
      </c>
      <c r="EQ64">
        <v>32768</v>
      </c>
      <c r="ER64">
        <v>517.91</v>
      </c>
      <c r="ES64">
        <v>517.91</v>
      </c>
      <c r="ET64">
        <v>0</v>
      </c>
      <c r="EU64">
        <v>0</v>
      </c>
      <c r="EV64">
        <v>0</v>
      </c>
      <c r="EW64">
        <v>0</v>
      </c>
      <c r="EX64">
        <v>0</v>
      </c>
      <c r="FQ64">
        <v>0</v>
      </c>
      <c r="FR64">
        <f t="shared" si="89"/>
        <v>0</v>
      </c>
      <c r="FS64">
        <v>0</v>
      </c>
      <c r="FX64">
        <v>79</v>
      </c>
      <c r="FY64">
        <v>50</v>
      </c>
      <c r="GA64" t="s">
        <v>3</v>
      </c>
      <c r="GD64">
        <v>0</v>
      </c>
      <c r="GF64">
        <v>-1001479081</v>
      </c>
      <c r="GG64">
        <v>1</v>
      </c>
      <c r="GH64">
        <v>1</v>
      </c>
      <c r="GI64">
        <v>4</v>
      </c>
      <c r="GJ64">
        <v>0</v>
      </c>
      <c r="GK64">
        <f>ROUND(R64*(R12)/100,2)</f>
        <v>0</v>
      </c>
      <c r="GL64">
        <f t="shared" si="90"/>
        <v>0</v>
      </c>
      <c r="GM64">
        <f t="shared" si="91"/>
        <v>-16626.62</v>
      </c>
      <c r="GN64">
        <f t="shared" si="92"/>
        <v>-16626.62</v>
      </c>
      <c r="GO64">
        <f t="shared" si="93"/>
        <v>0</v>
      </c>
      <c r="GP64">
        <f t="shared" si="94"/>
        <v>0</v>
      </c>
      <c r="GR64">
        <v>0</v>
      </c>
      <c r="GS64">
        <v>0</v>
      </c>
      <c r="GT64">
        <v>0</v>
      </c>
      <c r="GU64" t="s">
        <v>3</v>
      </c>
      <c r="GV64">
        <f t="shared" si="95"/>
        <v>0</v>
      </c>
      <c r="GW64">
        <v>1</v>
      </c>
      <c r="GX64">
        <f t="shared" si="96"/>
        <v>0</v>
      </c>
      <c r="HA64">
        <v>0</v>
      </c>
      <c r="HB64">
        <v>0</v>
      </c>
      <c r="IK64">
        <v>0</v>
      </c>
    </row>
    <row r="65" spans="1:245" x14ac:dyDescent="0.2">
      <c r="A65">
        <v>18</v>
      </c>
      <c r="B65">
        <v>1</v>
      </c>
      <c r="C65">
        <v>89</v>
      </c>
      <c r="E65" t="s">
        <v>178</v>
      </c>
      <c r="F65" t="s">
        <v>179</v>
      </c>
      <c r="G65" t="s">
        <v>180</v>
      </c>
      <c r="H65" t="s">
        <v>97</v>
      </c>
      <c r="I65">
        <f>I63*J65</f>
        <v>7373.9902990000001</v>
      </c>
      <c r="J65">
        <v>1589.9073520914187</v>
      </c>
      <c r="O65">
        <f t="shared" si="64"/>
        <v>99674.96</v>
      </c>
      <c r="P65">
        <f t="shared" si="65"/>
        <v>99674.96</v>
      </c>
      <c r="Q65">
        <f t="shared" si="66"/>
        <v>0</v>
      </c>
      <c r="R65">
        <f t="shared" si="67"/>
        <v>0</v>
      </c>
      <c r="S65">
        <f t="shared" si="68"/>
        <v>0</v>
      </c>
      <c r="T65">
        <f t="shared" si="69"/>
        <v>0</v>
      </c>
      <c r="U65">
        <f t="shared" si="70"/>
        <v>0</v>
      </c>
      <c r="V65">
        <f t="shared" si="71"/>
        <v>0</v>
      </c>
      <c r="W65">
        <f t="shared" si="72"/>
        <v>0</v>
      </c>
      <c r="X65">
        <f t="shared" si="73"/>
        <v>0</v>
      </c>
      <c r="Y65">
        <f t="shared" si="74"/>
        <v>0</v>
      </c>
      <c r="AA65">
        <v>39099382</v>
      </c>
      <c r="AB65">
        <f t="shared" si="75"/>
        <v>2.0699999999999998</v>
      </c>
      <c r="AC65">
        <f t="shared" si="58"/>
        <v>2.0699999999999998</v>
      </c>
      <c r="AD65">
        <f t="shared" si="97"/>
        <v>0</v>
      </c>
      <c r="AE65">
        <f t="shared" si="98"/>
        <v>0</v>
      </c>
      <c r="AF65">
        <f t="shared" si="99"/>
        <v>0</v>
      </c>
      <c r="AG65">
        <f t="shared" si="76"/>
        <v>0</v>
      </c>
      <c r="AH65">
        <f t="shared" si="100"/>
        <v>0</v>
      </c>
      <c r="AI65">
        <f t="shared" si="101"/>
        <v>0</v>
      </c>
      <c r="AJ65">
        <f t="shared" si="77"/>
        <v>0</v>
      </c>
      <c r="AK65">
        <v>2.0699999999999998</v>
      </c>
      <c r="AL65">
        <v>2.0699999999999998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79</v>
      </c>
      <c r="AU65">
        <v>50</v>
      </c>
      <c r="AV65">
        <v>1</v>
      </c>
      <c r="AW65">
        <v>1</v>
      </c>
      <c r="AZ65">
        <v>6.53</v>
      </c>
      <c r="BA65">
        <v>1</v>
      </c>
      <c r="BB65">
        <v>1</v>
      </c>
      <c r="BC65">
        <v>6.53</v>
      </c>
      <c r="BD65" t="s">
        <v>3</v>
      </c>
      <c r="BE65" t="s">
        <v>3</v>
      </c>
      <c r="BF65" t="s">
        <v>3</v>
      </c>
      <c r="BG65" t="s">
        <v>3</v>
      </c>
      <c r="BH65">
        <v>3</v>
      </c>
      <c r="BI65">
        <v>1</v>
      </c>
      <c r="BJ65" t="s">
        <v>181</v>
      </c>
      <c r="BM65">
        <v>61001</v>
      </c>
      <c r="BN65">
        <v>0</v>
      </c>
      <c r="BO65" t="s">
        <v>3</v>
      </c>
      <c r="BP65">
        <v>0</v>
      </c>
      <c r="BQ65">
        <v>6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3</v>
      </c>
      <c r="BZ65">
        <v>79</v>
      </c>
      <c r="CA65">
        <v>50</v>
      </c>
      <c r="CF65">
        <v>0</v>
      </c>
      <c r="CG65">
        <v>0</v>
      </c>
      <c r="CM65">
        <v>0</v>
      </c>
      <c r="CN65" t="s">
        <v>3</v>
      </c>
      <c r="CO65">
        <v>0</v>
      </c>
      <c r="CP65">
        <f t="shared" si="78"/>
        <v>99674.96</v>
      </c>
      <c r="CQ65">
        <f t="shared" si="79"/>
        <v>13.517099999999999</v>
      </c>
      <c r="CR65">
        <f t="shared" si="80"/>
        <v>0</v>
      </c>
      <c r="CS65">
        <f t="shared" si="81"/>
        <v>0</v>
      </c>
      <c r="CT65">
        <f t="shared" si="82"/>
        <v>0</v>
      </c>
      <c r="CU65">
        <f t="shared" si="83"/>
        <v>0</v>
      </c>
      <c r="CV65">
        <f t="shared" si="84"/>
        <v>0</v>
      </c>
      <c r="CW65">
        <f t="shared" si="85"/>
        <v>0</v>
      </c>
      <c r="CX65">
        <f t="shared" si="86"/>
        <v>0</v>
      </c>
      <c r="CY65">
        <f t="shared" si="87"/>
        <v>0</v>
      </c>
      <c r="CZ65">
        <f t="shared" si="88"/>
        <v>0</v>
      </c>
      <c r="DC65" t="s">
        <v>3</v>
      </c>
      <c r="DD65" t="s">
        <v>3</v>
      </c>
      <c r="DE65" t="s">
        <v>3</v>
      </c>
      <c r="DF65" t="s">
        <v>3</v>
      </c>
      <c r="DG65" t="s">
        <v>3</v>
      </c>
      <c r="DH65" t="s">
        <v>3</v>
      </c>
      <c r="DI65" t="s">
        <v>3</v>
      </c>
      <c r="DJ65" t="s">
        <v>3</v>
      </c>
      <c r="DK65" t="s">
        <v>3</v>
      </c>
      <c r="DL65" t="s">
        <v>3</v>
      </c>
      <c r="DM65" t="s">
        <v>3</v>
      </c>
      <c r="DN65">
        <v>0</v>
      </c>
      <c r="DO65">
        <v>0</v>
      </c>
      <c r="DP65">
        <v>1</v>
      </c>
      <c r="DQ65">
        <v>1</v>
      </c>
      <c r="DU65">
        <v>1009</v>
      </c>
      <c r="DV65" t="s">
        <v>97</v>
      </c>
      <c r="DW65" t="s">
        <v>97</v>
      </c>
      <c r="DX65">
        <v>1</v>
      </c>
      <c r="EE65">
        <v>39174586</v>
      </c>
      <c r="EF65">
        <v>6</v>
      </c>
      <c r="EG65" t="s">
        <v>19</v>
      </c>
      <c r="EH65">
        <v>0</v>
      </c>
      <c r="EI65" t="s">
        <v>3</v>
      </c>
      <c r="EJ65">
        <v>1</v>
      </c>
      <c r="EK65">
        <v>61001</v>
      </c>
      <c r="EL65" t="s">
        <v>172</v>
      </c>
      <c r="EM65" t="s">
        <v>173</v>
      </c>
      <c r="EO65" t="s">
        <v>3</v>
      </c>
      <c r="EQ65">
        <v>0</v>
      </c>
      <c r="ER65">
        <v>2.0699999999999998</v>
      </c>
      <c r="ES65">
        <v>2.0699999999999998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89"/>
        <v>0</v>
      </c>
      <c r="FS65">
        <v>0</v>
      </c>
      <c r="FX65">
        <v>79</v>
      </c>
      <c r="FY65">
        <v>50</v>
      </c>
      <c r="GA65" t="s">
        <v>3</v>
      </c>
      <c r="GD65">
        <v>0</v>
      </c>
      <c r="GF65">
        <v>-60067644</v>
      </c>
      <c r="GG65">
        <v>1</v>
      </c>
      <c r="GH65">
        <v>1</v>
      </c>
      <c r="GI65">
        <v>4</v>
      </c>
      <c r="GJ65">
        <v>0</v>
      </c>
      <c r="GK65">
        <f>ROUND(R65*(R12)/100,2)</f>
        <v>0</v>
      </c>
      <c r="GL65">
        <f t="shared" si="90"/>
        <v>0</v>
      </c>
      <c r="GM65">
        <f t="shared" si="91"/>
        <v>99674.96</v>
      </c>
      <c r="GN65">
        <f t="shared" si="92"/>
        <v>99674.96</v>
      </c>
      <c r="GO65">
        <f t="shared" si="93"/>
        <v>0</v>
      </c>
      <c r="GP65">
        <f t="shared" si="94"/>
        <v>0</v>
      </c>
      <c r="GR65">
        <v>0</v>
      </c>
      <c r="GS65">
        <v>0</v>
      </c>
      <c r="GT65">
        <v>0</v>
      </c>
      <c r="GU65" t="s">
        <v>3</v>
      </c>
      <c r="GV65">
        <f t="shared" si="95"/>
        <v>0</v>
      </c>
      <c r="GW65">
        <v>1</v>
      </c>
      <c r="GX65">
        <f t="shared" si="96"/>
        <v>0</v>
      </c>
      <c r="HA65">
        <v>0</v>
      </c>
      <c r="HB65">
        <v>0</v>
      </c>
      <c r="IK65">
        <v>0</v>
      </c>
    </row>
    <row r="66" spans="1:245" x14ac:dyDescent="0.2">
      <c r="A66">
        <v>17</v>
      </c>
      <c r="B66">
        <v>1</v>
      </c>
      <c r="C66">
        <f>ROW(SmtRes!A96)</f>
        <v>96</v>
      </c>
      <c r="D66">
        <f>ROW(EtalonRes!A88)</f>
        <v>88</v>
      </c>
      <c r="E66" t="s">
        <v>182</v>
      </c>
      <c r="F66" t="s">
        <v>183</v>
      </c>
      <c r="G66" t="s">
        <v>184</v>
      </c>
      <c r="H66" t="s">
        <v>25</v>
      </c>
      <c r="I66">
        <v>4.6379999999999999</v>
      </c>
      <c r="J66">
        <v>0</v>
      </c>
      <c r="O66">
        <f t="shared" si="64"/>
        <v>4814.88</v>
      </c>
      <c r="P66">
        <f t="shared" si="65"/>
        <v>10.9</v>
      </c>
      <c r="Q66">
        <f t="shared" si="66"/>
        <v>49.06</v>
      </c>
      <c r="R66">
        <f t="shared" si="67"/>
        <v>11.21</v>
      </c>
      <c r="S66">
        <f t="shared" si="68"/>
        <v>4754.92</v>
      </c>
      <c r="T66">
        <f t="shared" si="69"/>
        <v>0</v>
      </c>
      <c r="U66">
        <f t="shared" si="70"/>
        <v>75.692160000000001</v>
      </c>
      <c r="V66">
        <f t="shared" si="71"/>
        <v>0.13913999999999999</v>
      </c>
      <c r="W66">
        <f t="shared" si="72"/>
        <v>0</v>
      </c>
      <c r="X66">
        <f t="shared" si="73"/>
        <v>4527.82</v>
      </c>
      <c r="Y66">
        <f t="shared" si="74"/>
        <v>2240.08</v>
      </c>
      <c r="AA66">
        <v>39099382</v>
      </c>
      <c r="AB66">
        <f t="shared" si="75"/>
        <v>158.97999999999999</v>
      </c>
      <c r="AC66">
        <f t="shared" si="58"/>
        <v>0.36</v>
      </c>
      <c r="AD66">
        <f t="shared" si="97"/>
        <v>1.62</v>
      </c>
      <c r="AE66">
        <f t="shared" si="98"/>
        <v>0.37</v>
      </c>
      <c r="AF66">
        <f t="shared" si="99"/>
        <v>157</v>
      </c>
      <c r="AG66">
        <f t="shared" si="76"/>
        <v>0</v>
      </c>
      <c r="AH66">
        <f t="shared" si="100"/>
        <v>16.32</v>
      </c>
      <c r="AI66">
        <f t="shared" si="101"/>
        <v>0.03</v>
      </c>
      <c r="AJ66">
        <f t="shared" si="77"/>
        <v>0</v>
      </c>
      <c r="AK66">
        <v>158.97999999999999</v>
      </c>
      <c r="AL66">
        <v>0.36</v>
      </c>
      <c r="AM66">
        <v>1.62</v>
      </c>
      <c r="AN66">
        <v>0.37</v>
      </c>
      <c r="AO66">
        <v>157</v>
      </c>
      <c r="AP66">
        <v>0</v>
      </c>
      <c r="AQ66">
        <v>16.32</v>
      </c>
      <c r="AR66">
        <v>0.03</v>
      </c>
      <c r="AS66">
        <v>0</v>
      </c>
      <c r="AT66">
        <v>95</v>
      </c>
      <c r="AU66">
        <v>47</v>
      </c>
      <c r="AV66">
        <v>1</v>
      </c>
      <c r="AW66">
        <v>1</v>
      </c>
      <c r="AZ66">
        <v>6.53</v>
      </c>
      <c r="BA66">
        <v>6.53</v>
      </c>
      <c r="BB66">
        <v>6.53</v>
      </c>
      <c r="BC66">
        <v>6.53</v>
      </c>
      <c r="BD66" t="s">
        <v>3</v>
      </c>
      <c r="BE66" t="s">
        <v>3</v>
      </c>
      <c r="BF66" t="s">
        <v>3</v>
      </c>
      <c r="BG66" t="s">
        <v>3</v>
      </c>
      <c r="BH66">
        <v>0</v>
      </c>
      <c r="BI66">
        <v>1</v>
      </c>
      <c r="BJ66" t="s">
        <v>185</v>
      </c>
      <c r="BM66">
        <v>15001</v>
      </c>
      <c r="BN66">
        <v>0</v>
      </c>
      <c r="BO66" t="s">
        <v>3</v>
      </c>
      <c r="BP66">
        <v>0</v>
      </c>
      <c r="BQ66">
        <v>2</v>
      </c>
      <c r="BR66">
        <v>0</v>
      </c>
      <c r="BS66">
        <v>6.53</v>
      </c>
      <c r="BT66">
        <v>1</v>
      </c>
      <c r="BU66">
        <v>1</v>
      </c>
      <c r="BV66">
        <v>1</v>
      </c>
      <c r="BW66">
        <v>1</v>
      </c>
      <c r="BX66">
        <v>1</v>
      </c>
      <c r="BY66" t="s">
        <v>3</v>
      </c>
      <c r="BZ66">
        <v>105</v>
      </c>
      <c r="CA66">
        <v>55</v>
      </c>
      <c r="CF66">
        <v>0</v>
      </c>
      <c r="CG66">
        <v>0</v>
      </c>
      <c r="CM66">
        <v>0</v>
      </c>
      <c r="CN66" t="s">
        <v>3</v>
      </c>
      <c r="CO66">
        <v>0</v>
      </c>
      <c r="CP66">
        <f t="shared" si="78"/>
        <v>4814.88</v>
      </c>
      <c r="CQ66">
        <f t="shared" si="79"/>
        <v>2.3508</v>
      </c>
      <c r="CR66">
        <f t="shared" si="80"/>
        <v>10.578600000000002</v>
      </c>
      <c r="CS66">
        <f t="shared" si="81"/>
        <v>2.4161000000000001</v>
      </c>
      <c r="CT66">
        <f t="shared" si="82"/>
        <v>1025.21</v>
      </c>
      <c r="CU66">
        <f t="shared" si="83"/>
        <v>0</v>
      </c>
      <c r="CV66">
        <f t="shared" si="84"/>
        <v>16.32</v>
      </c>
      <c r="CW66">
        <f t="shared" si="85"/>
        <v>0.03</v>
      </c>
      <c r="CX66">
        <f t="shared" si="86"/>
        <v>0</v>
      </c>
      <c r="CY66">
        <f t="shared" si="87"/>
        <v>4527.8235000000004</v>
      </c>
      <c r="CZ66">
        <f t="shared" si="88"/>
        <v>2240.0811000000003</v>
      </c>
      <c r="DC66" t="s">
        <v>3</v>
      </c>
      <c r="DD66" t="s">
        <v>3</v>
      </c>
      <c r="DE66" t="s">
        <v>3</v>
      </c>
      <c r="DF66" t="s">
        <v>3</v>
      </c>
      <c r="DG66" t="s">
        <v>3</v>
      </c>
      <c r="DH66" t="s">
        <v>3</v>
      </c>
      <c r="DI66" t="s">
        <v>3</v>
      </c>
      <c r="DJ66" t="s">
        <v>3</v>
      </c>
      <c r="DK66" t="s">
        <v>3</v>
      </c>
      <c r="DL66" t="s">
        <v>3</v>
      </c>
      <c r="DM66" t="s">
        <v>3</v>
      </c>
      <c r="DN66">
        <v>0</v>
      </c>
      <c r="DO66">
        <v>0</v>
      </c>
      <c r="DP66">
        <v>1</v>
      </c>
      <c r="DQ66">
        <v>1</v>
      </c>
      <c r="DU66">
        <v>1005</v>
      </c>
      <c r="DV66" t="s">
        <v>25</v>
      </c>
      <c r="DW66" t="s">
        <v>25</v>
      </c>
      <c r="DX66">
        <v>100</v>
      </c>
      <c r="EE66">
        <v>39174529</v>
      </c>
      <c r="EF66">
        <v>2</v>
      </c>
      <c r="EG66" t="s">
        <v>43</v>
      </c>
      <c r="EH66">
        <v>0</v>
      </c>
      <c r="EI66" t="s">
        <v>3</v>
      </c>
      <c r="EJ66">
        <v>1</v>
      </c>
      <c r="EK66">
        <v>15001</v>
      </c>
      <c r="EL66" t="s">
        <v>80</v>
      </c>
      <c r="EM66" t="s">
        <v>81</v>
      </c>
      <c r="EO66" t="s">
        <v>3</v>
      </c>
      <c r="EQ66">
        <v>0</v>
      </c>
      <c r="ER66">
        <v>158.97999999999999</v>
      </c>
      <c r="ES66">
        <v>0.36</v>
      </c>
      <c r="ET66">
        <v>1.62</v>
      </c>
      <c r="EU66">
        <v>0.37</v>
      </c>
      <c r="EV66">
        <v>157</v>
      </c>
      <c r="EW66">
        <v>16.32</v>
      </c>
      <c r="EX66">
        <v>0.03</v>
      </c>
      <c r="EY66">
        <v>0</v>
      </c>
      <c r="FQ66">
        <v>0</v>
      </c>
      <c r="FR66">
        <f t="shared" si="89"/>
        <v>0</v>
      </c>
      <c r="FS66">
        <v>0</v>
      </c>
      <c r="FT66" t="s">
        <v>46</v>
      </c>
      <c r="FU66" t="s">
        <v>47</v>
      </c>
      <c r="FX66">
        <v>94.5</v>
      </c>
      <c r="FY66">
        <v>46.75</v>
      </c>
      <c r="GA66" t="s">
        <v>3</v>
      </c>
      <c r="GD66">
        <v>0</v>
      </c>
      <c r="GF66">
        <v>-816382651</v>
      </c>
      <c r="GG66">
        <v>1</v>
      </c>
      <c r="GH66">
        <v>1</v>
      </c>
      <c r="GI66">
        <v>4</v>
      </c>
      <c r="GJ66">
        <v>0</v>
      </c>
      <c r="GK66">
        <f>ROUND(R66*(R12)/100,2)</f>
        <v>0</v>
      </c>
      <c r="GL66">
        <f t="shared" si="90"/>
        <v>0</v>
      </c>
      <c r="GM66">
        <f t="shared" si="91"/>
        <v>11582.78</v>
      </c>
      <c r="GN66">
        <f t="shared" si="92"/>
        <v>11582.78</v>
      </c>
      <c r="GO66">
        <f t="shared" si="93"/>
        <v>0</v>
      </c>
      <c r="GP66">
        <f t="shared" si="94"/>
        <v>0</v>
      </c>
      <c r="GR66">
        <v>0</v>
      </c>
      <c r="GS66">
        <v>0</v>
      </c>
      <c r="GT66">
        <v>0</v>
      </c>
      <c r="GU66" t="s">
        <v>3</v>
      </c>
      <c r="GV66">
        <f t="shared" si="95"/>
        <v>0</v>
      </c>
      <c r="GW66">
        <v>1</v>
      </c>
      <c r="GX66">
        <f t="shared" si="96"/>
        <v>0</v>
      </c>
      <c r="HA66">
        <v>0</v>
      </c>
      <c r="HB66">
        <v>0</v>
      </c>
      <c r="IK66">
        <v>0</v>
      </c>
    </row>
    <row r="67" spans="1:245" x14ac:dyDescent="0.2">
      <c r="A67">
        <v>18</v>
      </c>
      <c r="B67">
        <v>1</v>
      </c>
      <c r="C67">
        <v>96</v>
      </c>
      <c r="E67" t="s">
        <v>186</v>
      </c>
      <c r="F67" t="s">
        <v>187</v>
      </c>
      <c r="G67" t="s">
        <v>188</v>
      </c>
      <c r="H67" t="s">
        <v>189</v>
      </c>
      <c r="I67">
        <f>I66*J67</f>
        <v>9.2759999999999995E-2</v>
      </c>
      <c r="J67">
        <v>0.02</v>
      </c>
      <c r="O67">
        <f t="shared" si="64"/>
        <v>0</v>
      </c>
      <c r="P67">
        <f t="shared" si="65"/>
        <v>0</v>
      </c>
      <c r="Q67">
        <f t="shared" si="66"/>
        <v>0</v>
      </c>
      <c r="R67">
        <f t="shared" si="67"/>
        <v>0</v>
      </c>
      <c r="S67">
        <f t="shared" si="68"/>
        <v>0</v>
      </c>
      <c r="T67">
        <f t="shared" si="69"/>
        <v>0</v>
      </c>
      <c r="U67">
        <f t="shared" si="70"/>
        <v>0</v>
      </c>
      <c r="V67">
        <f t="shared" si="71"/>
        <v>0</v>
      </c>
      <c r="W67">
        <f t="shared" si="72"/>
        <v>0</v>
      </c>
      <c r="X67">
        <f t="shared" si="73"/>
        <v>0</v>
      </c>
      <c r="Y67">
        <f t="shared" si="74"/>
        <v>0</v>
      </c>
      <c r="AA67">
        <v>39099382</v>
      </c>
      <c r="AB67">
        <f t="shared" si="75"/>
        <v>0</v>
      </c>
      <c r="AC67">
        <f t="shared" si="58"/>
        <v>0</v>
      </c>
      <c r="AD67">
        <f t="shared" si="97"/>
        <v>0</v>
      </c>
      <c r="AE67">
        <f t="shared" si="98"/>
        <v>0</v>
      </c>
      <c r="AF67">
        <f t="shared" si="99"/>
        <v>0</v>
      </c>
      <c r="AG67">
        <f t="shared" si="76"/>
        <v>0</v>
      </c>
      <c r="AH67">
        <f t="shared" si="100"/>
        <v>0</v>
      </c>
      <c r="AI67">
        <f t="shared" si="101"/>
        <v>0</v>
      </c>
      <c r="AJ67">
        <f t="shared" si="77"/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95</v>
      </c>
      <c r="AU67">
        <v>47</v>
      </c>
      <c r="AV67">
        <v>1</v>
      </c>
      <c r="AW67">
        <v>1</v>
      </c>
      <c r="AZ67">
        <v>6.53</v>
      </c>
      <c r="BA67">
        <v>1</v>
      </c>
      <c r="BB67">
        <v>1</v>
      </c>
      <c r="BC67">
        <v>6.53</v>
      </c>
      <c r="BD67" t="s">
        <v>3</v>
      </c>
      <c r="BE67" t="s">
        <v>3</v>
      </c>
      <c r="BF67" t="s">
        <v>3</v>
      </c>
      <c r="BG67" t="s">
        <v>3</v>
      </c>
      <c r="BH67">
        <v>3</v>
      </c>
      <c r="BI67">
        <v>1</v>
      </c>
      <c r="BJ67" t="s">
        <v>3</v>
      </c>
      <c r="BM67">
        <v>15001</v>
      </c>
      <c r="BN67">
        <v>0</v>
      </c>
      <c r="BO67" t="s">
        <v>3</v>
      </c>
      <c r="BP67">
        <v>0</v>
      </c>
      <c r="BQ67">
        <v>2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3</v>
      </c>
      <c r="BZ67">
        <v>105</v>
      </c>
      <c r="CA67">
        <v>55</v>
      </c>
      <c r="CF67">
        <v>0</v>
      </c>
      <c r="CG67">
        <v>0</v>
      </c>
      <c r="CM67">
        <v>0</v>
      </c>
      <c r="CN67" t="s">
        <v>3</v>
      </c>
      <c r="CO67">
        <v>0</v>
      </c>
      <c r="CP67">
        <f t="shared" si="78"/>
        <v>0</v>
      </c>
      <c r="CQ67">
        <f t="shared" si="79"/>
        <v>0</v>
      </c>
      <c r="CR67">
        <f t="shared" si="80"/>
        <v>0</v>
      </c>
      <c r="CS67">
        <f t="shared" si="81"/>
        <v>0</v>
      </c>
      <c r="CT67">
        <f t="shared" si="82"/>
        <v>0</v>
      </c>
      <c r="CU67">
        <f t="shared" si="83"/>
        <v>0</v>
      </c>
      <c r="CV67">
        <f t="shared" si="84"/>
        <v>0</v>
      </c>
      <c r="CW67">
        <f t="shared" si="85"/>
        <v>0</v>
      </c>
      <c r="CX67">
        <f t="shared" si="86"/>
        <v>0</v>
      </c>
      <c r="CY67">
        <f t="shared" si="87"/>
        <v>0</v>
      </c>
      <c r="CZ67">
        <f t="shared" si="88"/>
        <v>0</v>
      </c>
      <c r="DC67" t="s">
        <v>3</v>
      </c>
      <c r="DD67" t="s">
        <v>3</v>
      </c>
      <c r="DE67" t="s">
        <v>3</v>
      </c>
      <c r="DF67" t="s">
        <v>3</v>
      </c>
      <c r="DG67" t="s">
        <v>3</v>
      </c>
      <c r="DH67" t="s">
        <v>3</v>
      </c>
      <c r="DI67" t="s">
        <v>3</v>
      </c>
      <c r="DJ67" t="s">
        <v>3</v>
      </c>
      <c r="DK67" t="s">
        <v>3</v>
      </c>
      <c r="DL67" t="s">
        <v>3</v>
      </c>
      <c r="DM67" t="s">
        <v>3</v>
      </c>
      <c r="DN67">
        <v>0</v>
      </c>
      <c r="DO67">
        <v>0</v>
      </c>
      <c r="DP67">
        <v>1</v>
      </c>
      <c r="DQ67">
        <v>1</v>
      </c>
      <c r="DU67">
        <v>1009</v>
      </c>
      <c r="DV67" t="s">
        <v>189</v>
      </c>
      <c r="DW67" t="s">
        <v>189</v>
      </c>
      <c r="DX67">
        <v>1000</v>
      </c>
      <c r="EE67">
        <v>39174529</v>
      </c>
      <c r="EF67">
        <v>2</v>
      </c>
      <c r="EG67" t="s">
        <v>43</v>
      </c>
      <c r="EH67">
        <v>0</v>
      </c>
      <c r="EI67" t="s">
        <v>3</v>
      </c>
      <c r="EJ67">
        <v>1</v>
      </c>
      <c r="EK67">
        <v>15001</v>
      </c>
      <c r="EL67" t="s">
        <v>80</v>
      </c>
      <c r="EM67" t="s">
        <v>81</v>
      </c>
      <c r="EO67" t="s">
        <v>3</v>
      </c>
      <c r="EQ67">
        <v>0</v>
      </c>
      <c r="ER67">
        <v>0</v>
      </c>
      <c r="ES67">
        <v>0</v>
      </c>
      <c r="ET67">
        <v>0</v>
      </c>
      <c r="EU67">
        <v>0</v>
      </c>
      <c r="EV67">
        <v>0</v>
      </c>
      <c r="EW67">
        <v>0</v>
      </c>
      <c r="EX67">
        <v>0</v>
      </c>
      <c r="FQ67">
        <v>0</v>
      </c>
      <c r="FR67">
        <f t="shared" si="89"/>
        <v>0</v>
      </c>
      <c r="FS67">
        <v>0</v>
      </c>
      <c r="FT67" t="s">
        <v>46</v>
      </c>
      <c r="FU67" t="s">
        <v>47</v>
      </c>
      <c r="FX67">
        <v>94.5</v>
      </c>
      <c r="FY67">
        <v>46.75</v>
      </c>
      <c r="GA67" t="s">
        <v>3</v>
      </c>
      <c r="GD67">
        <v>0</v>
      </c>
      <c r="GF67">
        <v>-1212923053</v>
      </c>
      <c r="GG67">
        <v>1</v>
      </c>
      <c r="GH67">
        <v>1</v>
      </c>
      <c r="GI67">
        <v>4</v>
      </c>
      <c r="GJ67">
        <v>0</v>
      </c>
      <c r="GK67">
        <f>ROUND(R67*(R12)/100,2)</f>
        <v>0</v>
      </c>
      <c r="GL67">
        <f t="shared" si="90"/>
        <v>0</v>
      </c>
      <c r="GM67">
        <f t="shared" si="91"/>
        <v>0</v>
      </c>
      <c r="GN67">
        <f t="shared" si="92"/>
        <v>0</v>
      </c>
      <c r="GO67">
        <f t="shared" si="93"/>
        <v>0</v>
      </c>
      <c r="GP67">
        <f t="shared" si="94"/>
        <v>0</v>
      </c>
      <c r="GR67">
        <v>0</v>
      </c>
      <c r="GS67">
        <v>3</v>
      </c>
      <c r="GT67">
        <v>0</v>
      </c>
      <c r="GU67" t="s">
        <v>3</v>
      </c>
      <c r="GV67">
        <f t="shared" si="95"/>
        <v>0</v>
      </c>
      <c r="GW67">
        <v>1</v>
      </c>
      <c r="GX67">
        <f t="shared" si="96"/>
        <v>0</v>
      </c>
      <c r="HA67">
        <v>0</v>
      </c>
      <c r="HB67">
        <v>0</v>
      </c>
      <c r="IK67">
        <v>0</v>
      </c>
    </row>
    <row r="68" spans="1:245" x14ac:dyDescent="0.2">
      <c r="A68">
        <v>18</v>
      </c>
      <c r="B68">
        <v>1</v>
      </c>
      <c r="C68">
        <v>95</v>
      </c>
      <c r="E68" t="s">
        <v>190</v>
      </c>
      <c r="F68" t="s">
        <v>191</v>
      </c>
      <c r="G68" t="s">
        <v>192</v>
      </c>
      <c r="H68" t="s">
        <v>97</v>
      </c>
      <c r="I68">
        <f>I66*J68</f>
        <v>92.759999999999991</v>
      </c>
      <c r="J68">
        <v>20</v>
      </c>
      <c r="O68">
        <f t="shared" si="64"/>
        <v>9140.36</v>
      </c>
      <c r="P68">
        <f t="shared" si="65"/>
        <v>9140.36</v>
      </c>
      <c r="Q68">
        <f t="shared" si="66"/>
        <v>0</v>
      </c>
      <c r="R68">
        <f t="shared" si="67"/>
        <v>0</v>
      </c>
      <c r="S68">
        <f t="shared" si="68"/>
        <v>0</v>
      </c>
      <c r="T68">
        <f t="shared" si="69"/>
        <v>0</v>
      </c>
      <c r="U68">
        <f t="shared" si="70"/>
        <v>0</v>
      </c>
      <c r="V68">
        <f t="shared" si="71"/>
        <v>0</v>
      </c>
      <c r="W68">
        <f t="shared" si="72"/>
        <v>0</v>
      </c>
      <c r="X68">
        <f t="shared" si="73"/>
        <v>0</v>
      </c>
      <c r="Y68">
        <f t="shared" si="74"/>
        <v>0</v>
      </c>
      <c r="AA68">
        <v>39099382</v>
      </c>
      <c r="AB68">
        <f t="shared" si="75"/>
        <v>15.09</v>
      </c>
      <c r="AC68">
        <f t="shared" si="58"/>
        <v>15.09</v>
      </c>
      <c r="AD68">
        <f t="shared" si="97"/>
        <v>0</v>
      </c>
      <c r="AE68">
        <f t="shared" si="98"/>
        <v>0</v>
      </c>
      <c r="AF68">
        <f t="shared" si="99"/>
        <v>0</v>
      </c>
      <c r="AG68">
        <f t="shared" si="76"/>
        <v>0</v>
      </c>
      <c r="AH68">
        <f t="shared" si="100"/>
        <v>0</v>
      </c>
      <c r="AI68">
        <f t="shared" si="101"/>
        <v>0</v>
      </c>
      <c r="AJ68">
        <f t="shared" si="77"/>
        <v>0</v>
      </c>
      <c r="AK68">
        <v>15.09</v>
      </c>
      <c r="AL68">
        <v>15.09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95</v>
      </c>
      <c r="AU68">
        <v>47</v>
      </c>
      <c r="AV68">
        <v>1</v>
      </c>
      <c r="AW68">
        <v>1</v>
      </c>
      <c r="AZ68">
        <v>6.53</v>
      </c>
      <c r="BA68">
        <v>1</v>
      </c>
      <c r="BB68">
        <v>1</v>
      </c>
      <c r="BC68">
        <v>6.53</v>
      </c>
      <c r="BD68" t="s">
        <v>3</v>
      </c>
      <c r="BE68" t="s">
        <v>3</v>
      </c>
      <c r="BF68" t="s">
        <v>3</v>
      </c>
      <c r="BG68" t="s">
        <v>3</v>
      </c>
      <c r="BH68">
        <v>3</v>
      </c>
      <c r="BI68">
        <v>1</v>
      </c>
      <c r="BJ68" t="s">
        <v>193</v>
      </c>
      <c r="BM68">
        <v>15001</v>
      </c>
      <c r="BN68">
        <v>0</v>
      </c>
      <c r="BO68" t="s">
        <v>3</v>
      </c>
      <c r="BP68">
        <v>0</v>
      </c>
      <c r="BQ68">
        <v>2</v>
      </c>
      <c r="BR68">
        <v>0</v>
      </c>
      <c r="BS68">
        <v>1</v>
      </c>
      <c r="BT68">
        <v>1</v>
      </c>
      <c r="BU68">
        <v>1</v>
      </c>
      <c r="BV68">
        <v>1</v>
      </c>
      <c r="BW68">
        <v>1</v>
      </c>
      <c r="BX68">
        <v>1</v>
      </c>
      <c r="BY68" t="s">
        <v>3</v>
      </c>
      <c r="BZ68">
        <v>105</v>
      </c>
      <c r="CA68">
        <v>55</v>
      </c>
      <c r="CF68">
        <v>0</v>
      </c>
      <c r="CG68">
        <v>0</v>
      </c>
      <c r="CM68">
        <v>0</v>
      </c>
      <c r="CN68" t="s">
        <v>3</v>
      </c>
      <c r="CO68">
        <v>0</v>
      </c>
      <c r="CP68">
        <f t="shared" si="78"/>
        <v>9140.36</v>
      </c>
      <c r="CQ68">
        <f t="shared" si="79"/>
        <v>98.537700000000001</v>
      </c>
      <c r="CR68">
        <f t="shared" si="80"/>
        <v>0</v>
      </c>
      <c r="CS68">
        <f t="shared" si="81"/>
        <v>0</v>
      </c>
      <c r="CT68">
        <f t="shared" si="82"/>
        <v>0</v>
      </c>
      <c r="CU68">
        <f t="shared" si="83"/>
        <v>0</v>
      </c>
      <c r="CV68">
        <f t="shared" si="84"/>
        <v>0</v>
      </c>
      <c r="CW68">
        <f t="shared" si="85"/>
        <v>0</v>
      </c>
      <c r="CX68">
        <f t="shared" si="86"/>
        <v>0</v>
      </c>
      <c r="CY68">
        <f t="shared" si="87"/>
        <v>0</v>
      </c>
      <c r="CZ68">
        <f t="shared" si="88"/>
        <v>0</v>
      </c>
      <c r="DC68" t="s">
        <v>3</v>
      </c>
      <c r="DD68" t="s">
        <v>3</v>
      </c>
      <c r="DE68" t="s">
        <v>3</v>
      </c>
      <c r="DF68" t="s">
        <v>3</v>
      </c>
      <c r="DG68" t="s">
        <v>3</v>
      </c>
      <c r="DH68" t="s">
        <v>3</v>
      </c>
      <c r="DI68" t="s">
        <v>3</v>
      </c>
      <c r="DJ68" t="s">
        <v>3</v>
      </c>
      <c r="DK68" t="s">
        <v>3</v>
      </c>
      <c r="DL68" t="s">
        <v>3</v>
      </c>
      <c r="DM68" t="s">
        <v>3</v>
      </c>
      <c r="DN68">
        <v>0</v>
      </c>
      <c r="DO68">
        <v>0</v>
      </c>
      <c r="DP68">
        <v>1</v>
      </c>
      <c r="DQ68">
        <v>1</v>
      </c>
      <c r="DU68">
        <v>1009</v>
      </c>
      <c r="DV68" t="s">
        <v>97</v>
      </c>
      <c r="DW68" t="s">
        <v>97</v>
      </c>
      <c r="DX68">
        <v>1</v>
      </c>
      <c r="EE68">
        <v>39174529</v>
      </c>
      <c r="EF68">
        <v>2</v>
      </c>
      <c r="EG68" t="s">
        <v>43</v>
      </c>
      <c r="EH68">
        <v>0</v>
      </c>
      <c r="EI68" t="s">
        <v>3</v>
      </c>
      <c r="EJ68">
        <v>1</v>
      </c>
      <c r="EK68">
        <v>15001</v>
      </c>
      <c r="EL68" t="s">
        <v>80</v>
      </c>
      <c r="EM68" t="s">
        <v>81</v>
      </c>
      <c r="EO68" t="s">
        <v>3</v>
      </c>
      <c r="EQ68">
        <v>0</v>
      </c>
      <c r="ER68">
        <v>15.09</v>
      </c>
      <c r="ES68">
        <v>15.09</v>
      </c>
      <c r="ET68">
        <v>0</v>
      </c>
      <c r="EU68">
        <v>0</v>
      </c>
      <c r="EV68">
        <v>0</v>
      </c>
      <c r="EW68">
        <v>0</v>
      </c>
      <c r="EX68">
        <v>0</v>
      </c>
      <c r="FQ68">
        <v>0</v>
      </c>
      <c r="FR68">
        <f t="shared" si="89"/>
        <v>0</v>
      </c>
      <c r="FS68">
        <v>0</v>
      </c>
      <c r="FT68" t="s">
        <v>46</v>
      </c>
      <c r="FU68" t="s">
        <v>47</v>
      </c>
      <c r="FX68">
        <v>94.5</v>
      </c>
      <c r="FY68">
        <v>46.75</v>
      </c>
      <c r="GA68" t="s">
        <v>3</v>
      </c>
      <c r="GD68">
        <v>0</v>
      </c>
      <c r="GF68">
        <v>1453462043</v>
      </c>
      <c r="GG68">
        <v>1</v>
      </c>
      <c r="GH68">
        <v>1</v>
      </c>
      <c r="GI68">
        <v>4</v>
      </c>
      <c r="GJ68">
        <v>0</v>
      </c>
      <c r="GK68">
        <f>ROUND(R68*(R12)/100,2)</f>
        <v>0</v>
      </c>
      <c r="GL68">
        <f t="shared" si="90"/>
        <v>0</v>
      </c>
      <c r="GM68">
        <f t="shared" si="91"/>
        <v>9140.36</v>
      </c>
      <c r="GN68">
        <f t="shared" si="92"/>
        <v>9140.36</v>
      </c>
      <c r="GO68">
        <f t="shared" si="93"/>
        <v>0</v>
      </c>
      <c r="GP68">
        <f t="shared" si="94"/>
        <v>0</v>
      </c>
      <c r="GR68">
        <v>0</v>
      </c>
      <c r="GS68">
        <v>0</v>
      </c>
      <c r="GT68">
        <v>0</v>
      </c>
      <c r="GU68" t="s">
        <v>3</v>
      </c>
      <c r="GV68">
        <f t="shared" si="95"/>
        <v>0</v>
      </c>
      <c r="GW68">
        <v>1</v>
      </c>
      <c r="GX68">
        <f t="shared" si="96"/>
        <v>0</v>
      </c>
      <c r="HA68">
        <v>0</v>
      </c>
      <c r="HB68">
        <v>0</v>
      </c>
      <c r="IK68">
        <v>0</v>
      </c>
    </row>
    <row r="69" spans="1:245" x14ac:dyDescent="0.2">
      <c r="A69">
        <v>17</v>
      </c>
      <c r="B69">
        <v>1</v>
      </c>
      <c r="C69">
        <f>ROW(SmtRes!A105)</f>
        <v>105</v>
      </c>
      <c r="D69">
        <f>ROW(EtalonRes!A96)</f>
        <v>96</v>
      </c>
      <c r="E69" t="s">
        <v>194</v>
      </c>
      <c r="F69" t="s">
        <v>195</v>
      </c>
      <c r="G69" t="s">
        <v>196</v>
      </c>
      <c r="H69" t="s">
        <v>25</v>
      </c>
      <c r="I69">
        <v>4.6379999999999999</v>
      </c>
      <c r="J69">
        <v>0</v>
      </c>
      <c r="O69">
        <f t="shared" si="64"/>
        <v>20461.32</v>
      </c>
      <c r="P69">
        <f t="shared" si="65"/>
        <v>8489.2099999999991</v>
      </c>
      <c r="Q69">
        <f t="shared" si="66"/>
        <v>317.7</v>
      </c>
      <c r="R69">
        <f t="shared" si="67"/>
        <v>60.88</v>
      </c>
      <c r="S69">
        <f t="shared" si="68"/>
        <v>11654.41</v>
      </c>
      <c r="T69">
        <f t="shared" si="69"/>
        <v>0</v>
      </c>
      <c r="U69">
        <f t="shared" si="70"/>
        <v>198.97019999999998</v>
      </c>
      <c r="V69">
        <f t="shared" si="71"/>
        <v>0.78846000000000005</v>
      </c>
      <c r="W69">
        <f t="shared" si="72"/>
        <v>0</v>
      </c>
      <c r="X69">
        <f t="shared" si="73"/>
        <v>11129.53</v>
      </c>
      <c r="Y69">
        <f t="shared" si="74"/>
        <v>5506.19</v>
      </c>
      <c r="AA69">
        <v>39099382</v>
      </c>
      <c r="AB69">
        <f t="shared" si="75"/>
        <v>675.6</v>
      </c>
      <c r="AC69">
        <f t="shared" si="58"/>
        <v>280.3</v>
      </c>
      <c r="AD69">
        <f t="shared" si="97"/>
        <v>10.49</v>
      </c>
      <c r="AE69">
        <f t="shared" si="98"/>
        <v>2.0099999999999998</v>
      </c>
      <c r="AF69">
        <f t="shared" si="99"/>
        <v>384.81</v>
      </c>
      <c r="AG69">
        <f t="shared" si="76"/>
        <v>0</v>
      </c>
      <c r="AH69">
        <f t="shared" si="100"/>
        <v>42.9</v>
      </c>
      <c r="AI69">
        <f t="shared" si="101"/>
        <v>0.17</v>
      </c>
      <c r="AJ69">
        <f t="shared" si="77"/>
        <v>0</v>
      </c>
      <c r="AK69">
        <v>675.6</v>
      </c>
      <c r="AL69">
        <v>280.3</v>
      </c>
      <c r="AM69">
        <v>10.49</v>
      </c>
      <c r="AN69">
        <v>2.0099999999999998</v>
      </c>
      <c r="AO69">
        <v>384.81</v>
      </c>
      <c r="AP69">
        <v>0</v>
      </c>
      <c r="AQ69">
        <v>42.9</v>
      </c>
      <c r="AR69">
        <v>0.17</v>
      </c>
      <c r="AS69">
        <v>0</v>
      </c>
      <c r="AT69">
        <v>95</v>
      </c>
      <c r="AU69">
        <v>47</v>
      </c>
      <c r="AV69">
        <v>1</v>
      </c>
      <c r="AW69">
        <v>1</v>
      </c>
      <c r="AZ69">
        <v>6.53</v>
      </c>
      <c r="BA69">
        <v>6.53</v>
      </c>
      <c r="BB69">
        <v>6.53</v>
      </c>
      <c r="BC69">
        <v>6.53</v>
      </c>
      <c r="BD69" t="s">
        <v>3</v>
      </c>
      <c r="BE69" t="s">
        <v>3</v>
      </c>
      <c r="BF69" t="s">
        <v>3</v>
      </c>
      <c r="BG69" t="s">
        <v>3</v>
      </c>
      <c r="BH69">
        <v>0</v>
      </c>
      <c r="BI69">
        <v>1</v>
      </c>
      <c r="BJ69" t="s">
        <v>197</v>
      </c>
      <c r="BM69">
        <v>15001</v>
      </c>
      <c r="BN69">
        <v>0</v>
      </c>
      <c r="BO69" t="s">
        <v>3</v>
      </c>
      <c r="BP69">
        <v>0</v>
      </c>
      <c r="BQ69">
        <v>2</v>
      </c>
      <c r="BR69">
        <v>0</v>
      </c>
      <c r="BS69">
        <v>6.53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3</v>
      </c>
      <c r="BZ69">
        <v>105</v>
      </c>
      <c r="CA69">
        <v>55</v>
      </c>
      <c r="CF69">
        <v>0</v>
      </c>
      <c r="CG69">
        <v>0</v>
      </c>
      <c r="CM69">
        <v>0</v>
      </c>
      <c r="CN69" t="s">
        <v>3</v>
      </c>
      <c r="CO69">
        <v>0</v>
      </c>
      <c r="CP69">
        <f t="shared" si="78"/>
        <v>20461.32</v>
      </c>
      <c r="CQ69">
        <f t="shared" si="79"/>
        <v>1830.3590000000002</v>
      </c>
      <c r="CR69">
        <f t="shared" si="80"/>
        <v>68.499700000000004</v>
      </c>
      <c r="CS69">
        <f t="shared" si="81"/>
        <v>13.125299999999999</v>
      </c>
      <c r="CT69">
        <f t="shared" si="82"/>
        <v>2512.8092999999999</v>
      </c>
      <c r="CU69">
        <f t="shared" si="83"/>
        <v>0</v>
      </c>
      <c r="CV69">
        <f t="shared" si="84"/>
        <v>42.9</v>
      </c>
      <c r="CW69">
        <f t="shared" si="85"/>
        <v>0.17</v>
      </c>
      <c r="CX69">
        <f t="shared" si="86"/>
        <v>0</v>
      </c>
      <c r="CY69">
        <f t="shared" si="87"/>
        <v>11129.525499999998</v>
      </c>
      <c r="CZ69">
        <f t="shared" si="88"/>
        <v>5506.1863000000003</v>
      </c>
      <c r="DC69" t="s">
        <v>3</v>
      </c>
      <c r="DD69" t="s">
        <v>3</v>
      </c>
      <c r="DE69" t="s">
        <v>3</v>
      </c>
      <c r="DF69" t="s">
        <v>3</v>
      </c>
      <c r="DG69" t="s">
        <v>3</v>
      </c>
      <c r="DH69" t="s">
        <v>3</v>
      </c>
      <c r="DI69" t="s">
        <v>3</v>
      </c>
      <c r="DJ69" t="s">
        <v>3</v>
      </c>
      <c r="DK69" t="s">
        <v>3</v>
      </c>
      <c r="DL69" t="s">
        <v>3</v>
      </c>
      <c r="DM69" t="s">
        <v>3</v>
      </c>
      <c r="DN69">
        <v>0</v>
      </c>
      <c r="DO69">
        <v>0</v>
      </c>
      <c r="DP69">
        <v>1</v>
      </c>
      <c r="DQ69">
        <v>1</v>
      </c>
      <c r="DU69">
        <v>1005</v>
      </c>
      <c r="DV69" t="s">
        <v>25</v>
      </c>
      <c r="DW69" t="s">
        <v>25</v>
      </c>
      <c r="DX69">
        <v>100</v>
      </c>
      <c r="EE69">
        <v>39174529</v>
      </c>
      <c r="EF69">
        <v>2</v>
      </c>
      <c r="EG69" t="s">
        <v>43</v>
      </c>
      <c r="EH69">
        <v>0</v>
      </c>
      <c r="EI69" t="s">
        <v>3</v>
      </c>
      <c r="EJ69">
        <v>1</v>
      </c>
      <c r="EK69">
        <v>15001</v>
      </c>
      <c r="EL69" t="s">
        <v>80</v>
      </c>
      <c r="EM69" t="s">
        <v>81</v>
      </c>
      <c r="EO69" t="s">
        <v>3</v>
      </c>
      <c r="EQ69">
        <v>0</v>
      </c>
      <c r="ER69">
        <v>675.6</v>
      </c>
      <c r="ES69">
        <v>280.3</v>
      </c>
      <c r="ET69">
        <v>10.49</v>
      </c>
      <c r="EU69">
        <v>2.0099999999999998</v>
      </c>
      <c r="EV69">
        <v>384.81</v>
      </c>
      <c r="EW69">
        <v>42.9</v>
      </c>
      <c r="EX69">
        <v>0.17</v>
      </c>
      <c r="EY69">
        <v>0</v>
      </c>
      <c r="FQ69">
        <v>0</v>
      </c>
      <c r="FR69">
        <f t="shared" si="89"/>
        <v>0</v>
      </c>
      <c r="FS69">
        <v>0</v>
      </c>
      <c r="FT69" t="s">
        <v>46</v>
      </c>
      <c r="FU69" t="s">
        <v>47</v>
      </c>
      <c r="FX69">
        <v>94.5</v>
      </c>
      <c r="FY69">
        <v>46.75</v>
      </c>
      <c r="GA69" t="s">
        <v>3</v>
      </c>
      <c r="GD69">
        <v>0</v>
      </c>
      <c r="GF69">
        <v>1360681551</v>
      </c>
      <c r="GG69">
        <v>1</v>
      </c>
      <c r="GH69">
        <v>1</v>
      </c>
      <c r="GI69">
        <v>4</v>
      </c>
      <c r="GJ69">
        <v>0</v>
      </c>
      <c r="GK69">
        <f>ROUND(R69*(R12)/100,2)</f>
        <v>0</v>
      </c>
      <c r="GL69">
        <f t="shared" si="90"/>
        <v>0</v>
      </c>
      <c r="GM69">
        <f t="shared" si="91"/>
        <v>37097.040000000001</v>
      </c>
      <c r="GN69">
        <f t="shared" si="92"/>
        <v>37097.040000000001</v>
      </c>
      <c r="GO69">
        <f t="shared" si="93"/>
        <v>0</v>
      </c>
      <c r="GP69">
        <f t="shared" si="94"/>
        <v>0</v>
      </c>
      <c r="GR69">
        <v>0</v>
      </c>
      <c r="GS69">
        <v>0</v>
      </c>
      <c r="GT69">
        <v>0</v>
      </c>
      <c r="GU69" t="s">
        <v>3</v>
      </c>
      <c r="GV69">
        <f t="shared" si="95"/>
        <v>0</v>
      </c>
      <c r="GW69">
        <v>1</v>
      </c>
      <c r="GX69">
        <f t="shared" si="96"/>
        <v>0</v>
      </c>
      <c r="HA69">
        <v>0</v>
      </c>
      <c r="HB69">
        <v>0</v>
      </c>
      <c r="IK69">
        <v>0</v>
      </c>
    </row>
    <row r="70" spans="1:245" x14ac:dyDescent="0.2">
      <c r="A70">
        <v>18</v>
      </c>
      <c r="B70">
        <v>1</v>
      </c>
      <c r="C70">
        <v>103</v>
      </c>
      <c r="E70" t="s">
        <v>198</v>
      </c>
      <c r="F70" t="s">
        <v>199</v>
      </c>
      <c r="G70" t="s">
        <v>200</v>
      </c>
      <c r="H70" t="s">
        <v>189</v>
      </c>
      <c r="I70">
        <f>I69*J70</f>
        <v>0.29219400000000001</v>
      </c>
      <c r="J70">
        <v>6.3E-2</v>
      </c>
      <c r="O70">
        <f t="shared" si="64"/>
        <v>0</v>
      </c>
      <c r="P70">
        <f t="shared" si="65"/>
        <v>0</v>
      </c>
      <c r="Q70">
        <f t="shared" si="66"/>
        <v>0</v>
      </c>
      <c r="R70">
        <f t="shared" si="67"/>
        <v>0</v>
      </c>
      <c r="S70">
        <f t="shared" si="68"/>
        <v>0</v>
      </c>
      <c r="T70">
        <f t="shared" si="69"/>
        <v>0</v>
      </c>
      <c r="U70">
        <f t="shared" si="70"/>
        <v>0</v>
      </c>
      <c r="V70">
        <f t="shared" si="71"/>
        <v>0</v>
      </c>
      <c r="W70">
        <f t="shared" si="72"/>
        <v>0</v>
      </c>
      <c r="X70">
        <f t="shared" si="73"/>
        <v>0</v>
      </c>
      <c r="Y70">
        <f t="shared" si="74"/>
        <v>0</v>
      </c>
      <c r="AA70">
        <v>39099382</v>
      </c>
      <c r="AB70">
        <f t="shared" si="75"/>
        <v>0</v>
      </c>
      <c r="AC70">
        <f t="shared" si="58"/>
        <v>0</v>
      </c>
      <c r="AD70">
        <f t="shared" si="97"/>
        <v>0</v>
      </c>
      <c r="AE70">
        <f t="shared" si="98"/>
        <v>0</v>
      </c>
      <c r="AF70">
        <f t="shared" si="99"/>
        <v>0</v>
      </c>
      <c r="AG70">
        <f t="shared" si="76"/>
        <v>0</v>
      </c>
      <c r="AH70">
        <f t="shared" si="100"/>
        <v>0</v>
      </c>
      <c r="AI70">
        <f t="shared" si="101"/>
        <v>0</v>
      </c>
      <c r="AJ70">
        <f t="shared" si="77"/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95</v>
      </c>
      <c r="AU70">
        <v>47</v>
      </c>
      <c r="AV70">
        <v>1</v>
      </c>
      <c r="AW70">
        <v>1</v>
      </c>
      <c r="AZ70">
        <v>6.53</v>
      </c>
      <c r="BA70">
        <v>1</v>
      </c>
      <c r="BB70">
        <v>1</v>
      </c>
      <c r="BC70">
        <v>6.53</v>
      </c>
      <c r="BD70" t="s">
        <v>3</v>
      </c>
      <c r="BE70" t="s">
        <v>3</v>
      </c>
      <c r="BF70" t="s">
        <v>3</v>
      </c>
      <c r="BG70" t="s">
        <v>3</v>
      </c>
      <c r="BH70">
        <v>3</v>
      </c>
      <c r="BI70">
        <v>1</v>
      </c>
      <c r="BJ70" t="s">
        <v>3</v>
      </c>
      <c r="BM70">
        <v>15001</v>
      </c>
      <c r="BN70">
        <v>0</v>
      </c>
      <c r="BO70" t="s">
        <v>3</v>
      </c>
      <c r="BP70">
        <v>0</v>
      </c>
      <c r="BQ70">
        <v>2</v>
      </c>
      <c r="BR70">
        <v>0</v>
      </c>
      <c r="BS70">
        <v>1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3</v>
      </c>
      <c r="BZ70">
        <v>105</v>
      </c>
      <c r="CA70">
        <v>55</v>
      </c>
      <c r="CF70">
        <v>0</v>
      </c>
      <c r="CG70">
        <v>0</v>
      </c>
      <c r="CM70">
        <v>0</v>
      </c>
      <c r="CN70" t="s">
        <v>3</v>
      </c>
      <c r="CO70">
        <v>0</v>
      </c>
      <c r="CP70">
        <f t="shared" si="78"/>
        <v>0</v>
      </c>
      <c r="CQ70">
        <f t="shared" si="79"/>
        <v>0</v>
      </c>
      <c r="CR70">
        <f t="shared" si="80"/>
        <v>0</v>
      </c>
      <c r="CS70">
        <f t="shared" si="81"/>
        <v>0</v>
      </c>
      <c r="CT70">
        <f t="shared" si="82"/>
        <v>0</v>
      </c>
      <c r="CU70">
        <f t="shared" si="83"/>
        <v>0</v>
      </c>
      <c r="CV70">
        <f t="shared" si="84"/>
        <v>0</v>
      </c>
      <c r="CW70">
        <f t="shared" si="85"/>
        <v>0</v>
      </c>
      <c r="CX70">
        <f t="shared" si="86"/>
        <v>0</v>
      </c>
      <c r="CY70">
        <f t="shared" si="87"/>
        <v>0</v>
      </c>
      <c r="CZ70">
        <f t="shared" si="88"/>
        <v>0</v>
      </c>
      <c r="DC70" t="s">
        <v>3</v>
      </c>
      <c r="DD70" t="s">
        <v>3</v>
      </c>
      <c r="DE70" t="s">
        <v>3</v>
      </c>
      <c r="DF70" t="s">
        <v>3</v>
      </c>
      <c r="DG70" t="s">
        <v>3</v>
      </c>
      <c r="DH70" t="s">
        <v>3</v>
      </c>
      <c r="DI70" t="s">
        <v>3</v>
      </c>
      <c r="DJ70" t="s">
        <v>3</v>
      </c>
      <c r="DK70" t="s">
        <v>3</v>
      </c>
      <c r="DL70" t="s">
        <v>3</v>
      </c>
      <c r="DM70" t="s">
        <v>3</v>
      </c>
      <c r="DN70">
        <v>0</v>
      </c>
      <c r="DO70">
        <v>0</v>
      </c>
      <c r="DP70">
        <v>1</v>
      </c>
      <c r="DQ70">
        <v>1</v>
      </c>
      <c r="DU70">
        <v>1009</v>
      </c>
      <c r="DV70" t="s">
        <v>189</v>
      </c>
      <c r="DW70" t="s">
        <v>189</v>
      </c>
      <c r="DX70">
        <v>1000</v>
      </c>
      <c r="EE70">
        <v>39174529</v>
      </c>
      <c r="EF70">
        <v>2</v>
      </c>
      <c r="EG70" t="s">
        <v>43</v>
      </c>
      <c r="EH70">
        <v>0</v>
      </c>
      <c r="EI70" t="s">
        <v>3</v>
      </c>
      <c r="EJ70">
        <v>1</v>
      </c>
      <c r="EK70">
        <v>15001</v>
      </c>
      <c r="EL70" t="s">
        <v>80</v>
      </c>
      <c r="EM70" t="s">
        <v>81</v>
      </c>
      <c r="EO70" t="s">
        <v>3</v>
      </c>
      <c r="EQ70">
        <v>0</v>
      </c>
      <c r="ER70">
        <v>0</v>
      </c>
      <c r="ES70">
        <v>0</v>
      </c>
      <c r="ET70">
        <v>0</v>
      </c>
      <c r="EU70">
        <v>0</v>
      </c>
      <c r="EV70">
        <v>0</v>
      </c>
      <c r="EW70">
        <v>0</v>
      </c>
      <c r="EX70">
        <v>0</v>
      </c>
      <c r="FQ70">
        <v>0</v>
      </c>
      <c r="FR70">
        <f t="shared" si="89"/>
        <v>0</v>
      </c>
      <c r="FS70">
        <v>0</v>
      </c>
      <c r="FT70" t="s">
        <v>46</v>
      </c>
      <c r="FU70" t="s">
        <v>47</v>
      </c>
      <c r="FX70">
        <v>94.5</v>
      </c>
      <c r="FY70">
        <v>46.75</v>
      </c>
      <c r="GA70" t="s">
        <v>3</v>
      </c>
      <c r="GD70">
        <v>0</v>
      </c>
      <c r="GF70">
        <v>1891904026</v>
      </c>
      <c r="GG70">
        <v>1</v>
      </c>
      <c r="GH70">
        <v>1</v>
      </c>
      <c r="GI70">
        <v>4</v>
      </c>
      <c r="GJ70">
        <v>0</v>
      </c>
      <c r="GK70">
        <f>ROUND(R70*(R12)/100,2)</f>
        <v>0</v>
      </c>
      <c r="GL70">
        <f t="shared" si="90"/>
        <v>0</v>
      </c>
      <c r="GM70">
        <f t="shared" si="91"/>
        <v>0</v>
      </c>
      <c r="GN70">
        <f t="shared" si="92"/>
        <v>0</v>
      </c>
      <c r="GO70">
        <f t="shared" si="93"/>
        <v>0</v>
      </c>
      <c r="GP70">
        <f t="shared" si="94"/>
        <v>0</v>
      </c>
      <c r="GR70">
        <v>0</v>
      </c>
      <c r="GS70">
        <v>3</v>
      </c>
      <c r="GT70">
        <v>0</v>
      </c>
      <c r="GU70" t="s">
        <v>3</v>
      </c>
      <c r="GV70">
        <f t="shared" si="95"/>
        <v>0</v>
      </c>
      <c r="GW70">
        <v>1</v>
      </c>
      <c r="GX70">
        <f t="shared" si="96"/>
        <v>0</v>
      </c>
      <c r="HA70">
        <v>0</v>
      </c>
      <c r="HB70">
        <v>0</v>
      </c>
      <c r="IK70">
        <v>0</v>
      </c>
    </row>
    <row r="71" spans="1:245" x14ac:dyDescent="0.2">
      <c r="A71">
        <v>18</v>
      </c>
      <c r="B71">
        <v>1</v>
      </c>
      <c r="C71">
        <v>104</v>
      </c>
      <c r="E71" t="s">
        <v>201</v>
      </c>
      <c r="F71" t="s">
        <v>202</v>
      </c>
      <c r="G71" t="s">
        <v>203</v>
      </c>
      <c r="H71" t="s">
        <v>189</v>
      </c>
      <c r="I71">
        <f>I69*J71</f>
        <v>0.29219400000000001</v>
      </c>
      <c r="J71">
        <v>6.3E-2</v>
      </c>
      <c r="O71">
        <f t="shared" si="64"/>
        <v>38110.300000000003</v>
      </c>
      <c r="P71">
        <f t="shared" si="65"/>
        <v>38110.300000000003</v>
      </c>
      <c r="Q71">
        <f t="shared" si="66"/>
        <v>0</v>
      </c>
      <c r="R71">
        <f t="shared" si="67"/>
        <v>0</v>
      </c>
      <c r="S71">
        <f t="shared" si="68"/>
        <v>0</v>
      </c>
      <c r="T71">
        <f t="shared" si="69"/>
        <v>0</v>
      </c>
      <c r="U71">
        <f t="shared" si="70"/>
        <v>0</v>
      </c>
      <c r="V71">
        <f t="shared" si="71"/>
        <v>0</v>
      </c>
      <c r="W71">
        <f t="shared" si="72"/>
        <v>0</v>
      </c>
      <c r="X71">
        <f t="shared" si="73"/>
        <v>0</v>
      </c>
      <c r="Y71">
        <f t="shared" si="74"/>
        <v>0</v>
      </c>
      <c r="AA71">
        <v>39099382</v>
      </c>
      <c r="AB71">
        <f t="shared" si="75"/>
        <v>19973.669999999998</v>
      </c>
      <c r="AC71">
        <f t="shared" si="58"/>
        <v>19973.669999999998</v>
      </c>
      <c r="AD71">
        <f t="shared" si="97"/>
        <v>0</v>
      </c>
      <c r="AE71">
        <f t="shared" si="98"/>
        <v>0</v>
      </c>
      <c r="AF71">
        <f t="shared" si="99"/>
        <v>0</v>
      </c>
      <c r="AG71">
        <f t="shared" si="76"/>
        <v>0</v>
      </c>
      <c r="AH71">
        <f t="shared" si="100"/>
        <v>0</v>
      </c>
      <c r="AI71">
        <f t="shared" si="101"/>
        <v>0</v>
      </c>
      <c r="AJ71">
        <f t="shared" si="77"/>
        <v>0</v>
      </c>
      <c r="AK71">
        <v>19973.669999999998</v>
      </c>
      <c r="AL71">
        <v>19973.669999999998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95</v>
      </c>
      <c r="AU71">
        <v>47</v>
      </c>
      <c r="AV71">
        <v>1</v>
      </c>
      <c r="AW71">
        <v>1</v>
      </c>
      <c r="AZ71">
        <v>6.53</v>
      </c>
      <c r="BA71">
        <v>1</v>
      </c>
      <c r="BB71">
        <v>1</v>
      </c>
      <c r="BC71">
        <v>6.53</v>
      </c>
      <c r="BD71" t="s">
        <v>3</v>
      </c>
      <c r="BE71" t="s">
        <v>3</v>
      </c>
      <c r="BF71" t="s">
        <v>3</v>
      </c>
      <c r="BG71" t="s">
        <v>3</v>
      </c>
      <c r="BH71">
        <v>3</v>
      </c>
      <c r="BI71">
        <v>1</v>
      </c>
      <c r="BJ71" t="s">
        <v>204</v>
      </c>
      <c r="BM71">
        <v>15001</v>
      </c>
      <c r="BN71">
        <v>0</v>
      </c>
      <c r="BO71" t="s">
        <v>3</v>
      </c>
      <c r="BP71">
        <v>0</v>
      </c>
      <c r="BQ71">
        <v>2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3</v>
      </c>
      <c r="BZ71">
        <v>105</v>
      </c>
      <c r="CA71">
        <v>55</v>
      </c>
      <c r="CF71">
        <v>0</v>
      </c>
      <c r="CG71">
        <v>0</v>
      </c>
      <c r="CM71">
        <v>0</v>
      </c>
      <c r="CN71" t="s">
        <v>3</v>
      </c>
      <c r="CO71">
        <v>0</v>
      </c>
      <c r="CP71">
        <f t="shared" si="78"/>
        <v>38110.300000000003</v>
      </c>
      <c r="CQ71">
        <f t="shared" si="79"/>
        <v>130428.06509999999</v>
      </c>
      <c r="CR71">
        <f t="shared" si="80"/>
        <v>0</v>
      </c>
      <c r="CS71">
        <f t="shared" si="81"/>
        <v>0</v>
      </c>
      <c r="CT71">
        <f t="shared" si="82"/>
        <v>0</v>
      </c>
      <c r="CU71">
        <f t="shared" si="83"/>
        <v>0</v>
      </c>
      <c r="CV71">
        <f t="shared" si="84"/>
        <v>0</v>
      </c>
      <c r="CW71">
        <f t="shared" si="85"/>
        <v>0</v>
      </c>
      <c r="CX71">
        <f t="shared" si="86"/>
        <v>0</v>
      </c>
      <c r="CY71">
        <f t="shared" si="87"/>
        <v>0</v>
      </c>
      <c r="CZ71">
        <f t="shared" si="88"/>
        <v>0</v>
      </c>
      <c r="DC71" t="s">
        <v>3</v>
      </c>
      <c r="DD71" t="s">
        <v>3</v>
      </c>
      <c r="DE71" t="s">
        <v>3</v>
      </c>
      <c r="DF71" t="s">
        <v>3</v>
      </c>
      <c r="DG71" t="s">
        <v>3</v>
      </c>
      <c r="DH71" t="s">
        <v>3</v>
      </c>
      <c r="DI71" t="s">
        <v>3</v>
      </c>
      <c r="DJ71" t="s">
        <v>3</v>
      </c>
      <c r="DK71" t="s">
        <v>3</v>
      </c>
      <c r="DL71" t="s">
        <v>3</v>
      </c>
      <c r="DM71" t="s">
        <v>3</v>
      </c>
      <c r="DN71">
        <v>0</v>
      </c>
      <c r="DO71">
        <v>0</v>
      </c>
      <c r="DP71">
        <v>1</v>
      </c>
      <c r="DQ71">
        <v>1</v>
      </c>
      <c r="DU71">
        <v>1009</v>
      </c>
      <c r="DV71" t="s">
        <v>189</v>
      </c>
      <c r="DW71" t="s">
        <v>189</v>
      </c>
      <c r="DX71">
        <v>1000</v>
      </c>
      <c r="EE71">
        <v>39174529</v>
      </c>
      <c r="EF71">
        <v>2</v>
      </c>
      <c r="EG71" t="s">
        <v>43</v>
      </c>
      <c r="EH71">
        <v>0</v>
      </c>
      <c r="EI71" t="s">
        <v>3</v>
      </c>
      <c r="EJ71">
        <v>1</v>
      </c>
      <c r="EK71">
        <v>15001</v>
      </c>
      <c r="EL71" t="s">
        <v>80</v>
      </c>
      <c r="EM71" t="s">
        <v>81</v>
      </c>
      <c r="EO71" t="s">
        <v>3</v>
      </c>
      <c r="EQ71">
        <v>0</v>
      </c>
      <c r="ER71">
        <v>19973.669999999998</v>
      </c>
      <c r="ES71">
        <v>19973.669999999998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89"/>
        <v>0</v>
      </c>
      <c r="FS71">
        <v>0</v>
      </c>
      <c r="FT71" t="s">
        <v>46</v>
      </c>
      <c r="FU71" t="s">
        <v>47</v>
      </c>
      <c r="FX71">
        <v>94.5</v>
      </c>
      <c r="FY71">
        <v>46.75</v>
      </c>
      <c r="GA71" t="s">
        <v>3</v>
      </c>
      <c r="GD71">
        <v>0</v>
      </c>
      <c r="GF71">
        <v>772632804</v>
      </c>
      <c r="GG71">
        <v>1</v>
      </c>
      <c r="GH71">
        <v>1</v>
      </c>
      <c r="GI71">
        <v>4</v>
      </c>
      <c r="GJ71">
        <v>0</v>
      </c>
      <c r="GK71">
        <f>ROUND(R71*(R12)/100,2)</f>
        <v>0</v>
      </c>
      <c r="GL71">
        <f t="shared" si="90"/>
        <v>0</v>
      </c>
      <c r="GM71">
        <f t="shared" si="91"/>
        <v>38110.300000000003</v>
      </c>
      <c r="GN71">
        <f t="shared" si="92"/>
        <v>38110.300000000003</v>
      </c>
      <c r="GO71">
        <f t="shared" si="93"/>
        <v>0</v>
      </c>
      <c r="GP71">
        <f t="shared" si="94"/>
        <v>0</v>
      </c>
      <c r="GR71">
        <v>0</v>
      </c>
      <c r="GS71">
        <v>0</v>
      </c>
      <c r="GT71">
        <v>0</v>
      </c>
      <c r="GU71" t="s">
        <v>3</v>
      </c>
      <c r="GV71">
        <f t="shared" si="95"/>
        <v>0</v>
      </c>
      <c r="GW71">
        <v>1</v>
      </c>
      <c r="GX71">
        <f t="shared" si="96"/>
        <v>0</v>
      </c>
      <c r="HA71">
        <v>0</v>
      </c>
      <c r="HB71">
        <v>0</v>
      </c>
      <c r="IK71">
        <v>0</v>
      </c>
    </row>
    <row r="72" spans="1:245" x14ac:dyDescent="0.2">
      <c r="A72">
        <v>17</v>
      </c>
      <c r="B72">
        <v>1</v>
      </c>
      <c r="C72">
        <f>ROW(SmtRes!A114)</f>
        <v>114</v>
      </c>
      <c r="D72">
        <f>ROW(EtalonRes!A106)</f>
        <v>106</v>
      </c>
      <c r="E72" t="s">
        <v>205</v>
      </c>
      <c r="F72" t="s">
        <v>206</v>
      </c>
      <c r="G72" t="s">
        <v>207</v>
      </c>
      <c r="H72" t="s">
        <v>25</v>
      </c>
      <c r="I72">
        <f>ROUND(31.5/100,9)</f>
        <v>0.315</v>
      </c>
      <c r="J72">
        <v>0</v>
      </c>
      <c r="O72">
        <f t="shared" si="64"/>
        <v>932.93</v>
      </c>
      <c r="P72">
        <f t="shared" si="65"/>
        <v>0</v>
      </c>
      <c r="Q72">
        <f t="shared" si="66"/>
        <v>141.07</v>
      </c>
      <c r="R72">
        <f t="shared" si="67"/>
        <v>27.79</v>
      </c>
      <c r="S72">
        <f t="shared" si="68"/>
        <v>791.86</v>
      </c>
      <c r="T72">
        <f t="shared" si="69"/>
        <v>0</v>
      </c>
      <c r="U72">
        <f t="shared" si="70"/>
        <v>12.751200000000001</v>
      </c>
      <c r="V72">
        <f t="shared" si="71"/>
        <v>0.35783999999999999</v>
      </c>
      <c r="W72">
        <f t="shared" si="72"/>
        <v>0</v>
      </c>
      <c r="X72">
        <f t="shared" si="73"/>
        <v>778.67</v>
      </c>
      <c r="Y72">
        <f t="shared" si="74"/>
        <v>385.24</v>
      </c>
      <c r="AA72">
        <v>39099382</v>
      </c>
      <c r="AB72">
        <f t="shared" si="75"/>
        <v>453.55</v>
      </c>
      <c r="AC72">
        <f>ROUND(((ES72*0)),2)</f>
        <v>0</v>
      </c>
      <c r="AD72">
        <f>ROUND(((((ET72*0.8))-((EU72*0.8)))+AE72),2)</f>
        <v>68.58</v>
      </c>
      <c r="AE72">
        <f>ROUND(((EU72*0.8)),2)</f>
        <v>13.51</v>
      </c>
      <c r="AF72">
        <f>ROUND(((EV72*0.8)),2)</f>
        <v>384.97</v>
      </c>
      <c r="AG72">
        <f t="shared" si="76"/>
        <v>0</v>
      </c>
      <c r="AH72">
        <f>((EW72*0.8))</f>
        <v>40.480000000000004</v>
      </c>
      <c r="AI72">
        <f>((EX72*0.8))</f>
        <v>1.1359999999999999</v>
      </c>
      <c r="AJ72">
        <f t="shared" si="77"/>
        <v>0</v>
      </c>
      <c r="AK72">
        <v>686.77</v>
      </c>
      <c r="AL72">
        <v>119.83</v>
      </c>
      <c r="AM72">
        <v>85.73</v>
      </c>
      <c r="AN72">
        <v>16.89</v>
      </c>
      <c r="AO72">
        <v>481.21</v>
      </c>
      <c r="AP72">
        <v>0</v>
      </c>
      <c r="AQ72">
        <v>50.6</v>
      </c>
      <c r="AR72">
        <v>1.42</v>
      </c>
      <c r="AS72">
        <v>0</v>
      </c>
      <c r="AT72">
        <v>95</v>
      </c>
      <c r="AU72">
        <v>47</v>
      </c>
      <c r="AV72">
        <v>1</v>
      </c>
      <c r="AW72">
        <v>1</v>
      </c>
      <c r="AZ72">
        <v>6.53</v>
      </c>
      <c r="BA72">
        <v>6.53</v>
      </c>
      <c r="BB72">
        <v>6.53</v>
      </c>
      <c r="BC72">
        <v>6.53</v>
      </c>
      <c r="BD72" t="s">
        <v>3</v>
      </c>
      <c r="BE72" t="s">
        <v>3</v>
      </c>
      <c r="BF72" t="s">
        <v>3</v>
      </c>
      <c r="BG72" t="s">
        <v>3</v>
      </c>
      <c r="BH72">
        <v>0</v>
      </c>
      <c r="BI72">
        <v>1</v>
      </c>
      <c r="BJ72" t="s">
        <v>208</v>
      </c>
      <c r="BM72">
        <v>15001</v>
      </c>
      <c r="BN72">
        <v>0</v>
      </c>
      <c r="BO72" t="s">
        <v>3</v>
      </c>
      <c r="BP72">
        <v>0</v>
      </c>
      <c r="BQ72">
        <v>2</v>
      </c>
      <c r="BR72">
        <v>0</v>
      </c>
      <c r="BS72">
        <v>6.53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3</v>
      </c>
      <c r="BZ72">
        <v>105</v>
      </c>
      <c r="CA72">
        <v>55</v>
      </c>
      <c r="CF72">
        <v>0</v>
      </c>
      <c r="CG72">
        <v>0</v>
      </c>
      <c r="CM72">
        <v>0</v>
      </c>
      <c r="CN72" t="s">
        <v>209</v>
      </c>
      <c r="CO72">
        <v>0</v>
      </c>
      <c r="CP72">
        <f t="shared" si="78"/>
        <v>932.93000000000006</v>
      </c>
      <c r="CQ72">
        <f t="shared" si="79"/>
        <v>0</v>
      </c>
      <c r="CR72">
        <f t="shared" si="80"/>
        <v>447.82740000000001</v>
      </c>
      <c r="CS72">
        <f t="shared" si="81"/>
        <v>88.220300000000009</v>
      </c>
      <c r="CT72">
        <f t="shared" si="82"/>
        <v>2513.8541000000005</v>
      </c>
      <c r="CU72">
        <f t="shared" si="83"/>
        <v>0</v>
      </c>
      <c r="CV72">
        <f t="shared" si="84"/>
        <v>40.480000000000004</v>
      </c>
      <c r="CW72">
        <f t="shared" si="85"/>
        <v>1.1359999999999999</v>
      </c>
      <c r="CX72">
        <f t="shared" si="86"/>
        <v>0</v>
      </c>
      <c r="CY72">
        <f t="shared" si="87"/>
        <v>778.66750000000002</v>
      </c>
      <c r="CZ72">
        <f t="shared" si="88"/>
        <v>385.23549999999994</v>
      </c>
      <c r="DC72" t="s">
        <v>3</v>
      </c>
      <c r="DD72" t="s">
        <v>210</v>
      </c>
      <c r="DE72" t="s">
        <v>211</v>
      </c>
      <c r="DF72" t="s">
        <v>211</v>
      </c>
      <c r="DG72" t="s">
        <v>211</v>
      </c>
      <c r="DH72" t="s">
        <v>3</v>
      </c>
      <c r="DI72" t="s">
        <v>211</v>
      </c>
      <c r="DJ72" t="s">
        <v>211</v>
      </c>
      <c r="DK72" t="s">
        <v>3</v>
      </c>
      <c r="DL72" t="s">
        <v>3</v>
      </c>
      <c r="DM72" t="s">
        <v>3</v>
      </c>
      <c r="DN72">
        <v>0</v>
      </c>
      <c r="DO72">
        <v>0</v>
      </c>
      <c r="DP72">
        <v>1</v>
      </c>
      <c r="DQ72">
        <v>1</v>
      </c>
      <c r="DU72">
        <v>1005</v>
      </c>
      <c r="DV72" t="s">
        <v>25</v>
      </c>
      <c r="DW72" t="s">
        <v>25</v>
      </c>
      <c r="DX72">
        <v>100</v>
      </c>
      <c r="EE72">
        <v>39174529</v>
      </c>
      <c r="EF72">
        <v>2</v>
      </c>
      <c r="EG72" t="s">
        <v>43</v>
      </c>
      <c r="EH72">
        <v>0</v>
      </c>
      <c r="EI72" t="s">
        <v>3</v>
      </c>
      <c r="EJ72">
        <v>1</v>
      </c>
      <c r="EK72">
        <v>15001</v>
      </c>
      <c r="EL72" t="s">
        <v>80</v>
      </c>
      <c r="EM72" t="s">
        <v>81</v>
      </c>
      <c r="EO72" t="s">
        <v>212</v>
      </c>
      <c r="EQ72">
        <v>0</v>
      </c>
      <c r="ER72">
        <v>686.77</v>
      </c>
      <c r="ES72">
        <v>119.83</v>
      </c>
      <c r="ET72">
        <v>85.73</v>
      </c>
      <c r="EU72">
        <v>16.89</v>
      </c>
      <c r="EV72">
        <v>481.21</v>
      </c>
      <c r="EW72">
        <v>50.6</v>
      </c>
      <c r="EX72">
        <v>1.42</v>
      </c>
      <c r="EY72">
        <v>0</v>
      </c>
      <c r="FQ72">
        <v>0</v>
      </c>
      <c r="FR72">
        <f t="shared" si="89"/>
        <v>0</v>
      </c>
      <c r="FS72">
        <v>0</v>
      </c>
      <c r="FT72" t="s">
        <v>46</v>
      </c>
      <c r="FU72" t="s">
        <v>47</v>
      </c>
      <c r="FX72">
        <v>94.5</v>
      </c>
      <c r="FY72">
        <v>46.75</v>
      </c>
      <c r="GA72" t="s">
        <v>3</v>
      </c>
      <c r="GD72">
        <v>0</v>
      </c>
      <c r="GF72">
        <v>-1924098841</v>
      </c>
      <c r="GG72">
        <v>1</v>
      </c>
      <c r="GH72">
        <v>1</v>
      </c>
      <c r="GI72">
        <v>4</v>
      </c>
      <c r="GJ72">
        <v>0</v>
      </c>
      <c r="GK72">
        <f>ROUND(R72*(R12)/100,2)</f>
        <v>0</v>
      </c>
      <c r="GL72">
        <f t="shared" si="90"/>
        <v>0</v>
      </c>
      <c r="GM72">
        <f t="shared" si="91"/>
        <v>2096.84</v>
      </c>
      <c r="GN72">
        <f t="shared" si="92"/>
        <v>2096.84</v>
      </c>
      <c r="GO72">
        <f t="shared" si="93"/>
        <v>0</v>
      </c>
      <c r="GP72">
        <f t="shared" si="94"/>
        <v>0</v>
      </c>
      <c r="GR72">
        <v>0</v>
      </c>
      <c r="GS72">
        <v>3</v>
      </c>
      <c r="GT72">
        <v>0</v>
      </c>
      <c r="GU72" t="s">
        <v>3</v>
      </c>
      <c r="GV72">
        <f t="shared" si="95"/>
        <v>0</v>
      </c>
      <c r="GW72">
        <v>1</v>
      </c>
      <c r="GX72">
        <f t="shared" si="96"/>
        <v>0</v>
      </c>
      <c r="HA72">
        <v>0</v>
      </c>
      <c r="HB72">
        <v>0</v>
      </c>
      <c r="IK72">
        <v>0</v>
      </c>
    </row>
    <row r="73" spans="1:245" x14ac:dyDescent="0.2">
      <c r="A73">
        <v>17</v>
      </c>
      <c r="B73">
        <v>1</v>
      </c>
      <c r="C73">
        <f>ROW(SmtRes!A123)</f>
        <v>123</v>
      </c>
      <c r="D73">
        <f>ROW(EtalonRes!A116)</f>
        <v>116</v>
      </c>
      <c r="E73" t="s">
        <v>213</v>
      </c>
      <c r="F73" t="s">
        <v>206</v>
      </c>
      <c r="G73" t="s">
        <v>214</v>
      </c>
      <c r="H73" t="s">
        <v>25</v>
      </c>
      <c r="I73">
        <f>ROUND(31.5/100,9)</f>
        <v>0.315</v>
      </c>
      <c r="J73">
        <v>0</v>
      </c>
      <c r="O73">
        <f t="shared" si="64"/>
        <v>932.93</v>
      </c>
      <c r="P73">
        <f t="shared" si="65"/>
        <v>0</v>
      </c>
      <c r="Q73">
        <f t="shared" si="66"/>
        <v>141.07</v>
      </c>
      <c r="R73">
        <f t="shared" si="67"/>
        <v>27.79</v>
      </c>
      <c r="S73">
        <f t="shared" si="68"/>
        <v>791.86</v>
      </c>
      <c r="T73">
        <f t="shared" si="69"/>
        <v>0</v>
      </c>
      <c r="U73">
        <f t="shared" si="70"/>
        <v>12.751200000000001</v>
      </c>
      <c r="V73">
        <f t="shared" si="71"/>
        <v>0.35783999999999999</v>
      </c>
      <c r="W73">
        <f t="shared" si="72"/>
        <v>0</v>
      </c>
      <c r="X73">
        <f t="shared" si="73"/>
        <v>778.67</v>
      </c>
      <c r="Y73">
        <f t="shared" si="74"/>
        <v>385.24</v>
      </c>
      <c r="AA73">
        <v>39099382</v>
      </c>
      <c r="AB73">
        <f t="shared" si="75"/>
        <v>453.55</v>
      </c>
      <c r="AC73">
        <f>ROUND(((ES73*0)),2)</f>
        <v>0</v>
      </c>
      <c r="AD73">
        <f>ROUND(((((ET73*0.8))-((EU73*0.8)))+AE73),2)</f>
        <v>68.58</v>
      </c>
      <c r="AE73">
        <f>ROUND(((EU73*0.8)),2)</f>
        <v>13.51</v>
      </c>
      <c r="AF73">
        <f>ROUND(((EV73*0.8)),2)</f>
        <v>384.97</v>
      </c>
      <c r="AG73">
        <f t="shared" si="76"/>
        <v>0</v>
      </c>
      <c r="AH73">
        <f>((EW73*0.8))</f>
        <v>40.480000000000004</v>
      </c>
      <c r="AI73">
        <f>((EX73*0.8))</f>
        <v>1.1359999999999999</v>
      </c>
      <c r="AJ73">
        <f t="shared" si="77"/>
        <v>0</v>
      </c>
      <c r="AK73">
        <v>686.77</v>
      </c>
      <c r="AL73">
        <v>119.83</v>
      </c>
      <c r="AM73">
        <v>85.73</v>
      </c>
      <c r="AN73">
        <v>16.89</v>
      </c>
      <c r="AO73">
        <v>481.21</v>
      </c>
      <c r="AP73">
        <v>0</v>
      </c>
      <c r="AQ73">
        <v>50.6</v>
      </c>
      <c r="AR73">
        <v>1.42</v>
      </c>
      <c r="AS73">
        <v>0</v>
      </c>
      <c r="AT73">
        <v>95</v>
      </c>
      <c r="AU73">
        <v>47</v>
      </c>
      <c r="AV73">
        <v>1</v>
      </c>
      <c r="AW73">
        <v>1</v>
      </c>
      <c r="AZ73">
        <v>6.53</v>
      </c>
      <c r="BA73">
        <v>6.53</v>
      </c>
      <c r="BB73">
        <v>6.53</v>
      </c>
      <c r="BC73">
        <v>6.53</v>
      </c>
      <c r="BD73" t="s">
        <v>3</v>
      </c>
      <c r="BE73" t="s">
        <v>3</v>
      </c>
      <c r="BF73" t="s">
        <v>3</v>
      </c>
      <c r="BG73" t="s">
        <v>3</v>
      </c>
      <c r="BH73">
        <v>0</v>
      </c>
      <c r="BI73">
        <v>1</v>
      </c>
      <c r="BJ73" t="s">
        <v>208</v>
      </c>
      <c r="BM73">
        <v>15001</v>
      </c>
      <c r="BN73">
        <v>0</v>
      </c>
      <c r="BO73" t="s">
        <v>3</v>
      </c>
      <c r="BP73">
        <v>0</v>
      </c>
      <c r="BQ73">
        <v>2</v>
      </c>
      <c r="BR73">
        <v>0</v>
      </c>
      <c r="BS73">
        <v>6.53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3</v>
      </c>
      <c r="BZ73">
        <v>105</v>
      </c>
      <c r="CA73">
        <v>55</v>
      </c>
      <c r="CF73">
        <v>0</v>
      </c>
      <c r="CG73">
        <v>0</v>
      </c>
      <c r="CM73">
        <v>0</v>
      </c>
      <c r="CN73" t="s">
        <v>209</v>
      </c>
      <c r="CO73">
        <v>0</v>
      </c>
      <c r="CP73">
        <f t="shared" si="78"/>
        <v>932.93000000000006</v>
      </c>
      <c r="CQ73">
        <f t="shared" si="79"/>
        <v>0</v>
      </c>
      <c r="CR73">
        <f t="shared" si="80"/>
        <v>447.82740000000001</v>
      </c>
      <c r="CS73">
        <f t="shared" si="81"/>
        <v>88.220300000000009</v>
      </c>
      <c r="CT73">
        <f t="shared" si="82"/>
        <v>2513.8541000000005</v>
      </c>
      <c r="CU73">
        <f t="shared" si="83"/>
        <v>0</v>
      </c>
      <c r="CV73">
        <f t="shared" si="84"/>
        <v>40.480000000000004</v>
      </c>
      <c r="CW73">
        <f t="shared" si="85"/>
        <v>1.1359999999999999</v>
      </c>
      <c r="CX73">
        <f t="shared" si="86"/>
        <v>0</v>
      </c>
      <c r="CY73">
        <f t="shared" si="87"/>
        <v>778.66750000000002</v>
      </c>
      <c r="CZ73">
        <f t="shared" si="88"/>
        <v>385.23549999999994</v>
      </c>
      <c r="DC73" t="s">
        <v>3</v>
      </c>
      <c r="DD73" t="s">
        <v>210</v>
      </c>
      <c r="DE73" t="s">
        <v>211</v>
      </c>
      <c r="DF73" t="s">
        <v>211</v>
      </c>
      <c r="DG73" t="s">
        <v>211</v>
      </c>
      <c r="DH73" t="s">
        <v>3</v>
      </c>
      <c r="DI73" t="s">
        <v>211</v>
      </c>
      <c r="DJ73" t="s">
        <v>211</v>
      </c>
      <c r="DK73" t="s">
        <v>3</v>
      </c>
      <c r="DL73" t="s">
        <v>3</v>
      </c>
      <c r="DM73" t="s">
        <v>3</v>
      </c>
      <c r="DN73">
        <v>0</v>
      </c>
      <c r="DO73">
        <v>0</v>
      </c>
      <c r="DP73">
        <v>1</v>
      </c>
      <c r="DQ73">
        <v>1</v>
      </c>
      <c r="DU73">
        <v>1005</v>
      </c>
      <c r="DV73" t="s">
        <v>25</v>
      </c>
      <c r="DW73" t="s">
        <v>25</v>
      </c>
      <c r="DX73">
        <v>100</v>
      </c>
      <c r="EE73">
        <v>39174529</v>
      </c>
      <c r="EF73">
        <v>2</v>
      </c>
      <c r="EG73" t="s">
        <v>43</v>
      </c>
      <c r="EH73">
        <v>0</v>
      </c>
      <c r="EI73" t="s">
        <v>3</v>
      </c>
      <c r="EJ73">
        <v>1</v>
      </c>
      <c r="EK73">
        <v>15001</v>
      </c>
      <c r="EL73" t="s">
        <v>80</v>
      </c>
      <c r="EM73" t="s">
        <v>81</v>
      </c>
      <c r="EO73" t="s">
        <v>212</v>
      </c>
      <c r="EQ73">
        <v>0</v>
      </c>
      <c r="ER73">
        <v>686.77</v>
      </c>
      <c r="ES73">
        <v>119.83</v>
      </c>
      <c r="ET73">
        <v>85.73</v>
      </c>
      <c r="EU73">
        <v>16.89</v>
      </c>
      <c r="EV73">
        <v>481.21</v>
      </c>
      <c r="EW73">
        <v>50.6</v>
      </c>
      <c r="EX73">
        <v>1.42</v>
      </c>
      <c r="EY73">
        <v>0</v>
      </c>
      <c r="FQ73">
        <v>0</v>
      </c>
      <c r="FR73">
        <f t="shared" si="89"/>
        <v>0</v>
      </c>
      <c r="FS73">
        <v>0</v>
      </c>
      <c r="FT73" t="s">
        <v>46</v>
      </c>
      <c r="FU73" t="s">
        <v>47</v>
      </c>
      <c r="FX73">
        <v>94.5</v>
      </c>
      <c r="FY73">
        <v>46.75</v>
      </c>
      <c r="GA73" t="s">
        <v>3</v>
      </c>
      <c r="GD73">
        <v>0</v>
      </c>
      <c r="GF73">
        <v>-850644404</v>
      </c>
      <c r="GG73">
        <v>1</v>
      </c>
      <c r="GH73">
        <v>1</v>
      </c>
      <c r="GI73">
        <v>4</v>
      </c>
      <c r="GJ73">
        <v>0</v>
      </c>
      <c r="GK73">
        <f>ROUND(R73*(R12)/100,2)</f>
        <v>0</v>
      </c>
      <c r="GL73">
        <f t="shared" si="90"/>
        <v>0</v>
      </c>
      <c r="GM73">
        <f t="shared" si="91"/>
        <v>2096.84</v>
      </c>
      <c r="GN73">
        <f t="shared" si="92"/>
        <v>2096.84</v>
      </c>
      <c r="GO73">
        <f t="shared" si="93"/>
        <v>0</v>
      </c>
      <c r="GP73">
        <f t="shared" si="94"/>
        <v>0</v>
      </c>
      <c r="GR73">
        <v>0</v>
      </c>
      <c r="GS73">
        <v>3</v>
      </c>
      <c r="GT73">
        <v>0</v>
      </c>
      <c r="GU73" t="s">
        <v>3</v>
      </c>
      <c r="GV73">
        <f t="shared" si="95"/>
        <v>0</v>
      </c>
      <c r="GW73">
        <v>1</v>
      </c>
      <c r="GX73">
        <f t="shared" si="96"/>
        <v>0</v>
      </c>
      <c r="HA73">
        <v>0</v>
      </c>
      <c r="HB73">
        <v>0</v>
      </c>
      <c r="IK73">
        <v>0</v>
      </c>
    </row>
    <row r="74" spans="1:245" x14ac:dyDescent="0.2">
      <c r="A74">
        <v>17</v>
      </c>
      <c r="B74">
        <v>1</v>
      </c>
      <c r="C74">
        <f>ROW(SmtRes!A125)</f>
        <v>125</v>
      </c>
      <c r="D74">
        <f>ROW(EtalonRes!A121)</f>
        <v>121</v>
      </c>
      <c r="E74" t="s">
        <v>215</v>
      </c>
      <c r="F74" t="s">
        <v>216</v>
      </c>
      <c r="G74" t="s">
        <v>217</v>
      </c>
      <c r="H74" t="s">
        <v>218</v>
      </c>
      <c r="I74">
        <f>ROUND(7/10,9)</f>
        <v>0.7</v>
      </c>
      <c r="J74">
        <v>0</v>
      </c>
      <c r="O74">
        <f t="shared" si="64"/>
        <v>49.28</v>
      </c>
      <c r="P74">
        <f t="shared" si="65"/>
        <v>0</v>
      </c>
      <c r="Q74">
        <f t="shared" si="66"/>
        <v>0</v>
      </c>
      <c r="R74">
        <f t="shared" si="67"/>
        <v>0</v>
      </c>
      <c r="S74">
        <f t="shared" si="68"/>
        <v>49.28</v>
      </c>
      <c r="T74">
        <f t="shared" si="69"/>
        <v>0</v>
      </c>
      <c r="U74">
        <f t="shared" si="70"/>
        <v>0.78399999999999992</v>
      </c>
      <c r="V74">
        <f t="shared" si="71"/>
        <v>0</v>
      </c>
      <c r="W74">
        <f t="shared" si="72"/>
        <v>0</v>
      </c>
      <c r="X74">
        <f t="shared" si="73"/>
        <v>56.67</v>
      </c>
      <c r="Y74">
        <f t="shared" si="74"/>
        <v>34.99</v>
      </c>
      <c r="AA74">
        <v>39099382</v>
      </c>
      <c r="AB74">
        <f t="shared" si="75"/>
        <v>10.78</v>
      </c>
      <c r="AC74">
        <f>ROUND(((ES74*0)),2)</f>
        <v>0</v>
      </c>
      <c r="AD74">
        <f>ROUND(((((ET74*0.4))-((EU74*0.4)))+AE74),2)</f>
        <v>0</v>
      </c>
      <c r="AE74">
        <f>ROUND(((EU74*0.4)),2)</f>
        <v>0</v>
      </c>
      <c r="AF74">
        <f>ROUND(((EV74*0.4)),2)</f>
        <v>10.78</v>
      </c>
      <c r="AG74">
        <f t="shared" si="76"/>
        <v>0</v>
      </c>
      <c r="AH74">
        <f>((EW74*0.4))</f>
        <v>1.1199999999999999</v>
      </c>
      <c r="AI74">
        <f>((EX74*0.4))</f>
        <v>0</v>
      </c>
      <c r="AJ74">
        <f t="shared" si="77"/>
        <v>0</v>
      </c>
      <c r="AK74">
        <v>27.54</v>
      </c>
      <c r="AL74">
        <v>0.6</v>
      </c>
      <c r="AM74">
        <v>0</v>
      </c>
      <c r="AN74">
        <v>0</v>
      </c>
      <c r="AO74">
        <v>26.94</v>
      </c>
      <c r="AP74">
        <v>0</v>
      </c>
      <c r="AQ74">
        <v>2.8</v>
      </c>
      <c r="AR74">
        <v>0</v>
      </c>
      <c r="AS74">
        <v>0</v>
      </c>
      <c r="AT74">
        <v>115</v>
      </c>
      <c r="AU74">
        <v>71</v>
      </c>
      <c r="AV74">
        <v>1</v>
      </c>
      <c r="AW74">
        <v>1</v>
      </c>
      <c r="AZ74">
        <v>6.53</v>
      </c>
      <c r="BA74">
        <v>6.53</v>
      </c>
      <c r="BB74">
        <v>6.53</v>
      </c>
      <c r="BC74">
        <v>6.53</v>
      </c>
      <c r="BD74" t="s">
        <v>3</v>
      </c>
      <c r="BE74" t="s">
        <v>3</v>
      </c>
      <c r="BF74" t="s">
        <v>3</v>
      </c>
      <c r="BG74" t="s">
        <v>3</v>
      </c>
      <c r="BH74">
        <v>0</v>
      </c>
      <c r="BI74">
        <v>1</v>
      </c>
      <c r="BJ74" t="s">
        <v>219</v>
      </c>
      <c r="BM74">
        <v>17001</v>
      </c>
      <c r="BN74">
        <v>0</v>
      </c>
      <c r="BO74" t="s">
        <v>3</v>
      </c>
      <c r="BP74">
        <v>0</v>
      </c>
      <c r="BQ74">
        <v>2</v>
      </c>
      <c r="BR74">
        <v>0</v>
      </c>
      <c r="BS74">
        <v>6.53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3</v>
      </c>
      <c r="BZ74">
        <v>128</v>
      </c>
      <c r="CA74">
        <v>83</v>
      </c>
      <c r="CF74">
        <v>0</v>
      </c>
      <c r="CG74">
        <v>0</v>
      </c>
      <c r="CM74">
        <v>0</v>
      </c>
      <c r="CN74" t="s">
        <v>220</v>
      </c>
      <c r="CO74">
        <v>0</v>
      </c>
      <c r="CP74">
        <f t="shared" si="78"/>
        <v>49.28</v>
      </c>
      <c r="CQ74">
        <f t="shared" si="79"/>
        <v>0</v>
      </c>
      <c r="CR74">
        <f t="shared" si="80"/>
        <v>0</v>
      </c>
      <c r="CS74">
        <f t="shared" si="81"/>
        <v>0</v>
      </c>
      <c r="CT74">
        <f t="shared" si="82"/>
        <v>70.3934</v>
      </c>
      <c r="CU74">
        <f t="shared" si="83"/>
        <v>0</v>
      </c>
      <c r="CV74">
        <f t="shared" si="84"/>
        <v>1.1199999999999999</v>
      </c>
      <c r="CW74">
        <f t="shared" si="85"/>
        <v>0</v>
      </c>
      <c r="CX74">
        <f t="shared" si="86"/>
        <v>0</v>
      </c>
      <c r="CY74">
        <f t="shared" si="87"/>
        <v>56.671999999999997</v>
      </c>
      <c r="CZ74">
        <f t="shared" si="88"/>
        <v>34.988799999999998</v>
      </c>
      <c r="DC74" t="s">
        <v>3</v>
      </c>
      <c r="DD74" t="s">
        <v>210</v>
      </c>
      <c r="DE74" t="s">
        <v>221</v>
      </c>
      <c r="DF74" t="s">
        <v>221</v>
      </c>
      <c r="DG74" t="s">
        <v>221</v>
      </c>
      <c r="DH74" t="s">
        <v>3</v>
      </c>
      <c r="DI74" t="s">
        <v>221</v>
      </c>
      <c r="DJ74" t="s">
        <v>221</v>
      </c>
      <c r="DK74" t="s">
        <v>3</v>
      </c>
      <c r="DL74" t="s">
        <v>3</v>
      </c>
      <c r="DM74" t="s">
        <v>3</v>
      </c>
      <c r="DN74">
        <v>0</v>
      </c>
      <c r="DO74">
        <v>0</v>
      </c>
      <c r="DP74">
        <v>1</v>
      </c>
      <c r="DQ74">
        <v>1</v>
      </c>
      <c r="DU74">
        <v>1013</v>
      </c>
      <c r="DV74" t="s">
        <v>218</v>
      </c>
      <c r="DW74" t="s">
        <v>218</v>
      </c>
      <c r="DX74">
        <v>1</v>
      </c>
      <c r="EE74">
        <v>39174531</v>
      </c>
      <c r="EF74">
        <v>2</v>
      </c>
      <c r="EG74" t="s">
        <v>43</v>
      </c>
      <c r="EH74">
        <v>0</v>
      </c>
      <c r="EI74" t="s">
        <v>3</v>
      </c>
      <c r="EJ74">
        <v>1</v>
      </c>
      <c r="EK74">
        <v>17001</v>
      </c>
      <c r="EL74" t="s">
        <v>222</v>
      </c>
      <c r="EM74" t="s">
        <v>223</v>
      </c>
      <c r="EO74" t="s">
        <v>224</v>
      </c>
      <c r="EQ74">
        <v>0</v>
      </c>
      <c r="ER74">
        <v>27.54</v>
      </c>
      <c r="ES74">
        <v>0.6</v>
      </c>
      <c r="ET74">
        <v>0</v>
      </c>
      <c r="EU74">
        <v>0</v>
      </c>
      <c r="EV74">
        <v>26.94</v>
      </c>
      <c r="EW74">
        <v>2.8</v>
      </c>
      <c r="EX74">
        <v>0</v>
      </c>
      <c r="EY74">
        <v>0</v>
      </c>
      <c r="FQ74">
        <v>0</v>
      </c>
      <c r="FR74">
        <f t="shared" si="89"/>
        <v>0</v>
      </c>
      <c r="FS74">
        <v>0</v>
      </c>
      <c r="FT74" t="s">
        <v>46</v>
      </c>
      <c r="FU74" t="s">
        <v>47</v>
      </c>
      <c r="FX74">
        <v>115.2</v>
      </c>
      <c r="FY74">
        <v>70.55</v>
      </c>
      <c r="GA74" t="s">
        <v>3</v>
      </c>
      <c r="GD74">
        <v>0</v>
      </c>
      <c r="GF74">
        <v>-845493729</v>
      </c>
      <c r="GG74">
        <v>1</v>
      </c>
      <c r="GH74">
        <v>1</v>
      </c>
      <c r="GI74">
        <v>4</v>
      </c>
      <c r="GJ74">
        <v>0</v>
      </c>
      <c r="GK74">
        <f>ROUND(R74*(R12)/100,2)</f>
        <v>0</v>
      </c>
      <c r="GL74">
        <f t="shared" si="90"/>
        <v>0</v>
      </c>
      <c r="GM74">
        <f t="shared" si="91"/>
        <v>140.94</v>
      </c>
      <c r="GN74">
        <f t="shared" si="92"/>
        <v>140.94</v>
      </c>
      <c r="GO74">
        <f t="shared" si="93"/>
        <v>0</v>
      </c>
      <c r="GP74">
        <f t="shared" si="94"/>
        <v>0</v>
      </c>
      <c r="GR74">
        <v>0</v>
      </c>
      <c r="GS74">
        <v>3</v>
      </c>
      <c r="GT74">
        <v>0</v>
      </c>
      <c r="GU74" t="s">
        <v>3</v>
      </c>
      <c r="GV74">
        <f t="shared" si="95"/>
        <v>0</v>
      </c>
      <c r="GW74">
        <v>1</v>
      </c>
      <c r="GX74">
        <f t="shared" si="96"/>
        <v>0</v>
      </c>
      <c r="HA74">
        <v>0</v>
      </c>
      <c r="HB74">
        <v>0</v>
      </c>
      <c r="IK74">
        <v>0</v>
      </c>
    </row>
    <row r="75" spans="1:245" x14ac:dyDescent="0.2">
      <c r="A75">
        <v>17</v>
      </c>
      <c r="B75">
        <v>1</v>
      </c>
      <c r="C75">
        <f>ROW(SmtRes!A128)</f>
        <v>128</v>
      </c>
      <c r="D75">
        <f>ROW(EtalonRes!A126)</f>
        <v>126</v>
      </c>
      <c r="E75" t="s">
        <v>225</v>
      </c>
      <c r="F75" t="s">
        <v>226</v>
      </c>
      <c r="G75" t="s">
        <v>227</v>
      </c>
      <c r="H75" t="s">
        <v>218</v>
      </c>
      <c r="I75">
        <f>ROUND(7/10,9)</f>
        <v>0.7</v>
      </c>
      <c r="J75">
        <v>0</v>
      </c>
      <c r="O75">
        <f t="shared" si="64"/>
        <v>125.88</v>
      </c>
      <c r="P75">
        <f t="shared" si="65"/>
        <v>2.74</v>
      </c>
      <c r="Q75">
        <f t="shared" si="66"/>
        <v>0</v>
      </c>
      <c r="R75">
        <f t="shared" si="67"/>
        <v>0</v>
      </c>
      <c r="S75">
        <f t="shared" si="68"/>
        <v>123.14</v>
      </c>
      <c r="T75">
        <f t="shared" si="69"/>
        <v>0</v>
      </c>
      <c r="U75">
        <f t="shared" si="70"/>
        <v>1.9599999999999997</v>
      </c>
      <c r="V75">
        <f t="shared" si="71"/>
        <v>0</v>
      </c>
      <c r="W75">
        <f t="shared" si="72"/>
        <v>0</v>
      </c>
      <c r="X75">
        <f t="shared" si="73"/>
        <v>141.61000000000001</v>
      </c>
      <c r="Y75">
        <f t="shared" si="74"/>
        <v>87.43</v>
      </c>
      <c r="AA75">
        <v>39099382</v>
      </c>
      <c r="AB75">
        <f t="shared" si="75"/>
        <v>27.54</v>
      </c>
      <c r="AC75">
        <f>ROUND((ES75),2)</f>
        <v>0.6</v>
      </c>
      <c r="AD75">
        <f>ROUND((((ET75)-(EU75))+AE75),2)</f>
        <v>0</v>
      </c>
      <c r="AE75">
        <f t="shared" ref="AE75:AF79" si="102">ROUND((EU75),2)</f>
        <v>0</v>
      </c>
      <c r="AF75">
        <f t="shared" si="102"/>
        <v>26.94</v>
      </c>
      <c r="AG75">
        <f t="shared" si="76"/>
        <v>0</v>
      </c>
      <c r="AH75">
        <f t="shared" ref="AH75:AI79" si="103">(EW75)</f>
        <v>2.8</v>
      </c>
      <c r="AI75">
        <f t="shared" si="103"/>
        <v>0</v>
      </c>
      <c r="AJ75">
        <f t="shared" si="77"/>
        <v>0</v>
      </c>
      <c r="AK75">
        <v>27.54</v>
      </c>
      <c r="AL75">
        <v>0.6</v>
      </c>
      <c r="AM75">
        <v>0</v>
      </c>
      <c r="AN75">
        <v>0</v>
      </c>
      <c r="AO75">
        <v>26.94</v>
      </c>
      <c r="AP75">
        <v>0</v>
      </c>
      <c r="AQ75">
        <v>2.8</v>
      </c>
      <c r="AR75">
        <v>0</v>
      </c>
      <c r="AS75">
        <v>0</v>
      </c>
      <c r="AT75">
        <v>115</v>
      </c>
      <c r="AU75">
        <v>71</v>
      </c>
      <c r="AV75">
        <v>1</v>
      </c>
      <c r="AW75">
        <v>1</v>
      </c>
      <c r="AZ75">
        <v>6.53</v>
      </c>
      <c r="BA75">
        <v>6.53</v>
      </c>
      <c r="BB75">
        <v>6.53</v>
      </c>
      <c r="BC75">
        <v>6.53</v>
      </c>
      <c r="BD75" t="s">
        <v>3</v>
      </c>
      <c r="BE75" t="s">
        <v>3</v>
      </c>
      <c r="BF75" t="s">
        <v>3</v>
      </c>
      <c r="BG75" t="s">
        <v>3</v>
      </c>
      <c r="BH75">
        <v>0</v>
      </c>
      <c r="BI75">
        <v>1</v>
      </c>
      <c r="BJ75" t="s">
        <v>219</v>
      </c>
      <c r="BM75">
        <v>17001</v>
      </c>
      <c r="BN75">
        <v>0</v>
      </c>
      <c r="BO75" t="s">
        <v>3</v>
      </c>
      <c r="BP75">
        <v>0</v>
      </c>
      <c r="BQ75">
        <v>2</v>
      </c>
      <c r="BR75">
        <v>0</v>
      </c>
      <c r="BS75">
        <v>6.53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3</v>
      </c>
      <c r="BZ75">
        <v>128</v>
      </c>
      <c r="CA75">
        <v>83</v>
      </c>
      <c r="CF75">
        <v>0</v>
      </c>
      <c r="CG75">
        <v>0</v>
      </c>
      <c r="CM75">
        <v>0</v>
      </c>
      <c r="CN75" t="s">
        <v>3</v>
      </c>
      <c r="CO75">
        <v>0</v>
      </c>
      <c r="CP75">
        <f t="shared" si="78"/>
        <v>125.88</v>
      </c>
      <c r="CQ75">
        <f t="shared" si="79"/>
        <v>3.9180000000000001</v>
      </c>
      <c r="CR75">
        <f t="shared" si="80"/>
        <v>0</v>
      </c>
      <c r="CS75">
        <f t="shared" si="81"/>
        <v>0</v>
      </c>
      <c r="CT75">
        <f t="shared" si="82"/>
        <v>175.91820000000001</v>
      </c>
      <c r="CU75">
        <f t="shared" si="83"/>
        <v>0</v>
      </c>
      <c r="CV75">
        <f t="shared" si="84"/>
        <v>2.8</v>
      </c>
      <c r="CW75">
        <f t="shared" si="85"/>
        <v>0</v>
      </c>
      <c r="CX75">
        <f t="shared" si="86"/>
        <v>0</v>
      </c>
      <c r="CY75">
        <f t="shared" si="87"/>
        <v>141.61099999999999</v>
      </c>
      <c r="CZ75">
        <f t="shared" si="88"/>
        <v>87.429400000000001</v>
      </c>
      <c r="DC75" t="s">
        <v>3</v>
      </c>
      <c r="DD75" t="s">
        <v>3</v>
      </c>
      <c r="DE75" t="s">
        <v>3</v>
      </c>
      <c r="DF75" t="s">
        <v>3</v>
      </c>
      <c r="DG75" t="s">
        <v>3</v>
      </c>
      <c r="DH75" t="s">
        <v>3</v>
      </c>
      <c r="DI75" t="s">
        <v>3</v>
      </c>
      <c r="DJ75" t="s">
        <v>3</v>
      </c>
      <c r="DK75" t="s">
        <v>3</v>
      </c>
      <c r="DL75" t="s">
        <v>3</v>
      </c>
      <c r="DM75" t="s">
        <v>3</v>
      </c>
      <c r="DN75">
        <v>0</v>
      </c>
      <c r="DO75">
        <v>0</v>
      </c>
      <c r="DP75">
        <v>1</v>
      </c>
      <c r="DQ75">
        <v>1</v>
      </c>
      <c r="DU75">
        <v>1013</v>
      </c>
      <c r="DV75" t="s">
        <v>218</v>
      </c>
      <c r="DW75" t="s">
        <v>218</v>
      </c>
      <c r="DX75">
        <v>1</v>
      </c>
      <c r="EE75">
        <v>39174531</v>
      </c>
      <c r="EF75">
        <v>2</v>
      </c>
      <c r="EG75" t="s">
        <v>43</v>
      </c>
      <c r="EH75">
        <v>0</v>
      </c>
      <c r="EI75" t="s">
        <v>3</v>
      </c>
      <c r="EJ75">
        <v>1</v>
      </c>
      <c r="EK75">
        <v>17001</v>
      </c>
      <c r="EL75" t="s">
        <v>222</v>
      </c>
      <c r="EM75" t="s">
        <v>223</v>
      </c>
      <c r="EO75" t="s">
        <v>3</v>
      </c>
      <c r="EQ75">
        <v>0</v>
      </c>
      <c r="ER75">
        <v>27.54</v>
      </c>
      <c r="ES75">
        <v>0.6</v>
      </c>
      <c r="ET75">
        <v>0</v>
      </c>
      <c r="EU75">
        <v>0</v>
      </c>
      <c r="EV75">
        <v>26.94</v>
      </c>
      <c r="EW75">
        <v>2.8</v>
      </c>
      <c r="EX75">
        <v>0</v>
      </c>
      <c r="EY75">
        <v>0</v>
      </c>
      <c r="FQ75">
        <v>0</v>
      </c>
      <c r="FR75">
        <f t="shared" si="89"/>
        <v>0</v>
      </c>
      <c r="FS75">
        <v>0</v>
      </c>
      <c r="FT75" t="s">
        <v>46</v>
      </c>
      <c r="FU75" t="s">
        <v>47</v>
      </c>
      <c r="FX75">
        <v>115.2</v>
      </c>
      <c r="FY75">
        <v>70.55</v>
      </c>
      <c r="GA75" t="s">
        <v>3</v>
      </c>
      <c r="GD75">
        <v>0</v>
      </c>
      <c r="GF75">
        <v>-201499009</v>
      </c>
      <c r="GG75">
        <v>1</v>
      </c>
      <c r="GH75">
        <v>1</v>
      </c>
      <c r="GI75">
        <v>4</v>
      </c>
      <c r="GJ75">
        <v>0</v>
      </c>
      <c r="GK75">
        <f>ROUND(R75*(R12)/100,2)</f>
        <v>0</v>
      </c>
      <c r="GL75">
        <f t="shared" si="90"/>
        <v>0</v>
      </c>
      <c r="GM75">
        <f t="shared" si="91"/>
        <v>354.92</v>
      </c>
      <c r="GN75">
        <f t="shared" si="92"/>
        <v>354.92</v>
      </c>
      <c r="GO75">
        <f t="shared" si="93"/>
        <v>0</v>
      </c>
      <c r="GP75">
        <f t="shared" si="94"/>
        <v>0</v>
      </c>
      <c r="GR75">
        <v>0</v>
      </c>
      <c r="GS75">
        <v>3</v>
      </c>
      <c r="GT75">
        <v>0</v>
      </c>
      <c r="GU75" t="s">
        <v>3</v>
      </c>
      <c r="GV75">
        <f t="shared" si="95"/>
        <v>0</v>
      </c>
      <c r="GW75">
        <v>1</v>
      </c>
      <c r="GX75">
        <f t="shared" si="96"/>
        <v>0</v>
      </c>
      <c r="HA75">
        <v>0</v>
      </c>
      <c r="HB75">
        <v>0</v>
      </c>
      <c r="IK75">
        <v>0</v>
      </c>
    </row>
    <row r="76" spans="1:245" x14ac:dyDescent="0.2">
      <c r="A76">
        <v>18</v>
      </c>
      <c r="B76">
        <v>1</v>
      </c>
      <c r="C76">
        <v>128</v>
      </c>
      <c r="E76" t="s">
        <v>228</v>
      </c>
      <c r="F76" t="s">
        <v>229</v>
      </c>
      <c r="G76" t="s">
        <v>230</v>
      </c>
      <c r="H76" t="s">
        <v>37</v>
      </c>
      <c r="I76">
        <f>I75*J76</f>
        <v>1.75</v>
      </c>
      <c r="J76">
        <v>2.5</v>
      </c>
      <c r="O76">
        <f t="shared" si="64"/>
        <v>42.74</v>
      </c>
      <c r="P76">
        <f t="shared" si="65"/>
        <v>42.74</v>
      </c>
      <c r="Q76">
        <f t="shared" si="66"/>
        <v>0</v>
      </c>
      <c r="R76">
        <f t="shared" si="67"/>
        <v>0</v>
      </c>
      <c r="S76">
        <f t="shared" si="68"/>
        <v>0</v>
      </c>
      <c r="T76">
        <f t="shared" si="69"/>
        <v>0</v>
      </c>
      <c r="U76">
        <f t="shared" si="70"/>
        <v>0</v>
      </c>
      <c r="V76">
        <f t="shared" si="71"/>
        <v>0</v>
      </c>
      <c r="W76">
        <f t="shared" si="72"/>
        <v>0</v>
      </c>
      <c r="X76">
        <f t="shared" si="73"/>
        <v>0</v>
      </c>
      <c r="Y76">
        <f t="shared" si="74"/>
        <v>0</v>
      </c>
      <c r="AA76">
        <v>39099382</v>
      </c>
      <c r="AB76">
        <f t="shared" si="75"/>
        <v>3.74</v>
      </c>
      <c r="AC76">
        <f>ROUND((ES76),2)</f>
        <v>3.74</v>
      </c>
      <c r="AD76">
        <f>ROUND((((ET76)-(EU76))+AE76),2)</f>
        <v>0</v>
      </c>
      <c r="AE76">
        <f t="shared" si="102"/>
        <v>0</v>
      </c>
      <c r="AF76">
        <f t="shared" si="102"/>
        <v>0</v>
      </c>
      <c r="AG76">
        <f t="shared" si="76"/>
        <v>0</v>
      </c>
      <c r="AH76">
        <f t="shared" si="103"/>
        <v>0</v>
      </c>
      <c r="AI76">
        <f t="shared" si="103"/>
        <v>0</v>
      </c>
      <c r="AJ76">
        <f t="shared" si="77"/>
        <v>0</v>
      </c>
      <c r="AK76">
        <v>3.74</v>
      </c>
      <c r="AL76">
        <v>3.74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115</v>
      </c>
      <c r="AU76">
        <v>71</v>
      </c>
      <c r="AV76">
        <v>1</v>
      </c>
      <c r="AW76">
        <v>1</v>
      </c>
      <c r="AZ76">
        <v>6.53</v>
      </c>
      <c r="BA76">
        <v>1</v>
      </c>
      <c r="BB76">
        <v>1</v>
      </c>
      <c r="BC76">
        <v>6.53</v>
      </c>
      <c r="BD76" t="s">
        <v>3</v>
      </c>
      <c r="BE76" t="s">
        <v>3</v>
      </c>
      <c r="BF76" t="s">
        <v>3</v>
      </c>
      <c r="BG76" t="s">
        <v>3</v>
      </c>
      <c r="BH76">
        <v>3</v>
      </c>
      <c r="BI76">
        <v>1</v>
      </c>
      <c r="BJ76" t="s">
        <v>231</v>
      </c>
      <c r="BM76">
        <v>17001</v>
      </c>
      <c r="BN76">
        <v>0</v>
      </c>
      <c r="BO76" t="s">
        <v>3</v>
      </c>
      <c r="BP76">
        <v>0</v>
      </c>
      <c r="BQ76">
        <v>2</v>
      </c>
      <c r="BR76">
        <v>0</v>
      </c>
      <c r="BS76">
        <v>1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3</v>
      </c>
      <c r="BZ76">
        <v>128</v>
      </c>
      <c r="CA76">
        <v>83</v>
      </c>
      <c r="CF76">
        <v>0</v>
      </c>
      <c r="CG76">
        <v>0</v>
      </c>
      <c r="CM76">
        <v>0</v>
      </c>
      <c r="CN76" t="s">
        <v>3</v>
      </c>
      <c r="CO76">
        <v>0</v>
      </c>
      <c r="CP76">
        <f t="shared" si="78"/>
        <v>42.74</v>
      </c>
      <c r="CQ76">
        <f t="shared" si="79"/>
        <v>24.422200000000004</v>
      </c>
      <c r="CR76">
        <f t="shared" si="80"/>
        <v>0</v>
      </c>
      <c r="CS76">
        <f t="shared" si="81"/>
        <v>0</v>
      </c>
      <c r="CT76">
        <f t="shared" si="82"/>
        <v>0</v>
      </c>
      <c r="CU76">
        <f t="shared" si="83"/>
        <v>0</v>
      </c>
      <c r="CV76">
        <f t="shared" si="84"/>
        <v>0</v>
      </c>
      <c r="CW76">
        <f t="shared" si="85"/>
        <v>0</v>
      </c>
      <c r="CX76">
        <f t="shared" si="86"/>
        <v>0</v>
      </c>
      <c r="CY76">
        <f t="shared" si="87"/>
        <v>0</v>
      </c>
      <c r="CZ76">
        <f t="shared" si="88"/>
        <v>0</v>
      </c>
      <c r="DC76" t="s">
        <v>3</v>
      </c>
      <c r="DD76" t="s">
        <v>3</v>
      </c>
      <c r="DE76" t="s">
        <v>3</v>
      </c>
      <c r="DF76" t="s">
        <v>3</v>
      </c>
      <c r="DG76" t="s">
        <v>3</v>
      </c>
      <c r="DH76" t="s">
        <v>3</v>
      </c>
      <c r="DI76" t="s">
        <v>3</v>
      </c>
      <c r="DJ76" t="s">
        <v>3</v>
      </c>
      <c r="DK76" t="s">
        <v>3</v>
      </c>
      <c r="DL76" t="s">
        <v>3</v>
      </c>
      <c r="DM76" t="s">
        <v>3</v>
      </c>
      <c r="DN76">
        <v>0</v>
      </c>
      <c r="DO76">
        <v>0</v>
      </c>
      <c r="DP76">
        <v>1</v>
      </c>
      <c r="DQ76">
        <v>1</v>
      </c>
      <c r="DU76">
        <v>1010</v>
      </c>
      <c r="DV76" t="s">
        <v>37</v>
      </c>
      <c r="DW76" t="s">
        <v>37</v>
      </c>
      <c r="DX76">
        <v>1</v>
      </c>
      <c r="EE76">
        <v>39174531</v>
      </c>
      <c r="EF76">
        <v>2</v>
      </c>
      <c r="EG76" t="s">
        <v>43</v>
      </c>
      <c r="EH76">
        <v>0</v>
      </c>
      <c r="EI76" t="s">
        <v>3</v>
      </c>
      <c r="EJ76">
        <v>1</v>
      </c>
      <c r="EK76">
        <v>17001</v>
      </c>
      <c r="EL76" t="s">
        <v>222</v>
      </c>
      <c r="EM76" t="s">
        <v>223</v>
      </c>
      <c r="EO76" t="s">
        <v>3</v>
      </c>
      <c r="EQ76">
        <v>0</v>
      </c>
      <c r="ER76">
        <v>3.74</v>
      </c>
      <c r="ES76">
        <v>3.74</v>
      </c>
      <c r="ET76">
        <v>0</v>
      </c>
      <c r="EU76">
        <v>0</v>
      </c>
      <c r="EV76">
        <v>0</v>
      </c>
      <c r="EW76">
        <v>0</v>
      </c>
      <c r="EX76">
        <v>0</v>
      </c>
      <c r="FQ76">
        <v>0</v>
      </c>
      <c r="FR76">
        <f t="shared" si="89"/>
        <v>0</v>
      </c>
      <c r="FS76">
        <v>0</v>
      </c>
      <c r="FT76" t="s">
        <v>46</v>
      </c>
      <c r="FU76" t="s">
        <v>47</v>
      </c>
      <c r="FX76">
        <v>115.2</v>
      </c>
      <c r="FY76">
        <v>70.55</v>
      </c>
      <c r="GA76" t="s">
        <v>3</v>
      </c>
      <c r="GD76">
        <v>0</v>
      </c>
      <c r="GF76">
        <v>-1021734710</v>
      </c>
      <c r="GG76">
        <v>1</v>
      </c>
      <c r="GH76">
        <v>1</v>
      </c>
      <c r="GI76">
        <v>4</v>
      </c>
      <c r="GJ76">
        <v>0</v>
      </c>
      <c r="GK76">
        <f>ROUND(R76*(R12)/100,2)</f>
        <v>0</v>
      </c>
      <c r="GL76">
        <f t="shared" si="90"/>
        <v>0</v>
      </c>
      <c r="GM76">
        <f t="shared" si="91"/>
        <v>42.74</v>
      </c>
      <c r="GN76">
        <f t="shared" si="92"/>
        <v>42.74</v>
      </c>
      <c r="GO76">
        <f t="shared" si="93"/>
        <v>0</v>
      </c>
      <c r="GP76">
        <f t="shared" si="94"/>
        <v>0</v>
      </c>
      <c r="GR76">
        <v>0</v>
      </c>
      <c r="GS76">
        <v>0</v>
      </c>
      <c r="GT76">
        <v>0</v>
      </c>
      <c r="GU76" t="s">
        <v>3</v>
      </c>
      <c r="GV76">
        <f t="shared" si="95"/>
        <v>0</v>
      </c>
      <c r="GW76">
        <v>1</v>
      </c>
      <c r="GX76">
        <f t="shared" si="96"/>
        <v>0</v>
      </c>
      <c r="HA76">
        <v>0</v>
      </c>
      <c r="HB76">
        <v>0</v>
      </c>
      <c r="IK76">
        <v>0</v>
      </c>
    </row>
    <row r="77" spans="1:245" x14ac:dyDescent="0.2">
      <c r="A77">
        <v>17</v>
      </c>
      <c r="B77">
        <v>1</v>
      </c>
      <c r="C77">
        <f>ROW(SmtRes!A141)</f>
        <v>141</v>
      </c>
      <c r="D77">
        <f>ROW(EtalonRes!A139)</f>
        <v>139</v>
      </c>
      <c r="E77" t="s">
        <v>232</v>
      </c>
      <c r="F77" t="s">
        <v>233</v>
      </c>
      <c r="G77" t="s">
        <v>234</v>
      </c>
      <c r="H77" t="s">
        <v>30</v>
      </c>
      <c r="I77">
        <v>0.1</v>
      </c>
      <c r="J77">
        <v>0</v>
      </c>
      <c r="O77">
        <f t="shared" si="64"/>
        <v>4186.3900000000003</v>
      </c>
      <c r="P77">
        <f t="shared" si="65"/>
        <v>1189.8399999999999</v>
      </c>
      <c r="Q77">
        <f t="shared" si="66"/>
        <v>5.58</v>
      </c>
      <c r="R77">
        <f t="shared" si="67"/>
        <v>0.99</v>
      </c>
      <c r="S77">
        <f t="shared" si="68"/>
        <v>2990.97</v>
      </c>
      <c r="T77">
        <f t="shared" si="69"/>
        <v>0</v>
      </c>
      <c r="U77">
        <f t="shared" si="70"/>
        <v>50.5</v>
      </c>
      <c r="V77">
        <f t="shared" si="71"/>
        <v>1.3000000000000001E-2</v>
      </c>
      <c r="W77">
        <f t="shared" si="72"/>
        <v>0</v>
      </c>
      <c r="X77">
        <f t="shared" si="73"/>
        <v>2453.41</v>
      </c>
      <c r="Y77">
        <f t="shared" si="74"/>
        <v>1855.02</v>
      </c>
      <c r="AA77">
        <v>39099382</v>
      </c>
      <c r="AB77">
        <f t="shared" si="75"/>
        <v>6411.01</v>
      </c>
      <c r="AC77">
        <f>ROUND((ES77),2)</f>
        <v>1822.12</v>
      </c>
      <c r="AD77">
        <f>ROUND((((ET77)-(EU77))+AE77),2)</f>
        <v>8.5399999999999991</v>
      </c>
      <c r="AE77">
        <f t="shared" si="102"/>
        <v>1.51</v>
      </c>
      <c r="AF77">
        <f t="shared" si="102"/>
        <v>4580.3500000000004</v>
      </c>
      <c r="AG77">
        <f t="shared" si="76"/>
        <v>0</v>
      </c>
      <c r="AH77">
        <f t="shared" si="103"/>
        <v>505</v>
      </c>
      <c r="AI77">
        <f t="shared" si="103"/>
        <v>0.13</v>
      </c>
      <c r="AJ77">
        <f t="shared" si="77"/>
        <v>0</v>
      </c>
      <c r="AK77">
        <v>6411.01</v>
      </c>
      <c r="AL77">
        <v>1822.12</v>
      </c>
      <c r="AM77">
        <v>8.5399999999999991</v>
      </c>
      <c r="AN77">
        <v>1.51</v>
      </c>
      <c r="AO77">
        <v>4580.3500000000004</v>
      </c>
      <c r="AP77">
        <v>0</v>
      </c>
      <c r="AQ77">
        <v>505</v>
      </c>
      <c r="AR77">
        <v>0.13</v>
      </c>
      <c r="AS77">
        <v>0</v>
      </c>
      <c r="AT77">
        <v>82</v>
      </c>
      <c r="AU77">
        <v>62</v>
      </c>
      <c r="AV77">
        <v>1</v>
      </c>
      <c r="AW77">
        <v>1</v>
      </c>
      <c r="AZ77">
        <v>6.53</v>
      </c>
      <c r="BA77">
        <v>6.53</v>
      </c>
      <c r="BB77">
        <v>6.53</v>
      </c>
      <c r="BC77">
        <v>6.53</v>
      </c>
      <c r="BD77" t="s">
        <v>3</v>
      </c>
      <c r="BE77" t="s">
        <v>3</v>
      </c>
      <c r="BF77" t="s">
        <v>3</v>
      </c>
      <c r="BG77" t="s">
        <v>3</v>
      </c>
      <c r="BH77">
        <v>0</v>
      </c>
      <c r="BI77">
        <v>1</v>
      </c>
      <c r="BJ77" t="s">
        <v>235</v>
      </c>
      <c r="BM77">
        <v>56001</v>
      </c>
      <c r="BN77">
        <v>0</v>
      </c>
      <c r="BO77" t="s">
        <v>3</v>
      </c>
      <c r="BP77">
        <v>0</v>
      </c>
      <c r="BQ77">
        <v>6</v>
      </c>
      <c r="BR77">
        <v>0</v>
      </c>
      <c r="BS77">
        <v>6.53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3</v>
      </c>
      <c r="BZ77">
        <v>82</v>
      </c>
      <c r="CA77">
        <v>62</v>
      </c>
      <c r="CF77">
        <v>0</v>
      </c>
      <c r="CG77">
        <v>0</v>
      </c>
      <c r="CM77">
        <v>0</v>
      </c>
      <c r="CN77" t="s">
        <v>3</v>
      </c>
      <c r="CO77">
        <v>0</v>
      </c>
      <c r="CP77">
        <f t="shared" si="78"/>
        <v>4186.3899999999994</v>
      </c>
      <c r="CQ77">
        <f t="shared" si="79"/>
        <v>11898.443600000001</v>
      </c>
      <c r="CR77">
        <f t="shared" si="80"/>
        <v>55.766199999999998</v>
      </c>
      <c r="CS77">
        <f t="shared" si="81"/>
        <v>9.8603000000000005</v>
      </c>
      <c r="CT77">
        <f t="shared" si="82"/>
        <v>29909.685500000003</v>
      </c>
      <c r="CU77">
        <f t="shared" si="83"/>
        <v>0</v>
      </c>
      <c r="CV77">
        <f t="shared" si="84"/>
        <v>505</v>
      </c>
      <c r="CW77">
        <f t="shared" si="85"/>
        <v>0.13</v>
      </c>
      <c r="CX77">
        <f t="shared" si="86"/>
        <v>0</v>
      </c>
      <c r="CY77">
        <f t="shared" si="87"/>
        <v>2453.4071999999996</v>
      </c>
      <c r="CZ77">
        <f t="shared" si="88"/>
        <v>1855.0151999999996</v>
      </c>
      <c r="DC77" t="s">
        <v>3</v>
      </c>
      <c r="DD77" t="s">
        <v>3</v>
      </c>
      <c r="DE77" t="s">
        <v>3</v>
      </c>
      <c r="DF77" t="s">
        <v>3</v>
      </c>
      <c r="DG77" t="s">
        <v>3</v>
      </c>
      <c r="DH77" t="s">
        <v>3</v>
      </c>
      <c r="DI77" t="s">
        <v>3</v>
      </c>
      <c r="DJ77" t="s">
        <v>3</v>
      </c>
      <c r="DK77" t="s">
        <v>3</v>
      </c>
      <c r="DL77" t="s">
        <v>3</v>
      </c>
      <c r="DM77" t="s">
        <v>3</v>
      </c>
      <c r="DN77">
        <v>0</v>
      </c>
      <c r="DO77">
        <v>0</v>
      </c>
      <c r="DP77">
        <v>1</v>
      </c>
      <c r="DQ77">
        <v>1</v>
      </c>
      <c r="DU77">
        <v>1013</v>
      </c>
      <c r="DV77" t="s">
        <v>30</v>
      </c>
      <c r="DW77" t="s">
        <v>30</v>
      </c>
      <c r="DX77">
        <v>1</v>
      </c>
      <c r="EE77">
        <v>39174581</v>
      </c>
      <c r="EF77">
        <v>6</v>
      </c>
      <c r="EG77" t="s">
        <v>19</v>
      </c>
      <c r="EH77">
        <v>0</v>
      </c>
      <c r="EI77" t="s">
        <v>3</v>
      </c>
      <c r="EJ77">
        <v>1</v>
      </c>
      <c r="EK77">
        <v>56001</v>
      </c>
      <c r="EL77" t="s">
        <v>236</v>
      </c>
      <c r="EM77" t="s">
        <v>237</v>
      </c>
      <c r="EO77" t="s">
        <v>3</v>
      </c>
      <c r="EQ77">
        <v>0</v>
      </c>
      <c r="ER77">
        <v>6411.01</v>
      </c>
      <c r="ES77">
        <v>1822.12</v>
      </c>
      <c r="ET77">
        <v>8.5399999999999991</v>
      </c>
      <c r="EU77">
        <v>1.51</v>
      </c>
      <c r="EV77">
        <v>4580.3500000000004</v>
      </c>
      <c r="EW77">
        <v>505</v>
      </c>
      <c r="EX77">
        <v>0.13</v>
      </c>
      <c r="EY77">
        <v>0</v>
      </c>
      <c r="FQ77">
        <v>0</v>
      </c>
      <c r="FR77">
        <f t="shared" si="89"/>
        <v>0</v>
      </c>
      <c r="FS77">
        <v>0</v>
      </c>
      <c r="FX77">
        <v>82</v>
      </c>
      <c r="FY77">
        <v>62</v>
      </c>
      <c r="GA77" t="s">
        <v>3</v>
      </c>
      <c r="GD77">
        <v>0</v>
      </c>
      <c r="GF77">
        <v>-717202646</v>
      </c>
      <c r="GG77">
        <v>1</v>
      </c>
      <c r="GH77">
        <v>1</v>
      </c>
      <c r="GI77">
        <v>4</v>
      </c>
      <c r="GJ77">
        <v>0</v>
      </c>
      <c r="GK77">
        <f>ROUND(R77*(R12)/100,2)</f>
        <v>0</v>
      </c>
      <c r="GL77">
        <f t="shared" si="90"/>
        <v>0</v>
      </c>
      <c r="GM77">
        <f t="shared" si="91"/>
        <v>8494.82</v>
      </c>
      <c r="GN77">
        <f t="shared" si="92"/>
        <v>8494.82</v>
      </c>
      <c r="GO77">
        <f t="shared" si="93"/>
        <v>0</v>
      </c>
      <c r="GP77">
        <f t="shared" si="94"/>
        <v>0</v>
      </c>
      <c r="GR77">
        <v>0</v>
      </c>
      <c r="GS77">
        <v>0</v>
      </c>
      <c r="GT77">
        <v>0</v>
      </c>
      <c r="GU77" t="s">
        <v>3</v>
      </c>
      <c r="GV77">
        <f t="shared" si="95"/>
        <v>0</v>
      </c>
      <c r="GW77">
        <v>1</v>
      </c>
      <c r="GX77">
        <f t="shared" si="96"/>
        <v>0</v>
      </c>
      <c r="HA77">
        <v>0</v>
      </c>
      <c r="HB77">
        <v>0</v>
      </c>
      <c r="IK77">
        <v>0</v>
      </c>
    </row>
    <row r="78" spans="1:245" x14ac:dyDescent="0.2">
      <c r="A78">
        <v>18</v>
      </c>
      <c r="B78">
        <v>1</v>
      </c>
      <c r="C78">
        <v>136</v>
      </c>
      <c r="E78" t="s">
        <v>238</v>
      </c>
      <c r="F78" t="s">
        <v>239</v>
      </c>
      <c r="G78" t="s">
        <v>240</v>
      </c>
      <c r="H78" t="s">
        <v>109</v>
      </c>
      <c r="I78">
        <f>I77*J78</f>
        <v>10</v>
      </c>
      <c r="J78">
        <v>100</v>
      </c>
      <c r="O78">
        <f t="shared" si="64"/>
        <v>1006.27</v>
      </c>
      <c r="P78">
        <f t="shared" si="65"/>
        <v>1006.27</v>
      </c>
      <c r="Q78">
        <f t="shared" si="66"/>
        <v>0</v>
      </c>
      <c r="R78">
        <f t="shared" si="67"/>
        <v>0</v>
      </c>
      <c r="S78">
        <f t="shared" si="68"/>
        <v>0</v>
      </c>
      <c r="T78">
        <f t="shared" si="69"/>
        <v>0</v>
      </c>
      <c r="U78">
        <f t="shared" si="70"/>
        <v>0</v>
      </c>
      <c r="V78">
        <f t="shared" si="71"/>
        <v>0</v>
      </c>
      <c r="W78">
        <f t="shared" si="72"/>
        <v>0</v>
      </c>
      <c r="X78">
        <f t="shared" si="73"/>
        <v>0</v>
      </c>
      <c r="Y78">
        <f t="shared" si="74"/>
        <v>0</v>
      </c>
      <c r="AA78">
        <v>39099382</v>
      </c>
      <c r="AB78">
        <f t="shared" si="75"/>
        <v>15.41</v>
      </c>
      <c r="AC78">
        <f>ROUND((ES78),2)</f>
        <v>15.41</v>
      </c>
      <c r="AD78">
        <f>ROUND((((ET78)-(EU78))+AE78),2)</f>
        <v>0</v>
      </c>
      <c r="AE78">
        <f t="shared" si="102"/>
        <v>0</v>
      </c>
      <c r="AF78">
        <f t="shared" si="102"/>
        <v>0</v>
      </c>
      <c r="AG78">
        <f t="shared" si="76"/>
        <v>0</v>
      </c>
      <c r="AH78">
        <f t="shared" si="103"/>
        <v>0</v>
      </c>
      <c r="AI78">
        <f t="shared" si="103"/>
        <v>0</v>
      </c>
      <c r="AJ78">
        <f t="shared" si="77"/>
        <v>0</v>
      </c>
      <c r="AK78">
        <v>15.41</v>
      </c>
      <c r="AL78">
        <v>15.41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82</v>
      </c>
      <c r="AU78">
        <v>62</v>
      </c>
      <c r="AV78">
        <v>1</v>
      </c>
      <c r="AW78">
        <v>1</v>
      </c>
      <c r="AZ78">
        <v>6.53</v>
      </c>
      <c r="BA78">
        <v>1</v>
      </c>
      <c r="BB78">
        <v>1</v>
      </c>
      <c r="BC78">
        <v>6.53</v>
      </c>
      <c r="BD78" t="s">
        <v>3</v>
      </c>
      <c r="BE78" t="s">
        <v>3</v>
      </c>
      <c r="BF78" t="s">
        <v>3</v>
      </c>
      <c r="BG78" t="s">
        <v>3</v>
      </c>
      <c r="BH78">
        <v>3</v>
      </c>
      <c r="BI78">
        <v>1</v>
      </c>
      <c r="BJ78" t="s">
        <v>241</v>
      </c>
      <c r="BM78">
        <v>56001</v>
      </c>
      <c r="BN78">
        <v>0</v>
      </c>
      <c r="BO78" t="s">
        <v>3</v>
      </c>
      <c r="BP78">
        <v>0</v>
      </c>
      <c r="BQ78">
        <v>6</v>
      </c>
      <c r="BR78">
        <v>0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3</v>
      </c>
      <c r="BZ78">
        <v>82</v>
      </c>
      <c r="CA78">
        <v>62</v>
      </c>
      <c r="CF78">
        <v>0</v>
      </c>
      <c r="CG78">
        <v>0</v>
      </c>
      <c r="CM78">
        <v>0</v>
      </c>
      <c r="CN78" t="s">
        <v>3</v>
      </c>
      <c r="CO78">
        <v>0</v>
      </c>
      <c r="CP78">
        <f t="shared" si="78"/>
        <v>1006.27</v>
      </c>
      <c r="CQ78">
        <f t="shared" si="79"/>
        <v>100.62730000000001</v>
      </c>
      <c r="CR78">
        <f t="shared" si="80"/>
        <v>0</v>
      </c>
      <c r="CS78">
        <f t="shared" si="81"/>
        <v>0</v>
      </c>
      <c r="CT78">
        <f t="shared" si="82"/>
        <v>0</v>
      </c>
      <c r="CU78">
        <f t="shared" si="83"/>
        <v>0</v>
      </c>
      <c r="CV78">
        <f t="shared" si="84"/>
        <v>0</v>
      </c>
      <c r="CW78">
        <f t="shared" si="85"/>
        <v>0</v>
      </c>
      <c r="CX78">
        <f t="shared" si="86"/>
        <v>0</v>
      </c>
      <c r="CY78">
        <f t="shared" si="87"/>
        <v>0</v>
      </c>
      <c r="CZ78">
        <f t="shared" si="88"/>
        <v>0</v>
      </c>
      <c r="DC78" t="s">
        <v>3</v>
      </c>
      <c r="DD78" t="s">
        <v>3</v>
      </c>
      <c r="DE78" t="s">
        <v>3</v>
      </c>
      <c r="DF78" t="s">
        <v>3</v>
      </c>
      <c r="DG78" t="s">
        <v>3</v>
      </c>
      <c r="DH78" t="s">
        <v>3</v>
      </c>
      <c r="DI78" t="s">
        <v>3</v>
      </c>
      <c r="DJ78" t="s">
        <v>3</v>
      </c>
      <c r="DK78" t="s">
        <v>3</v>
      </c>
      <c r="DL78" t="s">
        <v>3</v>
      </c>
      <c r="DM78" t="s">
        <v>3</v>
      </c>
      <c r="DN78">
        <v>0</v>
      </c>
      <c r="DO78">
        <v>0</v>
      </c>
      <c r="DP78">
        <v>1</v>
      </c>
      <c r="DQ78">
        <v>1</v>
      </c>
      <c r="DU78">
        <v>1003</v>
      </c>
      <c r="DV78" t="s">
        <v>109</v>
      </c>
      <c r="DW78" t="s">
        <v>109</v>
      </c>
      <c r="DX78">
        <v>1</v>
      </c>
      <c r="EE78">
        <v>39174581</v>
      </c>
      <c r="EF78">
        <v>6</v>
      </c>
      <c r="EG78" t="s">
        <v>19</v>
      </c>
      <c r="EH78">
        <v>0</v>
      </c>
      <c r="EI78" t="s">
        <v>3</v>
      </c>
      <c r="EJ78">
        <v>1</v>
      </c>
      <c r="EK78">
        <v>56001</v>
      </c>
      <c r="EL78" t="s">
        <v>236</v>
      </c>
      <c r="EM78" t="s">
        <v>237</v>
      </c>
      <c r="EO78" t="s">
        <v>3</v>
      </c>
      <c r="EQ78">
        <v>0</v>
      </c>
      <c r="ER78">
        <v>15.41</v>
      </c>
      <c r="ES78">
        <v>15.41</v>
      </c>
      <c r="ET78">
        <v>0</v>
      </c>
      <c r="EU78">
        <v>0</v>
      </c>
      <c r="EV78">
        <v>0</v>
      </c>
      <c r="EW78">
        <v>0</v>
      </c>
      <c r="EX78">
        <v>0</v>
      </c>
      <c r="FQ78">
        <v>0</v>
      </c>
      <c r="FR78">
        <f t="shared" si="89"/>
        <v>0</v>
      </c>
      <c r="FS78">
        <v>0</v>
      </c>
      <c r="FX78">
        <v>82</v>
      </c>
      <c r="FY78">
        <v>62</v>
      </c>
      <c r="GA78" t="s">
        <v>3</v>
      </c>
      <c r="GD78">
        <v>0</v>
      </c>
      <c r="GF78">
        <v>2008626522</v>
      </c>
      <c r="GG78">
        <v>1</v>
      </c>
      <c r="GH78">
        <v>1</v>
      </c>
      <c r="GI78">
        <v>4</v>
      </c>
      <c r="GJ78">
        <v>0</v>
      </c>
      <c r="GK78">
        <f>ROUND(R78*(R12)/100,2)</f>
        <v>0</v>
      </c>
      <c r="GL78">
        <f t="shared" si="90"/>
        <v>0</v>
      </c>
      <c r="GM78">
        <f t="shared" si="91"/>
        <v>1006.27</v>
      </c>
      <c r="GN78">
        <f t="shared" si="92"/>
        <v>1006.27</v>
      </c>
      <c r="GO78">
        <f t="shared" si="93"/>
        <v>0</v>
      </c>
      <c r="GP78">
        <f t="shared" si="94"/>
        <v>0</v>
      </c>
      <c r="GR78">
        <v>0</v>
      </c>
      <c r="GS78">
        <v>3</v>
      </c>
      <c r="GT78">
        <v>0</v>
      </c>
      <c r="GU78" t="s">
        <v>3</v>
      </c>
      <c r="GV78">
        <f t="shared" si="95"/>
        <v>0</v>
      </c>
      <c r="GW78">
        <v>1</v>
      </c>
      <c r="GX78">
        <f t="shared" si="96"/>
        <v>0</v>
      </c>
      <c r="HA78">
        <v>0</v>
      </c>
      <c r="HB78">
        <v>0</v>
      </c>
      <c r="IK78">
        <v>0</v>
      </c>
    </row>
    <row r="79" spans="1:245" x14ac:dyDescent="0.2">
      <c r="A79">
        <v>17</v>
      </c>
      <c r="B79">
        <v>1</v>
      </c>
      <c r="C79">
        <f>ROW(SmtRes!A143)</f>
        <v>143</v>
      </c>
      <c r="D79">
        <f>ROW(EtalonRes!A141)</f>
        <v>141</v>
      </c>
      <c r="E79" t="s">
        <v>242</v>
      </c>
      <c r="F79" t="s">
        <v>243</v>
      </c>
      <c r="G79" t="s">
        <v>244</v>
      </c>
      <c r="H79" t="s">
        <v>189</v>
      </c>
      <c r="I79">
        <v>1.5</v>
      </c>
      <c r="J79">
        <v>0</v>
      </c>
      <c r="O79">
        <f t="shared" si="64"/>
        <v>233.22</v>
      </c>
      <c r="P79">
        <f t="shared" si="65"/>
        <v>160.63999999999999</v>
      </c>
      <c r="Q79">
        <f t="shared" si="66"/>
        <v>0</v>
      </c>
      <c r="R79">
        <f t="shared" si="67"/>
        <v>0</v>
      </c>
      <c r="S79">
        <f t="shared" si="68"/>
        <v>72.58</v>
      </c>
      <c r="T79">
        <f t="shared" si="69"/>
        <v>0</v>
      </c>
      <c r="U79">
        <f t="shared" si="70"/>
        <v>1.5449999999999999</v>
      </c>
      <c r="V79">
        <f t="shared" si="71"/>
        <v>0</v>
      </c>
      <c r="W79">
        <f t="shared" si="72"/>
        <v>0</v>
      </c>
      <c r="X79">
        <f t="shared" si="73"/>
        <v>56.61</v>
      </c>
      <c r="Y79">
        <f t="shared" si="74"/>
        <v>36.29</v>
      </c>
      <c r="AA79">
        <v>39099382</v>
      </c>
      <c r="AB79">
        <f t="shared" si="75"/>
        <v>23.81</v>
      </c>
      <c r="AC79">
        <f>ROUND((ES79),2)</f>
        <v>16.399999999999999</v>
      </c>
      <c r="AD79">
        <f>ROUND((((ET79)-(EU79))+AE79),2)</f>
        <v>0</v>
      </c>
      <c r="AE79">
        <f t="shared" si="102"/>
        <v>0</v>
      </c>
      <c r="AF79">
        <f t="shared" si="102"/>
        <v>7.41</v>
      </c>
      <c r="AG79">
        <f t="shared" si="76"/>
        <v>0</v>
      </c>
      <c r="AH79">
        <f t="shared" si="103"/>
        <v>1.03</v>
      </c>
      <c r="AI79">
        <f t="shared" si="103"/>
        <v>0</v>
      </c>
      <c r="AJ79">
        <f t="shared" si="77"/>
        <v>0</v>
      </c>
      <c r="AK79">
        <v>23.81</v>
      </c>
      <c r="AL79">
        <v>16.399999999999999</v>
      </c>
      <c r="AM79">
        <v>0</v>
      </c>
      <c r="AN79">
        <v>0</v>
      </c>
      <c r="AO79">
        <v>7.41</v>
      </c>
      <c r="AP79">
        <v>0</v>
      </c>
      <c r="AQ79">
        <v>1.03</v>
      </c>
      <c r="AR79">
        <v>0</v>
      </c>
      <c r="AS79">
        <v>0</v>
      </c>
      <c r="AT79">
        <v>78</v>
      </c>
      <c r="AU79">
        <v>50</v>
      </c>
      <c r="AV79">
        <v>1</v>
      </c>
      <c r="AW79">
        <v>1</v>
      </c>
      <c r="AZ79">
        <v>6.53</v>
      </c>
      <c r="BA79">
        <v>6.53</v>
      </c>
      <c r="BB79">
        <v>6.53</v>
      </c>
      <c r="BC79">
        <v>6.53</v>
      </c>
      <c r="BD79" t="s">
        <v>3</v>
      </c>
      <c r="BE79" t="s">
        <v>3</v>
      </c>
      <c r="BF79" t="s">
        <v>3</v>
      </c>
      <c r="BG79" t="s">
        <v>3</v>
      </c>
      <c r="BH79">
        <v>0</v>
      </c>
      <c r="BI79">
        <v>1</v>
      </c>
      <c r="BJ79" t="s">
        <v>245</v>
      </c>
      <c r="BM79">
        <v>69001</v>
      </c>
      <c r="BN79">
        <v>0</v>
      </c>
      <c r="BO79" t="s">
        <v>3</v>
      </c>
      <c r="BP79">
        <v>0</v>
      </c>
      <c r="BQ79">
        <v>6</v>
      </c>
      <c r="BR79">
        <v>0</v>
      </c>
      <c r="BS79">
        <v>6.53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3</v>
      </c>
      <c r="BZ79">
        <v>78</v>
      </c>
      <c r="CA79">
        <v>50</v>
      </c>
      <c r="CF79">
        <v>0</v>
      </c>
      <c r="CG79">
        <v>0</v>
      </c>
      <c r="CM79">
        <v>0</v>
      </c>
      <c r="CN79" t="s">
        <v>3</v>
      </c>
      <c r="CO79">
        <v>0</v>
      </c>
      <c r="CP79">
        <f t="shared" si="78"/>
        <v>233.21999999999997</v>
      </c>
      <c r="CQ79">
        <f t="shared" si="79"/>
        <v>107.092</v>
      </c>
      <c r="CR79">
        <f t="shared" si="80"/>
        <v>0</v>
      </c>
      <c r="CS79">
        <f t="shared" si="81"/>
        <v>0</v>
      </c>
      <c r="CT79">
        <f t="shared" si="82"/>
        <v>48.387300000000003</v>
      </c>
      <c r="CU79">
        <f t="shared" si="83"/>
        <v>0</v>
      </c>
      <c r="CV79">
        <f t="shared" si="84"/>
        <v>1.03</v>
      </c>
      <c r="CW79">
        <f t="shared" si="85"/>
        <v>0</v>
      </c>
      <c r="CX79">
        <f t="shared" si="86"/>
        <v>0</v>
      </c>
      <c r="CY79">
        <f t="shared" si="87"/>
        <v>56.612400000000001</v>
      </c>
      <c r="CZ79">
        <f t="shared" si="88"/>
        <v>36.29</v>
      </c>
      <c r="DC79" t="s">
        <v>3</v>
      </c>
      <c r="DD79" t="s">
        <v>3</v>
      </c>
      <c r="DE79" t="s">
        <v>3</v>
      </c>
      <c r="DF79" t="s">
        <v>3</v>
      </c>
      <c r="DG79" t="s">
        <v>3</v>
      </c>
      <c r="DH79" t="s">
        <v>3</v>
      </c>
      <c r="DI79" t="s">
        <v>3</v>
      </c>
      <c r="DJ79" t="s">
        <v>3</v>
      </c>
      <c r="DK79" t="s">
        <v>3</v>
      </c>
      <c r="DL79" t="s">
        <v>3</v>
      </c>
      <c r="DM79" t="s">
        <v>3</v>
      </c>
      <c r="DN79">
        <v>0</v>
      </c>
      <c r="DO79">
        <v>0</v>
      </c>
      <c r="DP79">
        <v>1</v>
      </c>
      <c r="DQ79">
        <v>1</v>
      </c>
      <c r="DU79">
        <v>1009</v>
      </c>
      <c r="DV79" t="s">
        <v>189</v>
      </c>
      <c r="DW79" t="s">
        <v>189</v>
      </c>
      <c r="DX79">
        <v>1000</v>
      </c>
      <c r="EE79">
        <v>39174630</v>
      </c>
      <c r="EF79">
        <v>6</v>
      </c>
      <c r="EG79" t="s">
        <v>19</v>
      </c>
      <c r="EH79">
        <v>0</v>
      </c>
      <c r="EI79" t="s">
        <v>3</v>
      </c>
      <c r="EJ79">
        <v>1</v>
      </c>
      <c r="EK79">
        <v>69001</v>
      </c>
      <c r="EL79" t="s">
        <v>246</v>
      </c>
      <c r="EM79" t="s">
        <v>247</v>
      </c>
      <c r="EO79" t="s">
        <v>3</v>
      </c>
      <c r="EQ79">
        <v>0</v>
      </c>
      <c r="ER79">
        <v>23.81</v>
      </c>
      <c r="ES79">
        <v>16.399999999999999</v>
      </c>
      <c r="ET79">
        <v>0</v>
      </c>
      <c r="EU79">
        <v>0</v>
      </c>
      <c r="EV79">
        <v>7.41</v>
      </c>
      <c r="EW79">
        <v>1.03</v>
      </c>
      <c r="EX79">
        <v>0</v>
      </c>
      <c r="EY79">
        <v>0</v>
      </c>
      <c r="FQ79">
        <v>0</v>
      </c>
      <c r="FR79">
        <f t="shared" si="89"/>
        <v>0</v>
      </c>
      <c r="FS79">
        <v>0</v>
      </c>
      <c r="FX79">
        <v>78</v>
      </c>
      <c r="FY79">
        <v>50</v>
      </c>
      <c r="GA79" t="s">
        <v>3</v>
      </c>
      <c r="GD79">
        <v>0</v>
      </c>
      <c r="GF79">
        <v>-1073482640</v>
      </c>
      <c r="GG79">
        <v>1</v>
      </c>
      <c r="GH79">
        <v>1</v>
      </c>
      <c r="GI79">
        <v>4</v>
      </c>
      <c r="GJ79">
        <v>0</v>
      </c>
      <c r="GK79">
        <f>ROUND(R79*(R12)/100,2)</f>
        <v>0</v>
      </c>
      <c r="GL79">
        <f t="shared" si="90"/>
        <v>0</v>
      </c>
      <c r="GM79">
        <f t="shared" si="91"/>
        <v>326.12</v>
      </c>
      <c r="GN79">
        <f t="shared" si="92"/>
        <v>326.12</v>
      </c>
      <c r="GO79">
        <f t="shared" si="93"/>
        <v>0</v>
      </c>
      <c r="GP79">
        <f t="shared" si="94"/>
        <v>0</v>
      </c>
      <c r="GR79">
        <v>0</v>
      </c>
      <c r="GS79">
        <v>3</v>
      </c>
      <c r="GT79">
        <v>0</v>
      </c>
      <c r="GU79" t="s">
        <v>3</v>
      </c>
      <c r="GV79">
        <f t="shared" si="95"/>
        <v>0</v>
      </c>
      <c r="GW79">
        <v>1</v>
      </c>
      <c r="GX79">
        <f t="shared" si="96"/>
        <v>0</v>
      </c>
      <c r="HA79">
        <v>0</v>
      </c>
      <c r="HB79">
        <v>0</v>
      </c>
      <c r="IK79">
        <v>0</v>
      </c>
    </row>
    <row r="80" spans="1:245" x14ac:dyDescent="0.2">
      <c r="A80">
        <v>17</v>
      </c>
      <c r="B80">
        <v>1</v>
      </c>
      <c r="E80" t="s">
        <v>248</v>
      </c>
      <c r="F80" t="s">
        <v>249</v>
      </c>
      <c r="G80" t="s">
        <v>250</v>
      </c>
      <c r="H80" t="s">
        <v>251</v>
      </c>
      <c r="I80">
        <v>1.5</v>
      </c>
      <c r="J80">
        <v>0</v>
      </c>
      <c r="O80">
        <f>0</f>
        <v>0</v>
      </c>
      <c r="P80">
        <f>0</f>
        <v>0</v>
      </c>
      <c r="Q80">
        <f>0</f>
        <v>0</v>
      </c>
      <c r="R80">
        <f>0</f>
        <v>0</v>
      </c>
      <c r="S80">
        <f>0</f>
        <v>0</v>
      </c>
      <c r="T80">
        <f>0</f>
        <v>0</v>
      </c>
      <c r="U80">
        <f>0</f>
        <v>0</v>
      </c>
      <c r="V80">
        <f>0</f>
        <v>0</v>
      </c>
      <c r="W80">
        <f>0</f>
        <v>0</v>
      </c>
      <c r="X80">
        <f>0</f>
        <v>0</v>
      </c>
      <c r="Y80">
        <f>0</f>
        <v>0</v>
      </c>
      <c r="AA80">
        <v>39099382</v>
      </c>
      <c r="AB80">
        <f>ROUND((AK80),2)</f>
        <v>42.98</v>
      </c>
      <c r="AC80">
        <f>0</f>
        <v>0</v>
      </c>
      <c r="AD80">
        <f>0</f>
        <v>0</v>
      </c>
      <c r="AE80">
        <f>0</f>
        <v>0</v>
      </c>
      <c r="AF80">
        <f>0</f>
        <v>0</v>
      </c>
      <c r="AG80">
        <f>0</f>
        <v>0</v>
      </c>
      <c r="AH80">
        <f>0</f>
        <v>0</v>
      </c>
      <c r="AI80">
        <f>0</f>
        <v>0</v>
      </c>
      <c r="AJ80">
        <f>0</f>
        <v>0</v>
      </c>
      <c r="AK80">
        <v>42.98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1</v>
      </c>
      <c r="AW80">
        <v>1</v>
      </c>
      <c r="AZ80">
        <v>6.53</v>
      </c>
      <c r="BA80">
        <v>1</v>
      </c>
      <c r="BB80">
        <v>1</v>
      </c>
      <c r="BC80">
        <v>1</v>
      </c>
      <c r="BD80" t="s">
        <v>3</v>
      </c>
      <c r="BE80" t="s">
        <v>3</v>
      </c>
      <c r="BF80" t="s">
        <v>3</v>
      </c>
      <c r="BG80" t="s">
        <v>3</v>
      </c>
      <c r="BH80">
        <v>0</v>
      </c>
      <c r="BI80">
        <v>1</v>
      </c>
      <c r="BJ80" t="s">
        <v>252</v>
      </c>
      <c r="BM80">
        <v>700004</v>
      </c>
      <c r="BN80">
        <v>0</v>
      </c>
      <c r="BO80" t="s">
        <v>3</v>
      </c>
      <c r="BP80">
        <v>0</v>
      </c>
      <c r="BQ80">
        <v>19</v>
      </c>
      <c r="BR80">
        <v>0</v>
      </c>
      <c r="BS80">
        <v>1</v>
      </c>
      <c r="BT80">
        <v>1</v>
      </c>
      <c r="BU80">
        <v>1</v>
      </c>
      <c r="BV80">
        <v>1</v>
      </c>
      <c r="BW80">
        <v>1</v>
      </c>
      <c r="BX80">
        <v>1</v>
      </c>
      <c r="BY80" t="s">
        <v>3</v>
      </c>
      <c r="BZ80">
        <v>0</v>
      </c>
      <c r="CA80">
        <v>0</v>
      </c>
      <c r="CF80">
        <v>0</v>
      </c>
      <c r="CG80">
        <v>0</v>
      </c>
      <c r="CM80">
        <v>0</v>
      </c>
      <c r="CN80" t="s">
        <v>3</v>
      </c>
      <c r="CO80">
        <v>0</v>
      </c>
      <c r="CP80">
        <f>AB80*AZ80</f>
        <v>280.65940000000001</v>
      </c>
      <c r="CQ80">
        <v>0</v>
      </c>
      <c r="CR80">
        <v>0</v>
      </c>
      <c r="CS80">
        <v>0</v>
      </c>
      <c r="CT80">
        <v>0</v>
      </c>
      <c r="CU80">
        <v>0</v>
      </c>
      <c r="CV80">
        <v>0</v>
      </c>
      <c r="CW80">
        <v>0</v>
      </c>
      <c r="CX80">
        <v>0</v>
      </c>
      <c r="CY80">
        <v>0</v>
      </c>
      <c r="CZ80">
        <v>0</v>
      </c>
      <c r="DC80" t="s">
        <v>3</v>
      </c>
      <c r="DD80" t="s">
        <v>3</v>
      </c>
      <c r="DE80" t="s">
        <v>3</v>
      </c>
      <c r="DF80" t="s">
        <v>3</v>
      </c>
      <c r="DG80" t="s">
        <v>3</v>
      </c>
      <c r="DH80" t="s">
        <v>3</v>
      </c>
      <c r="DI80" t="s">
        <v>3</v>
      </c>
      <c r="DJ80" t="s">
        <v>3</v>
      </c>
      <c r="DK80" t="s">
        <v>3</v>
      </c>
      <c r="DL80" t="s">
        <v>3</v>
      </c>
      <c r="DM80" t="s">
        <v>3</v>
      </c>
      <c r="DN80">
        <v>0</v>
      </c>
      <c r="DO80">
        <v>0</v>
      </c>
      <c r="DP80">
        <v>1</v>
      </c>
      <c r="DQ80">
        <v>1</v>
      </c>
      <c r="DU80">
        <v>1013</v>
      </c>
      <c r="DV80" t="s">
        <v>251</v>
      </c>
      <c r="DW80" t="s">
        <v>251</v>
      </c>
      <c r="DX80">
        <v>1</v>
      </c>
      <c r="EE80">
        <v>39174691</v>
      </c>
      <c r="EF80">
        <v>19</v>
      </c>
      <c r="EG80" t="s">
        <v>253</v>
      </c>
      <c r="EH80">
        <v>0</v>
      </c>
      <c r="EI80" t="s">
        <v>3</v>
      </c>
      <c r="EJ80">
        <v>1</v>
      </c>
      <c r="EK80">
        <v>700004</v>
      </c>
      <c r="EL80" t="s">
        <v>254</v>
      </c>
      <c r="EM80" t="s">
        <v>255</v>
      </c>
      <c r="EO80" t="s">
        <v>3</v>
      </c>
      <c r="EQ80">
        <v>0</v>
      </c>
      <c r="ER80">
        <v>0</v>
      </c>
      <c r="ES80">
        <v>0</v>
      </c>
      <c r="ET80">
        <v>0</v>
      </c>
      <c r="EU80">
        <v>0</v>
      </c>
      <c r="EV80">
        <v>0</v>
      </c>
      <c r="EW80">
        <v>0</v>
      </c>
      <c r="EX80">
        <v>0</v>
      </c>
      <c r="EY80">
        <v>0</v>
      </c>
      <c r="FQ80">
        <v>0</v>
      </c>
      <c r="FR80">
        <f t="shared" si="89"/>
        <v>0</v>
      </c>
      <c r="FS80">
        <v>0</v>
      </c>
      <c r="FX80">
        <v>0</v>
      </c>
      <c r="FY80">
        <v>0</v>
      </c>
      <c r="GA80" t="s">
        <v>3</v>
      </c>
      <c r="GD80">
        <v>0</v>
      </c>
      <c r="GF80">
        <v>68385352</v>
      </c>
      <c r="GG80">
        <v>1</v>
      </c>
      <c r="GH80">
        <v>1</v>
      </c>
      <c r="GI80">
        <v>4</v>
      </c>
      <c r="GJ80">
        <v>2</v>
      </c>
      <c r="GK80">
        <f>ROUND(R80*(R12)/100,2)</f>
        <v>0</v>
      </c>
      <c r="GL80">
        <f t="shared" si="90"/>
        <v>0</v>
      </c>
      <c r="GM80">
        <f>ROUND(CP80*I80,2)</f>
        <v>420.99</v>
      </c>
      <c r="GN80">
        <f>IF(OR(BI80=0,BI80=1),ROUND(CP80*I80,2),0)</f>
        <v>420.99</v>
      </c>
      <c r="GO80">
        <f>IF(BI80=2,ROUND(CP80*I80,2),0)</f>
        <v>0</v>
      </c>
      <c r="GP80">
        <f>IF(BI80=4,ROUND(CP80*I80,2)+GX80,0)</f>
        <v>0</v>
      </c>
      <c r="GR80">
        <v>0</v>
      </c>
      <c r="GS80">
        <v>3</v>
      </c>
      <c r="GU80" t="s">
        <v>3</v>
      </c>
      <c r="GV80">
        <f>0</f>
        <v>0</v>
      </c>
      <c r="GW80">
        <v>1</v>
      </c>
      <c r="GX80">
        <f t="shared" si="96"/>
        <v>0</v>
      </c>
      <c r="GY80">
        <v>0</v>
      </c>
      <c r="GZ80">
        <v>0</v>
      </c>
      <c r="HA80">
        <v>0</v>
      </c>
      <c r="HB80">
        <v>0</v>
      </c>
      <c r="IK80">
        <v>0</v>
      </c>
    </row>
    <row r="81" spans="1:245" x14ac:dyDescent="0.2">
      <c r="A81">
        <v>17</v>
      </c>
      <c r="B81">
        <v>1</v>
      </c>
      <c r="E81" t="s">
        <v>256</v>
      </c>
      <c r="F81" t="s">
        <v>257</v>
      </c>
      <c r="G81" t="s">
        <v>258</v>
      </c>
      <c r="H81" t="s">
        <v>251</v>
      </c>
      <c r="I81">
        <v>1.5</v>
      </c>
      <c r="J81">
        <v>0</v>
      </c>
      <c r="O81">
        <f>0</f>
        <v>0</v>
      </c>
      <c r="P81">
        <f>0</f>
        <v>0</v>
      </c>
      <c r="Q81">
        <f>0</f>
        <v>0</v>
      </c>
      <c r="R81">
        <f>0</f>
        <v>0</v>
      </c>
      <c r="S81">
        <f>0</f>
        <v>0</v>
      </c>
      <c r="T81">
        <f>0</f>
        <v>0</v>
      </c>
      <c r="U81">
        <f>0</f>
        <v>0</v>
      </c>
      <c r="V81">
        <f>0</f>
        <v>0</v>
      </c>
      <c r="W81">
        <f>0</f>
        <v>0</v>
      </c>
      <c r="X81">
        <f>0</f>
        <v>0</v>
      </c>
      <c r="Y81">
        <f>0</f>
        <v>0</v>
      </c>
      <c r="AA81">
        <v>39099382</v>
      </c>
      <c r="AB81">
        <f>ROUND((AK81),2)</f>
        <v>19.54</v>
      </c>
      <c r="AC81">
        <f>0</f>
        <v>0</v>
      </c>
      <c r="AD81">
        <f>0</f>
        <v>0</v>
      </c>
      <c r="AE81">
        <f>0</f>
        <v>0</v>
      </c>
      <c r="AF81">
        <f>0</f>
        <v>0</v>
      </c>
      <c r="AG81">
        <f>0</f>
        <v>0</v>
      </c>
      <c r="AH81">
        <f>0</f>
        <v>0</v>
      </c>
      <c r="AI81">
        <f>0</f>
        <v>0</v>
      </c>
      <c r="AJ81">
        <f>0</f>
        <v>0</v>
      </c>
      <c r="AK81">
        <v>19.54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1</v>
      </c>
      <c r="AW81">
        <v>1</v>
      </c>
      <c r="AZ81">
        <v>6.53</v>
      </c>
      <c r="BA81">
        <v>1</v>
      </c>
      <c r="BB81">
        <v>1</v>
      </c>
      <c r="BC81">
        <v>1</v>
      </c>
      <c r="BD81" t="s">
        <v>3</v>
      </c>
      <c r="BE81" t="s">
        <v>3</v>
      </c>
      <c r="BF81" t="s">
        <v>3</v>
      </c>
      <c r="BG81" t="s">
        <v>3</v>
      </c>
      <c r="BH81">
        <v>0</v>
      </c>
      <c r="BI81">
        <v>1</v>
      </c>
      <c r="BJ81" t="s">
        <v>259</v>
      </c>
      <c r="BM81">
        <v>700005</v>
      </c>
      <c r="BN81">
        <v>0</v>
      </c>
      <c r="BO81" t="s">
        <v>3</v>
      </c>
      <c r="BP81">
        <v>0</v>
      </c>
      <c r="BQ81">
        <v>10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3</v>
      </c>
      <c r="BZ81">
        <v>0</v>
      </c>
      <c r="CA81">
        <v>0</v>
      </c>
      <c r="CF81">
        <v>0</v>
      </c>
      <c r="CG81">
        <v>0</v>
      </c>
      <c r="CM81">
        <v>0</v>
      </c>
      <c r="CN81" t="s">
        <v>3</v>
      </c>
      <c r="CO81">
        <v>0</v>
      </c>
      <c r="CP81">
        <f>AB81*AZ81</f>
        <v>127.5962</v>
      </c>
      <c r="CQ81">
        <v>0</v>
      </c>
      <c r="CR81">
        <v>0</v>
      </c>
      <c r="CS81">
        <v>0</v>
      </c>
      <c r="CT81">
        <v>0</v>
      </c>
      <c r="CU81">
        <v>0</v>
      </c>
      <c r="CV81">
        <v>0</v>
      </c>
      <c r="CW81">
        <v>0</v>
      </c>
      <c r="CX81">
        <v>0</v>
      </c>
      <c r="CY81">
        <v>0</v>
      </c>
      <c r="CZ81">
        <v>0</v>
      </c>
      <c r="DC81" t="s">
        <v>3</v>
      </c>
      <c r="DD81" t="s">
        <v>3</v>
      </c>
      <c r="DE81" t="s">
        <v>3</v>
      </c>
      <c r="DF81" t="s">
        <v>3</v>
      </c>
      <c r="DG81" t="s">
        <v>3</v>
      </c>
      <c r="DH81" t="s">
        <v>3</v>
      </c>
      <c r="DI81" t="s">
        <v>3</v>
      </c>
      <c r="DJ81" t="s">
        <v>3</v>
      </c>
      <c r="DK81" t="s">
        <v>3</v>
      </c>
      <c r="DL81" t="s">
        <v>3</v>
      </c>
      <c r="DM81" t="s">
        <v>3</v>
      </c>
      <c r="DN81">
        <v>0</v>
      </c>
      <c r="DO81">
        <v>0</v>
      </c>
      <c r="DP81">
        <v>1</v>
      </c>
      <c r="DQ81">
        <v>1</v>
      </c>
      <c r="DU81">
        <v>1013</v>
      </c>
      <c r="DV81" t="s">
        <v>251</v>
      </c>
      <c r="DW81" t="s">
        <v>251</v>
      </c>
      <c r="DX81">
        <v>1</v>
      </c>
      <c r="EE81">
        <v>39174695</v>
      </c>
      <c r="EF81">
        <v>10</v>
      </c>
      <c r="EG81" t="s">
        <v>260</v>
      </c>
      <c r="EH81">
        <v>0</v>
      </c>
      <c r="EI81" t="s">
        <v>3</v>
      </c>
      <c r="EJ81">
        <v>1</v>
      </c>
      <c r="EK81">
        <v>700005</v>
      </c>
      <c r="EL81" t="s">
        <v>261</v>
      </c>
      <c r="EM81" t="s">
        <v>262</v>
      </c>
      <c r="EO81" t="s">
        <v>3</v>
      </c>
      <c r="EQ81">
        <v>0</v>
      </c>
      <c r="ER81">
        <v>0</v>
      </c>
      <c r="ES81">
        <v>0</v>
      </c>
      <c r="ET81">
        <v>0</v>
      </c>
      <c r="EU81">
        <v>0</v>
      </c>
      <c r="EV81">
        <v>0</v>
      </c>
      <c r="EW81">
        <v>0</v>
      </c>
      <c r="EX81">
        <v>0</v>
      </c>
      <c r="EY81">
        <v>0</v>
      </c>
      <c r="FQ81">
        <v>0</v>
      </c>
      <c r="FR81">
        <f t="shared" si="89"/>
        <v>0</v>
      </c>
      <c r="FS81">
        <v>0</v>
      </c>
      <c r="FX81">
        <v>0</v>
      </c>
      <c r="FY81">
        <v>0</v>
      </c>
      <c r="GA81" t="s">
        <v>3</v>
      </c>
      <c r="GD81">
        <v>0</v>
      </c>
      <c r="GF81">
        <v>-393582888</v>
      </c>
      <c r="GG81">
        <v>1</v>
      </c>
      <c r="GH81">
        <v>1</v>
      </c>
      <c r="GI81">
        <v>4</v>
      </c>
      <c r="GJ81">
        <v>2</v>
      </c>
      <c r="GK81">
        <f>ROUND(R81*(R12)/100,2)</f>
        <v>0</v>
      </c>
      <c r="GL81">
        <f t="shared" si="90"/>
        <v>0</v>
      </c>
      <c r="GM81">
        <f>ROUND(CP81*I81,2)</f>
        <v>191.39</v>
      </c>
      <c r="GN81">
        <f>IF(OR(BI81=0,BI81=1),ROUND(CP81*I81,2),0)</f>
        <v>191.39</v>
      </c>
      <c r="GO81">
        <f>IF(BI81=2,ROUND(CP81*I81,2),0)</f>
        <v>0</v>
      </c>
      <c r="GP81">
        <f>IF(BI81=4,ROUND(CP81*I81,2)+GX81,0)</f>
        <v>0</v>
      </c>
      <c r="GR81">
        <v>0</v>
      </c>
      <c r="GS81">
        <v>3</v>
      </c>
      <c r="GU81" t="s">
        <v>3</v>
      </c>
      <c r="GV81">
        <f>0</f>
        <v>0</v>
      </c>
      <c r="GW81">
        <v>1</v>
      </c>
      <c r="GX81">
        <f t="shared" si="96"/>
        <v>0</v>
      </c>
      <c r="GY81">
        <v>0</v>
      </c>
      <c r="GZ81">
        <v>0</v>
      </c>
      <c r="HA81">
        <v>0</v>
      </c>
      <c r="HB81">
        <v>0</v>
      </c>
      <c r="IK81">
        <v>0</v>
      </c>
    </row>
    <row r="83" spans="1:245" x14ac:dyDescent="0.2">
      <c r="A83" s="2">
        <v>51</v>
      </c>
      <c r="B83" s="2">
        <f>B24</f>
        <v>1</v>
      </c>
      <c r="C83" s="2">
        <f>A24</f>
        <v>4</v>
      </c>
      <c r="D83" s="2">
        <f>ROW(A24)</f>
        <v>24</v>
      </c>
      <c r="E83" s="2"/>
      <c r="F83" s="2" t="str">
        <f>IF(F24&lt;&gt;"",F24,"")</f>
        <v>Новый раздел</v>
      </c>
      <c r="G83" s="2" t="str">
        <f>IF(G24&lt;&gt;"",G24,"")</f>
        <v>1 Общестроительные работы</v>
      </c>
      <c r="H83" s="2">
        <v>0</v>
      </c>
      <c r="I83" s="2"/>
      <c r="J83" s="2"/>
      <c r="K83" s="2"/>
      <c r="L83" s="2"/>
      <c r="M83" s="2"/>
      <c r="N83" s="2"/>
      <c r="O83" s="2">
        <f t="shared" ref="O83:T83" si="104">ROUND(AB83,2)</f>
        <v>1004846.58</v>
      </c>
      <c r="P83" s="2">
        <f t="shared" si="104"/>
        <v>912062.98</v>
      </c>
      <c r="Q83" s="2">
        <f t="shared" si="104"/>
        <v>10200.379999999999</v>
      </c>
      <c r="R83" s="2">
        <f t="shared" si="104"/>
        <v>2626.99</v>
      </c>
      <c r="S83" s="2">
        <f t="shared" si="104"/>
        <v>82583.22</v>
      </c>
      <c r="T83" s="2">
        <f t="shared" si="104"/>
        <v>0</v>
      </c>
      <c r="U83" s="2">
        <f>AH83</f>
        <v>1424.4292555000002</v>
      </c>
      <c r="V83" s="2">
        <f>AI83</f>
        <v>35.762058250000003</v>
      </c>
      <c r="W83" s="2">
        <f>ROUND(AJ83,2)</f>
        <v>0</v>
      </c>
      <c r="X83" s="2">
        <f>ROUND(AK83,2)</f>
        <v>80808.27</v>
      </c>
      <c r="Y83" s="2">
        <f>ROUND(AL83,2)</f>
        <v>44968.37</v>
      </c>
      <c r="Z83" s="2"/>
      <c r="AA83" s="2"/>
      <c r="AB83" s="2">
        <f>ROUND(SUMIF(AA28:AA81,"=39099382",O28:O81),2)</f>
        <v>1004846.58</v>
      </c>
      <c r="AC83" s="2">
        <f>ROUND(SUMIF(AA28:AA81,"=39099382",P28:P81),2)</f>
        <v>912062.98</v>
      </c>
      <c r="AD83" s="2">
        <f>ROUND(SUMIF(AA28:AA81,"=39099382",Q28:Q81),2)</f>
        <v>10200.379999999999</v>
      </c>
      <c r="AE83" s="2">
        <f>ROUND(SUMIF(AA28:AA81,"=39099382",R28:R81),2)</f>
        <v>2626.99</v>
      </c>
      <c r="AF83" s="2">
        <f>ROUND(SUMIF(AA28:AA81,"=39099382",S28:S81),2)</f>
        <v>82583.22</v>
      </c>
      <c r="AG83" s="2">
        <f>ROUND(SUMIF(AA28:AA81,"=39099382",T28:T81),2)</f>
        <v>0</v>
      </c>
      <c r="AH83" s="2">
        <f>SUMIF(AA28:AA81,"=39099382",U28:U81)</f>
        <v>1424.4292555000002</v>
      </c>
      <c r="AI83" s="2">
        <f>SUMIF(AA28:AA81,"=39099382",V28:V81)</f>
        <v>35.762058250000003</v>
      </c>
      <c r="AJ83" s="2">
        <f>ROUND(SUMIF(AA28:AA81,"=39099382",W28:W81),2)</f>
        <v>0</v>
      </c>
      <c r="AK83" s="2">
        <f>ROUND(SUMIF(AA28:AA81,"=39099382",X28:X81),2)</f>
        <v>80808.27</v>
      </c>
      <c r="AL83" s="2">
        <f>ROUND(SUMIF(AA28:AA81,"=39099382",Y28:Y81),2)</f>
        <v>44968.37</v>
      </c>
      <c r="AM83" s="2"/>
      <c r="AN83" s="2"/>
      <c r="AO83" s="2">
        <f t="shared" ref="AO83:BC83" si="105">ROUND(BX83,2)</f>
        <v>0</v>
      </c>
      <c r="AP83" s="2">
        <f t="shared" si="105"/>
        <v>0</v>
      </c>
      <c r="AQ83" s="2">
        <f t="shared" si="105"/>
        <v>0</v>
      </c>
      <c r="AR83" s="2">
        <f t="shared" si="105"/>
        <v>1131235.6000000001</v>
      </c>
      <c r="AS83" s="2">
        <f t="shared" si="105"/>
        <v>1131235.6000000001</v>
      </c>
      <c r="AT83" s="2">
        <f t="shared" si="105"/>
        <v>0</v>
      </c>
      <c r="AU83" s="2">
        <f t="shared" si="105"/>
        <v>0</v>
      </c>
      <c r="AV83" s="2">
        <f t="shared" si="105"/>
        <v>912062.98</v>
      </c>
      <c r="AW83" s="2">
        <f t="shared" si="105"/>
        <v>912062.98</v>
      </c>
      <c r="AX83" s="2">
        <f t="shared" si="105"/>
        <v>0</v>
      </c>
      <c r="AY83" s="2">
        <f t="shared" si="105"/>
        <v>912062.98</v>
      </c>
      <c r="AZ83" s="2">
        <f t="shared" si="105"/>
        <v>0</v>
      </c>
      <c r="BA83" s="2">
        <f t="shared" si="105"/>
        <v>0</v>
      </c>
      <c r="BB83" s="2">
        <f t="shared" si="105"/>
        <v>0</v>
      </c>
      <c r="BC83" s="2">
        <f t="shared" si="105"/>
        <v>0</v>
      </c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>
        <f>ROUND(SUMIF(AA28:AA81,"=39099382",FQ28:FQ81),2)</f>
        <v>0</v>
      </c>
      <c r="BY83" s="2">
        <f>ROUND(SUMIF(AA28:AA81,"=39099382",FR28:FR81),2)</f>
        <v>0</v>
      </c>
      <c r="BZ83" s="2">
        <f>ROUND(SUMIF(AA28:AA81,"=39099382",GL28:GL81),2)</f>
        <v>0</v>
      </c>
      <c r="CA83" s="2">
        <f>ROUND(SUMIF(AA28:AA81,"=39099382",GM28:GM81),2)</f>
        <v>1131235.6000000001</v>
      </c>
      <c r="CB83" s="2">
        <f>ROUND(SUMIF(AA28:AA81,"=39099382",GN28:GN81),2)</f>
        <v>1131235.6000000001</v>
      </c>
      <c r="CC83" s="2">
        <f>ROUND(SUMIF(AA28:AA81,"=39099382",GO28:GO81),2)</f>
        <v>0</v>
      </c>
      <c r="CD83" s="2">
        <f>ROUND(SUMIF(AA28:AA81,"=39099382",GP28:GP81),2)</f>
        <v>0</v>
      </c>
      <c r="CE83" s="2">
        <f>AC83-BX83</f>
        <v>912062.98</v>
      </c>
      <c r="CF83" s="2">
        <f>AC83-BY83</f>
        <v>912062.98</v>
      </c>
      <c r="CG83" s="2">
        <f>BX83-BZ83</f>
        <v>0</v>
      </c>
      <c r="CH83" s="2">
        <f>AC83-BX83-BY83+BZ83</f>
        <v>912062.98</v>
      </c>
      <c r="CI83" s="2">
        <f>BY83-BZ83</f>
        <v>0</v>
      </c>
      <c r="CJ83" s="2">
        <f>ROUND(SUMIF(AA28:AA81,"=39099382",GX28:GX81),2)</f>
        <v>0</v>
      </c>
      <c r="CK83" s="2">
        <f>ROUND(SUMIF(AA28:AA81,"=39099382",GY28:GY81),2)</f>
        <v>0</v>
      </c>
      <c r="CL83" s="2">
        <f>ROUND(SUMIF(AA28:AA81,"=39099382",GZ28:GZ81),2)</f>
        <v>0</v>
      </c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  <c r="FD83" s="3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3"/>
      <c r="FS83" s="3"/>
      <c r="FT83" s="3"/>
      <c r="FU83" s="3"/>
      <c r="FV83" s="3"/>
      <c r="FW83" s="3"/>
      <c r="FX83" s="3"/>
      <c r="FY83" s="3"/>
      <c r="FZ83" s="3"/>
      <c r="GA83" s="3"/>
      <c r="GB83" s="3"/>
      <c r="GC83" s="3"/>
      <c r="GD83" s="3"/>
      <c r="GE83" s="3"/>
      <c r="GF83" s="3"/>
      <c r="GG83" s="3"/>
      <c r="GH83" s="3"/>
      <c r="GI83" s="3"/>
      <c r="GJ83" s="3"/>
      <c r="GK83" s="3"/>
      <c r="GL83" s="3"/>
      <c r="GM83" s="3"/>
      <c r="GN83" s="3"/>
      <c r="GO83" s="3"/>
      <c r="GP83" s="3"/>
      <c r="GQ83" s="3"/>
      <c r="GR83" s="3"/>
      <c r="GS83" s="3"/>
      <c r="GT83" s="3"/>
      <c r="GU83" s="3"/>
      <c r="GV83" s="3"/>
      <c r="GW83" s="3"/>
      <c r="GX83" s="3">
        <v>0</v>
      </c>
    </row>
    <row r="85" spans="1:245" x14ac:dyDescent="0.2">
      <c r="A85" s="4">
        <v>50</v>
      </c>
      <c r="B85" s="4">
        <v>0</v>
      </c>
      <c r="C85" s="4">
        <v>0</v>
      </c>
      <c r="D85" s="4">
        <v>1</v>
      </c>
      <c r="E85" s="4">
        <v>201</v>
      </c>
      <c r="F85" s="4">
        <f>ROUND(Source!O83,O85)</f>
        <v>1004846.58</v>
      </c>
      <c r="G85" s="4" t="s">
        <v>263</v>
      </c>
      <c r="H85" s="4" t="s">
        <v>264</v>
      </c>
      <c r="I85" s="4"/>
      <c r="J85" s="4"/>
      <c r="K85" s="4">
        <v>201</v>
      </c>
      <c r="L85" s="4">
        <v>1</v>
      </c>
      <c r="M85" s="4">
        <v>3</v>
      </c>
      <c r="N85" s="4" t="s">
        <v>3</v>
      </c>
      <c r="O85" s="4">
        <v>2</v>
      </c>
      <c r="P85" s="4"/>
      <c r="Q85" s="4"/>
      <c r="R85" s="4"/>
      <c r="S85" s="4"/>
      <c r="T85" s="4"/>
      <c r="U85" s="4"/>
      <c r="V85" s="4"/>
      <c r="W85" s="4"/>
    </row>
    <row r="86" spans="1:245" x14ac:dyDescent="0.2">
      <c r="A86" s="4">
        <v>50</v>
      </c>
      <c r="B86" s="4">
        <v>0</v>
      </c>
      <c r="C86" s="4">
        <v>0</v>
      </c>
      <c r="D86" s="4">
        <v>1</v>
      </c>
      <c r="E86" s="4">
        <v>202</v>
      </c>
      <c r="F86" s="4">
        <f>ROUND(Source!P83,O86)</f>
        <v>912062.98</v>
      </c>
      <c r="G86" s="4" t="s">
        <v>265</v>
      </c>
      <c r="H86" s="4" t="s">
        <v>266</v>
      </c>
      <c r="I86" s="4"/>
      <c r="J86" s="4"/>
      <c r="K86" s="4">
        <v>202</v>
      </c>
      <c r="L86" s="4">
        <v>2</v>
      </c>
      <c r="M86" s="4">
        <v>3</v>
      </c>
      <c r="N86" s="4" t="s">
        <v>3</v>
      </c>
      <c r="O86" s="4">
        <v>2</v>
      </c>
      <c r="P86" s="4"/>
      <c r="Q86" s="4"/>
      <c r="R86" s="4"/>
      <c r="S86" s="4"/>
      <c r="T86" s="4"/>
      <c r="U86" s="4"/>
      <c r="V86" s="4"/>
      <c r="W86" s="4"/>
    </row>
    <row r="87" spans="1:245" x14ac:dyDescent="0.2">
      <c r="A87" s="4">
        <v>50</v>
      </c>
      <c r="B87" s="4">
        <v>0</v>
      </c>
      <c r="C87" s="4">
        <v>0</v>
      </c>
      <c r="D87" s="4">
        <v>1</v>
      </c>
      <c r="E87" s="4">
        <v>222</v>
      </c>
      <c r="F87" s="4">
        <f>ROUND(Source!AO83,O87)</f>
        <v>0</v>
      </c>
      <c r="G87" s="4" t="s">
        <v>267</v>
      </c>
      <c r="H87" s="4" t="s">
        <v>268</v>
      </c>
      <c r="I87" s="4"/>
      <c r="J87" s="4"/>
      <c r="K87" s="4">
        <v>222</v>
      </c>
      <c r="L87" s="4">
        <v>3</v>
      </c>
      <c r="M87" s="4">
        <v>3</v>
      </c>
      <c r="N87" s="4" t="s">
        <v>3</v>
      </c>
      <c r="O87" s="4">
        <v>2</v>
      </c>
      <c r="P87" s="4"/>
      <c r="Q87" s="4"/>
      <c r="R87" s="4"/>
      <c r="S87" s="4"/>
      <c r="T87" s="4"/>
      <c r="U87" s="4"/>
      <c r="V87" s="4"/>
      <c r="W87" s="4"/>
    </row>
    <row r="88" spans="1:245" x14ac:dyDescent="0.2">
      <c r="A88" s="4">
        <v>50</v>
      </c>
      <c r="B88" s="4">
        <v>0</v>
      </c>
      <c r="C88" s="4">
        <v>0</v>
      </c>
      <c r="D88" s="4">
        <v>1</v>
      </c>
      <c r="E88" s="4">
        <v>225</v>
      </c>
      <c r="F88" s="4">
        <f>ROUND(Source!AV83,O88)</f>
        <v>912062.98</v>
      </c>
      <c r="G88" s="4" t="s">
        <v>269</v>
      </c>
      <c r="H88" s="4" t="s">
        <v>270</v>
      </c>
      <c r="I88" s="4"/>
      <c r="J88" s="4"/>
      <c r="K88" s="4">
        <v>225</v>
      </c>
      <c r="L88" s="4">
        <v>4</v>
      </c>
      <c r="M88" s="4">
        <v>3</v>
      </c>
      <c r="N88" s="4" t="s">
        <v>3</v>
      </c>
      <c r="O88" s="4">
        <v>2</v>
      </c>
      <c r="P88" s="4"/>
      <c r="Q88" s="4"/>
      <c r="R88" s="4"/>
      <c r="S88" s="4"/>
      <c r="T88" s="4"/>
      <c r="U88" s="4"/>
      <c r="V88" s="4"/>
      <c r="W88" s="4"/>
    </row>
    <row r="89" spans="1:245" x14ac:dyDescent="0.2">
      <c r="A89" s="4">
        <v>50</v>
      </c>
      <c r="B89" s="4">
        <v>0</v>
      </c>
      <c r="C89" s="4">
        <v>0</v>
      </c>
      <c r="D89" s="4">
        <v>1</v>
      </c>
      <c r="E89" s="4">
        <v>226</v>
      </c>
      <c r="F89" s="4">
        <f>ROUND(Source!AW83,O89)</f>
        <v>912062.98</v>
      </c>
      <c r="G89" s="4" t="s">
        <v>271</v>
      </c>
      <c r="H89" s="4" t="s">
        <v>272</v>
      </c>
      <c r="I89" s="4"/>
      <c r="J89" s="4"/>
      <c r="K89" s="4">
        <v>226</v>
      </c>
      <c r="L89" s="4">
        <v>5</v>
      </c>
      <c r="M89" s="4">
        <v>3</v>
      </c>
      <c r="N89" s="4" t="s">
        <v>3</v>
      </c>
      <c r="O89" s="4">
        <v>2</v>
      </c>
      <c r="P89" s="4"/>
      <c r="Q89" s="4"/>
      <c r="R89" s="4"/>
      <c r="S89" s="4"/>
      <c r="T89" s="4"/>
      <c r="U89" s="4"/>
      <c r="V89" s="4"/>
      <c r="W89" s="4"/>
    </row>
    <row r="90" spans="1:245" x14ac:dyDescent="0.2">
      <c r="A90" s="4">
        <v>50</v>
      </c>
      <c r="B90" s="4">
        <v>0</v>
      </c>
      <c r="C90" s="4">
        <v>0</v>
      </c>
      <c r="D90" s="4">
        <v>1</v>
      </c>
      <c r="E90" s="4">
        <v>227</v>
      </c>
      <c r="F90" s="4">
        <f>ROUND(Source!AX83,O90)</f>
        <v>0</v>
      </c>
      <c r="G90" s="4" t="s">
        <v>273</v>
      </c>
      <c r="H90" s="4" t="s">
        <v>274</v>
      </c>
      <c r="I90" s="4"/>
      <c r="J90" s="4"/>
      <c r="K90" s="4">
        <v>227</v>
      </c>
      <c r="L90" s="4">
        <v>6</v>
      </c>
      <c r="M90" s="4">
        <v>3</v>
      </c>
      <c r="N90" s="4" t="s">
        <v>3</v>
      </c>
      <c r="O90" s="4">
        <v>2</v>
      </c>
      <c r="P90" s="4"/>
      <c r="Q90" s="4"/>
      <c r="R90" s="4"/>
      <c r="S90" s="4"/>
      <c r="T90" s="4"/>
      <c r="U90" s="4"/>
      <c r="V90" s="4"/>
      <c r="W90" s="4"/>
    </row>
    <row r="91" spans="1:245" x14ac:dyDescent="0.2">
      <c r="A91" s="4">
        <v>50</v>
      </c>
      <c r="B91" s="4">
        <v>0</v>
      </c>
      <c r="C91" s="4">
        <v>0</v>
      </c>
      <c r="D91" s="4">
        <v>1</v>
      </c>
      <c r="E91" s="4">
        <v>228</v>
      </c>
      <c r="F91" s="4">
        <f>ROUND(Source!AY83,O91)</f>
        <v>912062.98</v>
      </c>
      <c r="G91" s="4" t="s">
        <v>275</v>
      </c>
      <c r="H91" s="4" t="s">
        <v>276</v>
      </c>
      <c r="I91" s="4"/>
      <c r="J91" s="4"/>
      <c r="K91" s="4">
        <v>228</v>
      </c>
      <c r="L91" s="4">
        <v>7</v>
      </c>
      <c r="M91" s="4">
        <v>3</v>
      </c>
      <c r="N91" s="4" t="s">
        <v>3</v>
      </c>
      <c r="O91" s="4">
        <v>2</v>
      </c>
      <c r="P91" s="4"/>
      <c r="Q91" s="4"/>
      <c r="R91" s="4"/>
      <c r="S91" s="4"/>
      <c r="T91" s="4"/>
      <c r="U91" s="4"/>
      <c r="V91" s="4"/>
      <c r="W91" s="4"/>
    </row>
    <row r="92" spans="1:245" x14ac:dyDescent="0.2">
      <c r="A92" s="4">
        <v>50</v>
      </c>
      <c r="B92" s="4">
        <v>0</v>
      </c>
      <c r="C92" s="4">
        <v>0</v>
      </c>
      <c r="D92" s="4">
        <v>1</v>
      </c>
      <c r="E92" s="4">
        <v>216</v>
      </c>
      <c r="F92" s="4">
        <f>ROUND(Source!AP83,O92)</f>
        <v>0</v>
      </c>
      <c r="G92" s="4" t="s">
        <v>277</v>
      </c>
      <c r="H92" s="4" t="s">
        <v>278</v>
      </c>
      <c r="I92" s="4"/>
      <c r="J92" s="4"/>
      <c r="K92" s="4">
        <v>216</v>
      </c>
      <c r="L92" s="4">
        <v>8</v>
      </c>
      <c r="M92" s="4">
        <v>3</v>
      </c>
      <c r="N92" s="4" t="s">
        <v>3</v>
      </c>
      <c r="O92" s="4">
        <v>2</v>
      </c>
      <c r="P92" s="4"/>
      <c r="Q92" s="4"/>
      <c r="R92" s="4"/>
      <c r="S92" s="4"/>
      <c r="T92" s="4"/>
      <c r="U92" s="4"/>
      <c r="V92" s="4"/>
      <c r="W92" s="4"/>
    </row>
    <row r="93" spans="1:245" x14ac:dyDescent="0.2">
      <c r="A93" s="4">
        <v>50</v>
      </c>
      <c r="B93" s="4">
        <v>0</v>
      </c>
      <c r="C93" s="4">
        <v>0</v>
      </c>
      <c r="D93" s="4">
        <v>1</v>
      </c>
      <c r="E93" s="4">
        <v>223</v>
      </c>
      <c r="F93" s="4">
        <f>ROUND(Source!AQ83,O93)</f>
        <v>0</v>
      </c>
      <c r="G93" s="4" t="s">
        <v>279</v>
      </c>
      <c r="H93" s="4" t="s">
        <v>280</v>
      </c>
      <c r="I93" s="4"/>
      <c r="J93" s="4"/>
      <c r="K93" s="4">
        <v>223</v>
      </c>
      <c r="L93" s="4">
        <v>9</v>
      </c>
      <c r="M93" s="4">
        <v>3</v>
      </c>
      <c r="N93" s="4" t="s">
        <v>3</v>
      </c>
      <c r="O93" s="4">
        <v>2</v>
      </c>
      <c r="P93" s="4"/>
      <c r="Q93" s="4"/>
      <c r="R93" s="4"/>
      <c r="S93" s="4"/>
      <c r="T93" s="4"/>
      <c r="U93" s="4"/>
      <c r="V93" s="4"/>
      <c r="W93" s="4"/>
    </row>
    <row r="94" spans="1:245" x14ac:dyDescent="0.2">
      <c r="A94" s="4">
        <v>50</v>
      </c>
      <c r="B94" s="4">
        <v>0</v>
      </c>
      <c r="C94" s="4">
        <v>0</v>
      </c>
      <c r="D94" s="4">
        <v>1</v>
      </c>
      <c r="E94" s="4">
        <v>229</v>
      </c>
      <c r="F94" s="4">
        <f>ROUND(Source!AZ83,O94)</f>
        <v>0</v>
      </c>
      <c r="G94" s="4" t="s">
        <v>281</v>
      </c>
      <c r="H94" s="4" t="s">
        <v>282</v>
      </c>
      <c r="I94" s="4"/>
      <c r="J94" s="4"/>
      <c r="K94" s="4">
        <v>229</v>
      </c>
      <c r="L94" s="4">
        <v>10</v>
      </c>
      <c r="M94" s="4">
        <v>3</v>
      </c>
      <c r="N94" s="4" t="s">
        <v>3</v>
      </c>
      <c r="O94" s="4">
        <v>2</v>
      </c>
      <c r="P94" s="4"/>
      <c r="Q94" s="4"/>
      <c r="R94" s="4"/>
      <c r="S94" s="4"/>
      <c r="T94" s="4"/>
      <c r="U94" s="4"/>
      <c r="V94" s="4"/>
      <c r="W94" s="4"/>
    </row>
    <row r="95" spans="1:245" x14ac:dyDescent="0.2">
      <c r="A95" s="4">
        <v>50</v>
      </c>
      <c r="B95" s="4">
        <v>0</v>
      </c>
      <c r="C95" s="4">
        <v>0</v>
      </c>
      <c r="D95" s="4">
        <v>1</v>
      </c>
      <c r="E95" s="4">
        <v>203</v>
      </c>
      <c r="F95" s="4">
        <f>ROUND(Source!Q83,O95)</f>
        <v>10200.379999999999</v>
      </c>
      <c r="G95" s="4" t="s">
        <v>283</v>
      </c>
      <c r="H95" s="4" t="s">
        <v>284</v>
      </c>
      <c r="I95" s="4"/>
      <c r="J95" s="4"/>
      <c r="K95" s="4">
        <v>203</v>
      </c>
      <c r="L95" s="4">
        <v>11</v>
      </c>
      <c r="M95" s="4">
        <v>3</v>
      </c>
      <c r="N95" s="4" t="s">
        <v>3</v>
      </c>
      <c r="O95" s="4">
        <v>2</v>
      </c>
      <c r="P95" s="4"/>
      <c r="Q95" s="4"/>
      <c r="R95" s="4"/>
      <c r="S95" s="4"/>
      <c r="T95" s="4"/>
      <c r="U95" s="4"/>
      <c r="V95" s="4"/>
      <c r="W95" s="4"/>
    </row>
    <row r="96" spans="1:245" x14ac:dyDescent="0.2">
      <c r="A96" s="4">
        <v>50</v>
      </c>
      <c r="B96" s="4">
        <v>0</v>
      </c>
      <c r="C96" s="4">
        <v>0</v>
      </c>
      <c r="D96" s="4">
        <v>1</v>
      </c>
      <c r="E96" s="4">
        <v>231</v>
      </c>
      <c r="F96" s="4">
        <f>ROUND(Source!BB83,O96)</f>
        <v>0</v>
      </c>
      <c r="G96" s="4" t="s">
        <v>285</v>
      </c>
      <c r="H96" s="4" t="s">
        <v>286</v>
      </c>
      <c r="I96" s="4"/>
      <c r="J96" s="4"/>
      <c r="K96" s="4">
        <v>231</v>
      </c>
      <c r="L96" s="4">
        <v>12</v>
      </c>
      <c r="M96" s="4">
        <v>3</v>
      </c>
      <c r="N96" s="4" t="s">
        <v>3</v>
      </c>
      <c r="O96" s="4">
        <v>2</v>
      </c>
      <c r="P96" s="4"/>
      <c r="Q96" s="4"/>
      <c r="R96" s="4"/>
      <c r="S96" s="4"/>
      <c r="T96" s="4"/>
      <c r="U96" s="4"/>
      <c r="V96" s="4"/>
      <c r="W96" s="4"/>
    </row>
    <row r="97" spans="1:88" x14ac:dyDescent="0.2">
      <c r="A97" s="4">
        <v>50</v>
      </c>
      <c r="B97" s="4">
        <v>0</v>
      </c>
      <c r="C97" s="4">
        <v>0</v>
      </c>
      <c r="D97" s="4">
        <v>1</v>
      </c>
      <c r="E97" s="4">
        <v>204</v>
      </c>
      <c r="F97" s="4">
        <f>ROUND(Source!R83,O97)</f>
        <v>2626.99</v>
      </c>
      <c r="G97" s="4" t="s">
        <v>287</v>
      </c>
      <c r="H97" s="4" t="s">
        <v>288</v>
      </c>
      <c r="I97" s="4"/>
      <c r="J97" s="4"/>
      <c r="K97" s="4">
        <v>204</v>
      </c>
      <c r="L97" s="4">
        <v>13</v>
      </c>
      <c r="M97" s="4">
        <v>3</v>
      </c>
      <c r="N97" s="4" t="s">
        <v>3</v>
      </c>
      <c r="O97" s="4">
        <v>2</v>
      </c>
      <c r="P97" s="4"/>
      <c r="Q97" s="4"/>
      <c r="R97" s="4"/>
      <c r="S97" s="4"/>
      <c r="T97" s="4"/>
      <c r="U97" s="4"/>
      <c r="V97" s="4"/>
      <c r="W97" s="4"/>
    </row>
    <row r="98" spans="1:88" x14ac:dyDescent="0.2">
      <c r="A98" s="4">
        <v>50</v>
      </c>
      <c r="B98" s="4">
        <v>0</v>
      </c>
      <c r="C98" s="4">
        <v>0</v>
      </c>
      <c r="D98" s="4">
        <v>1</v>
      </c>
      <c r="E98" s="4">
        <v>205</v>
      </c>
      <c r="F98" s="4">
        <f>ROUND(Source!S83,O98)</f>
        <v>82583.22</v>
      </c>
      <c r="G98" s="4" t="s">
        <v>289</v>
      </c>
      <c r="H98" s="4" t="s">
        <v>290</v>
      </c>
      <c r="I98" s="4"/>
      <c r="J98" s="4"/>
      <c r="K98" s="4">
        <v>205</v>
      </c>
      <c r="L98" s="4">
        <v>14</v>
      </c>
      <c r="M98" s="4">
        <v>3</v>
      </c>
      <c r="N98" s="4" t="s">
        <v>3</v>
      </c>
      <c r="O98" s="4">
        <v>2</v>
      </c>
      <c r="P98" s="4"/>
      <c r="Q98" s="4"/>
      <c r="R98" s="4"/>
      <c r="S98" s="4"/>
      <c r="T98" s="4"/>
      <c r="U98" s="4"/>
      <c r="V98" s="4"/>
      <c r="W98" s="4"/>
    </row>
    <row r="99" spans="1:88" x14ac:dyDescent="0.2">
      <c r="A99" s="4">
        <v>50</v>
      </c>
      <c r="B99" s="4">
        <v>0</v>
      </c>
      <c r="C99" s="4">
        <v>0</v>
      </c>
      <c r="D99" s="4">
        <v>1</v>
      </c>
      <c r="E99" s="4">
        <v>232</v>
      </c>
      <c r="F99" s="4">
        <f>ROUND(Source!BC83,O99)</f>
        <v>0</v>
      </c>
      <c r="G99" s="4" t="s">
        <v>291</v>
      </c>
      <c r="H99" s="4" t="s">
        <v>292</v>
      </c>
      <c r="I99" s="4"/>
      <c r="J99" s="4"/>
      <c r="K99" s="4">
        <v>232</v>
      </c>
      <c r="L99" s="4">
        <v>15</v>
      </c>
      <c r="M99" s="4">
        <v>3</v>
      </c>
      <c r="N99" s="4" t="s">
        <v>3</v>
      </c>
      <c r="O99" s="4">
        <v>2</v>
      </c>
      <c r="P99" s="4"/>
      <c r="Q99" s="4"/>
      <c r="R99" s="4"/>
      <c r="S99" s="4"/>
      <c r="T99" s="4"/>
      <c r="U99" s="4"/>
      <c r="V99" s="4"/>
      <c r="W99" s="4"/>
    </row>
    <row r="100" spans="1:88" x14ac:dyDescent="0.2">
      <c r="A100" s="4">
        <v>50</v>
      </c>
      <c r="B100" s="4">
        <v>0</v>
      </c>
      <c r="C100" s="4">
        <v>0</v>
      </c>
      <c r="D100" s="4">
        <v>1</v>
      </c>
      <c r="E100" s="4">
        <v>214</v>
      </c>
      <c r="F100" s="4">
        <f>ROUND(Source!AS83,O100)</f>
        <v>1131235.6000000001</v>
      </c>
      <c r="G100" s="4" t="s">
        <v>293</v>
      </c>
      <c r="H100" s="4" t="s">
        <v>294</v>
      </c>
      <c r="I100" s="4"/>
      <c r="J100" s="4"/>
      <c r="K100" s="4">
        <v>214</v>
      </c>
      <c r="L100" s="4">
        <v>16</v>
      </c>
      <c r="M100" s="4">
        <v>3</v>
      </c>
      <c r="N100" s="4" t="s">
        <v>3</v>
      </c>
      <c r="O100" s="4">
        <v>2</v>
      </c>
      <c r="P100" s="4"/>
      <c r="Q100" s="4"/>
      <c r="R100" s="4"/>
      <c r="S100" s="4"/>
      <c r="T100" s="4"/>
      <c r="U100" s="4"/>
      <c r="V100" s="4"/>
      <c r="W100" s="4"/>
    </row>
    <row r="101" spans="1:88" x14ac:dyDescent="0.2">
      <c r="A101" s="4">
        <v>50</v>
      </c>
      <c r="B101" s="4">
        <v>0</v>
      </c>
      <c r="C101" s="4">
        <v>0</v>
      </c>
      <c r="D101" s="4">
        <v>1</v>
      </c>
      <c r="E101" s="4">
        <v>215</v>
      </c>
      <c r="F101" s="4">
        <f>ROUND(Source!AT83,O101)</f>
        <v>0</v>
      </c>
      <c r="G101" s="4" t="s">
        <v>295</v>
      </c>
      <c r="H101" s="4" t="s">
        <v>296</v>
      </c>
      <c r="I101" s="4"/>
      <c r="J101" s="4"/>
      <c r="K101" s="4">
        <v>215</v>
      </c>
      <c r="L101" s="4">
        <v>17</v>
      </c>
      <c r="M101" s="4">
        <v>3</v>
      </c>
      <c r="N101" s="4" t="s">
        <v>3</v>
      </c>
      <c r="O101" s="4">
        <v>2</v>
      </c>
      <c r="P101" s="4"/>
      <c r="Q101" s="4"/>
      <c r="R101" s="4"/>
      <c r="S101" s="4"/>
      <c r="T101" s="4"/>
      <c r="U101" s="4"/>
      <c r="V101" s="4"/>
      <c r="W101" s="4"/>
    </row>
    <row r="102" spans="1:88" x14ac:dyDescent="0.2">
      <c r="A102" s="4">
        <v>50</v>
      </c>
      <c r="B102" s="4">
        <v>0</v>
      </c>
      <c r="C102" s="4">
        <v>0</v>
      </c>
      <c r="D102" s="4">
        <v>1</v>
      </c>
      <c r="E102" s="4">
        <v>217</v>
      </c>
      <c r="F102" s="4">
        <f>ROUND(Source!AU83,O102)</f>
        <v>0</v>
      </c>
      <c r="G102" s="4" t="s">
        <v>297</v>
      </c>
      <c r="H102" s="4" t="s">
        <v>298</v>
      </c>
      <c r="I102" s="4"/>
      <c r="J102" s="4"/>
      <c r="K102" s="4">
        <v>217</v>
      </c>
      <c r="L102" s="4">
        <v>18</v>
      </c>
      <c r="M102" s="4">
        <v>3</v>
      </c>
      <c r="N102" s="4" t="s">
        <v>3</v>
      </c>
      <c r="O102" s="4">
        <v>2</v>
      </c>
      <c r="P102" s="4"/>
      <c r="Q102" s="4"/>
      <c r="R102" s="4"/>
      <c r="S102" s="4"/>
      <c r="T102" s="4"/>
      <c r="U102" s="4"/>
      <c r="V102" s="4"/>
      <c r="W102" s="4"/>
    </row>
    <row r="103" spans="1:88" x14ac:dyDescent="0.2">
      <c r="A103" s="4">
        <v>50</v>
      </c>
      <c r="B103" s="4">
        <v>0</v>
      </c>
      <c r="C103" s="4">
        <v>0</v>
      </c>
      <c r="D103" s="4">
        <v>1</v>
      </c>
      <c r="E103" s="4">
        <v>230</v>
      </c>
      <c r="F103" s="4">
        <f>ROUND(Source!BA83,O103)</f>
        <v>0</v>
      </c>
      <c r="G103" s="4" t="s">
        <v>299</v>
      </c>
      <c r="H103" s="4" t="s">
        <v>300</v>
      </c>
      <c r="I103" s="4"/>
      <c r="J103" s="4"/>
      <c r="K103" s="4">
        <v>230</v>
      </c>
      <c r="L103" s="4">
        <v>19</v>
      </c>
      <c r="M103" s="4">
        <v>3</v>
      </c>
      <c r="N103" s="4" t="s">
        <v>3</v>
      </c>
      <c r="O103" s="4">
        <v>2</v>
      </c>
      <c r="P103" s="4"/>
      <c r="Q103" s="4"/>
      <c r="R103" s="4"/>
      <c r="S103" s="4"/>
      <c r="T103" s="4"/>
      <c r="U103" s="4"/>
      <c r="V103" s="4"/>
      <c r="W103" s="4"/>
    </row>
    <row r="104" spans="1:88" x14ac:dyDescent="0.2">
      <c r="A104" s="4">
        <v>50</v>
      </c>
      <c r="B104" s="4">
        <v>0</v>
      </c>
      <c r="C104" s="4">
        <v>0</v>
      </c>
      <c r="D104" s="4">
        <v>1</v>
      </c>
      <c r="E104" s="4">
        <v>206</v>
      </c>
      <c r="F104" s="4">
        <f>ROUND(Source!T83,O104)</f>
        <v>0</v>
      </c>
      <c r="G104" s="4" t="s">
        <v>301</v>
      </c>
      <c r="H104" s="4" t="s">
        <v>302</v>
      </c>
      <c r="I104" s="4"/>
      <c r="J104" s="4"/>
      <c r="K104" s="4">
        <v>206</v>
      </c>
      <c r="L104" s="4">
        <v>20</v>
      </c>
      <c r="M104" s="4">
        <v>3</v>
      </c>
      <c r="N104" s="4" t="s">
        <v>3</v>
      </c>
      <c r="O104" s="4">
        <v>2</v>
      </c>
      <c r="P104" s="4"/>
      <c r="Q104" s="4"/>
      <c r="R104" s="4"/>
      <c r="S104" s="4"/>
      <c r="T104" s="4"/>
      <c r="U104" s="4"/>
      <c r="V104" s="4"/>
      <c r="W104" s="4"/>
    </row>
    <row r="105" spans="1:88" x14ac:dyDescent="0.2">
      <c r="A105" s="4">
        <v>50</v>
      </c>
      <c r="B105" s="4">
        <v>0</v>
      </c>
      <c r="C105" s="4">
        <v>0</v>
      </c>
      <c r="D105" s="4">
        <v>1</v>
      </c>
      <c r="E105" s="4">
        <v>207</v>
      </c>
      <c r="F105" s="4">
        <f>Source!U83</f>
        <v>1424.4292555000002</v>
      </c>
      <c r="G105" s="4" t="s">
        <v>303</v>
      </c>
      <c r="H105" s="4" t="s">
        <v>304</v>
      </c>
      <c r="I105" s="4"/>
      <c r="J105" s="4"/>
      <c r="K105" s="4">
        <v>207</v>
      </c>
      <c r="L105" s="4">
        <v>21</v>
      </c>
      <c r="M105" s="4">
        <v>3</v>
      </c>
      <c r="N105" s="4" t="s">
        <v>3</v>
      </c>
      <c r="O105" s="4">
        <v>-1</v>
      </c>
      <c r="P105" s="4"/>
      <c r="Q105" s="4"/>
      <c r="R105" s="4"/>
      <c r="S105" s="4"/>
      <c r="T105" s="4"/>
      <c r="U105" s="4"/>
      <c r="V105" s="4"/>
      <c r="W105" s="4"/>
    </row>
    <row r="106" spans="1:88" x14ac:dyDescent="0.2">
      <c r="A106" s="4">
        <v>50</v>
      </c>
      <c r="B106" s="4">
        <v>0</v>
      </c>
      <c r="C106" s="4">
        <v>0</v>
      </c>
      <c r="D106" s="4">
        <v>1</v>
      </c>
      <c r="E106" s="4">
        <v>208</v>
      </c>
      <c r="F106" s="4">
        <f>Source!V83</f>
        <v>35.762058250000003</v>
      </c>
      <c r="G106" s="4" t="s">
        <v>305</v>
      </c>
      <c r="H106" s="4" t="s">
        <v>306</v>
      </c>
      <c r="I106" s="4"/>
      <c r="J106" s="4"/>
      <c r="K106" s="4">
        <v>208</v>
      </c>
      <c r="L106" s="4">
        <v>22</v>
      </c>
      <c r="M106" s="4">
        <v>3</v>
      </c>
      <c r="N106" s="4" t="s">
        <v>3</v>
      </c>
      <c r="O106" s="4">
        <v>-1</v>
      </c>
      <c r="P106" s="4"/>
      <c r="Q106" s="4"/>
      <c r="R106" s="4"/>
      <c r="S106" s="4"/>
      <c r="T106" s="4"/>
      <c r="U106" s="4"/>
      <c r="V106" s="4"/>
      <c r="W106" s="4"/>
    </row>
    <row r="107" spans="1:88" x14ac:dyDescent="0.2">
      <c r="A107" s="4">
        <v>50</v>
      </c>
      <c r="B107" s="4">
        <v>0</v>
      </c>
      <c r="C107" s="4">
        <v>0</v>
      </c>
      <c r="D107" s="4">
        <v>1</v>
      </c>
      <c r="E107" s="4">
        <v>209</v>
      </c>
      <c r="F107" s="4">
        <f>ROUND(Source!W83,O107)</f>
        <v>0</v>
      </c>
      <c r="G107" s="4" t="s">
        <v>307</v>
      </c>
      <c r="H107" s="4" t="s">
        <v>308</v>
      </c>
      <c r="I107" s="4"/>
      <c r="J107" s="4"/>
      <c r="K107" s="4">
        <v>209</v>
      </c>
      <c r="L107" s="4">
        <v>23</v>
      </c>
      <c r="M107" s="4">
        <v>3</v>
      </c>
      <c r="N107" s="4" t="s">
        <v>3</v>
      </c>
      <c r="O107" s="4">
        <v>2</v>
      </c>
      <c r="P107" s="4"/>
      <c r="Q107" s="4"/>
      <c r="R107" s="4"/>
      <c r="S107" s="4"/>
      <c r="T107" s="4"/>
      <c r="U107" s="4"/>
      <c r="V107" s="4"/>
      <c r="W107" s="4"/>
    </row>
    <row r="108" spans="1:88" x14ac:dyDescent="0.2">
      <c r="A108" s="4">
        <v>50</v>
      </c>
      <c r="B108" s="4">
        <v>0</v>
      </c>
      <c r="C108" s="4">
        <v>0</v>
      </c>
      <c r="D108" s="4">
        <v>1</v>
      </c>
      <c r="E108" s="4">
        <v>210</v>
      </c>
      <c r="F108" s="4">
        <f>ROUND(Source!X83,O108)</f>
        <v>80808.27</v>
      </c>
      <c r="G108" s="4" t="s">
        <v>309</v>
      </c>
      <c r="H108" s="4" t="s">
        <v>310</v>
      </c>
      <c r="I108" s="4"/>
      <c r="J108" s="4"/>
      <c r="K108" s="4">
        <v>210</v>
      </c>
      <c r="L108" s="4">
        <v>24</v>
      </c>
      <c r="M108" s="4">
        <v>3</v>
      </c>
      <c r="N108" s="4" t="s">
        <v>3</v>
      </c>
      <c r="O108" s="4">
        <v>2</v>
      </c>
      <c r="P108" s="4"/>
      <c r="Q108" s="4"/>
      <c r="R108" s="4"/>
      <c r="S108" s="4"/>
      <c r="T108" s="4"/>
      <c r="U108" s="4"/>
      <c r="V108" s="4"/>
      <c r="W108" s="4"/>
    </row>
    <row r="109" spans="1:88" x14ac:dyDescent="0.2">
      <c r="A109" s="4">
        <v>50</v>
      </c>
      <c r="B109" s="4">
        <v>0</v>
      </c>
      <c r="C109" s="4">
        <v>0</v>
      </c>
      <c r="D109" s="4">
        <v>1</v>
      </c>
      <c r="E109" s="4">
        <v>211</v>
      </c>
      <c r="F109" s="4">
        <f>ROUND(Source!Y83,O109)</f>
        <v>44968.37</v>
      </c>
      <c r="G109" s="4" t="s">
        <v>311</v>
      </c>
      <c r="H109" s="4" t="s">
        <v>312</v>
      </c>
      <c r="I109" s="4"/>
      <c r="J109" s="4"/>
      <c r="K109" s="4">
        <v>211</v>
      </c>
      <c r="L109" s="4">
        <v>25</v>
      </c>
      <c r="M109" s="4">
        <v>3</v>
      </c>
      <c r="N109" s="4" t="s">
        <v>3</v>
      </c>
      <c r="O109" s="4">
        <v>2</v>
      </c>
      <c r="P109" s="4"/>
      <c r="Q109" s="4"/>
      <c r="R109" s="4"/>
      <c r="S109" s="4"/>
      <c r="T109" s="4"/>
      <c r="U109" s="4"/>
      <c r="V109" s="4"/>
      <c r="W109" s="4"/>
    </row>
    <row r="110" spans="1:88" x14ac:dyDescent="0.2">
      <c r="A110" s="4">
        <v>50</v>
      </c>
      <c r="B110" s="4">
        <v>0</v>
      </c>
      <c r="C110" s="4">
        <v>0</v>
      </c>
      <c r="D110" s="4">
        <v>1</v>
      </c>
      <c r="E110" s="4">
        <v>224</v>
      </c>
      <c r="F110" s="4">
        <f>ROUND(Source!AR83,O110)</f>
        <v>1131235.6000000001</v>
      </c>
      <c r="G110" s="4" t="s">
        <v>313</v>
      </c>
      <c r="H110" s="4" t="s">
        <v>314</v>
      </c>
      <c r="I110" s="4"/>
      <c r="J110" s="4"/>
      <c r="K110" s="4">
        <v>224</v>
      </c>
      <c r="L110" s="4">
        <v>26</v>
      </c>
      <c r="M110" s="4">
        <v>3</v>
      </c>
      <c r="N110" s="4" t="s">
        <v>3</v>
      </c>
      <c r="O110" s="4">
        <v>2</v>
      </c>
      <c r="P110" s="4"/>
      <c r="Q110" s="4"/>
      <c r="R110" s="4"/>
      <c r="S110" s="4"/>
      <c r="T110" s="4"/>
      <c r="U110" s="4"/>
      <c r="V110" s="4"/>
      <c r="W110" s="4"/>
    </row>
    <row r="112" spans="1:88" x14ac:dyDescent="0.2">
      <c r="A112" s="1">
        <v>4</v>
      </c>
      <c r="B112" s="1">
        <v>1</v>
      </c>
      <c r="C112" s="1"/>
      <c r="D112" s="1">
        <f>ROW(A127)</f>
        <v>127</v>
      </c>
      <c r="E112" s="1"/>
      <c r="F112" s="1" t="s">
        <v>12</v>
      </c>
      <c r="G112" s="1" t="s">
        <v>315</v>
      </c>
      <c r="H112" s="1" t="s">
        <v>3</v>
      </c>
      <c r="I112" s="1">
        <v>0</v>
      </c>
      <c r="J112" s="1"/>
      <c r="K112" s="1">
        <v>0</v>
      </c>
      <c r="L112" s="1"/>
      <c r="M112" s="1"/>
      <c r="N112" s="1"/>
      <c r="O112" s="1"/>
      <c r="P112" s="1"/>
      <c r="Q112" s="1"/>
      <c r="R112" s="1"/>
      <c r="S112" s="1"/>
      <c r="T112" s="1"/>
      <c r="U112" s="1" t="s">
        <v>3</v>
      </c>
      <c r="V112" s="1">
        <v>0</v>
      </c>
      <c r="W112" s="1"/>
      <c r="X112" s="1"/>
      <c r="Y112" s="1"/>
      <c r="Z112" s="1"/>
      <c r="AA112" s="1"/>
      <c r="AB112" s="1" t="s">
        <v>3</v>
      </c>
      <c r="AC112" s="1" t="s">
        <v>3</v>
      </c>
      <c r="AD112" s="1" t="s">
        <v>3</v>
      </c>
      <c r="AE112" s="1" t="s">
        <v>3</v>
      </c>
      <c r="AF112" s="1" t="s">
        <v>3</v>
      </c>
      <c r="AG112" s="1" t="s">
        <v>3</v>
      </c>
      <c r="AH112" s="1"/>
      <c r="AI112" s="1"/>
      <c r="AJ112" s="1"/>
      <c r="AK112" s="1"/>
      <c r="AL112" s="1"/>
      <c r="AM112" s="1"/>
      <c r="AN112" s="1"/>
      <c r="AO112" s="1"/>
      <c r="AP112" s="1" t="s">
        <v>3</v>
      </c>
      <c r="AQ112" s="1" t="s">
        <v>3</v>
      </c>
      <c r="AR112" s="1" t="s">
        <v>3</v>
      </c>
      <c r="AS112" s="1"/>
      <c r="AT112" s="1"/>
      <c r="AU112" s="1"/>
      <c r="AV112" s="1"/>
      <c r="AW112" s="1"/>
      <c r="AX112" s="1"/>
      <c r="AY112" s="1"/>
      <c r="AZ112" s="1" t="s">
        <v>3</v>
      </c>
      <c r="BA112" s="1"/>
      <c r="BB112" s="1" t="s">
        <v>3</v>
      </c>
      <c r="BC112" s="1" t="s">
        <v>3</v>
      </c>
      <c r="BD112" s="1" t="s">
        <v>3</v>
      </c>
      <c r="BE112" s="1" t="s">
        <v>3</v>
      </c>
      <c r="BF112" s="1" t="s">
        <v>3</v>
      </c>
      <c r="BG112" s="1" t="s">
        <v>3</v>
      </c>
      <c r="BH112" s="1" t="s">
        <v>3</v>
      </c>
      <c r="BI112" s="1" t="s">
        <v>3</v>
      </c>
      <c r="BJ112" s="1" t="s">
        <v>3</v>
      </c>
      <c r="BK112" s="1" t="s">
        <v>3</v>
      </c>
      <c r="BL112" s="1" t="s">
        <v>3</v>
      </c>
      <c r="BM112" s="1" t="s">
        <v>3</v>
      </c>
      <c r="BN112" s="1" t="s">
        <v>3</v>
      </c>
      <c r="BO112" s="1" t="s">
        <v>3</v>
      </c>
      <c r="BP112" s="1" t="s">
        <v>3</v>
      </c>
      <c r="BQ112" s="1"/>
      <c r="BR112" s="1"/>
      <c r="BS112" s="1"/>
      <c r="BT112" s="1"/>
      <c r="BU112" s="1"/>
      <c r="BV112" s="1"/>
      <c r="BW112" s="1"/>
      <c r="BX112" s="1">
        <v>0</v>
      </c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>
        <v>0</v>
      </c>
    </row>
    <row r="114" spans="1:245" x14ac:dyDescent="0.2">
      <c r="A114" s="2">
        <v>52</v>
      </c>
      <c r="B114" s="2">
        <f t="shared" ref="B114:G114" si="106">B127</f>
        <v>1</v>
      </c>
      <c r="C114" s="2">
        <f t="shared" si="106"/>
        <v>4</v>
      </c>
      <c r="D114" s="2">
        <f t="shared" si="106"/>
        <v>112</v>
      </c>
      <c r="E114" s="2">
        <f t="shared" si="106"/>
        <v>0</v>
      </c>
      <c r="F114" s="2" t="str">
        <f t="shared" si="106"/>
        <v>Новый раздел</v>
      </c>
      <c r="G114" s="2" t="str">
        <f t="shared" si="106"/>
        <v>2 Сантехнические работы</v>
      </c>
      <c r="H114" s="2"/>
      <c r="I114" s="2"/>
      <c r="J114" s="2"/>
      <c r="K114" s="2"/>
      <c r="L114" s="2"/>
      <c r="M114" s="2"/>
      <c r="N114" s="2"/>
      <c r="O114" s="2">
        <f t="shared" ref="O114:AT114" si="107">O127</f>
        <v>229591.84</v>
      </c>
      <c r="P114" s="2">
        <f t="shared" si="107"/>
        <v>221200.91</v>
      </c>
      <c r="Q114" s="2">
        <f t="shared" si="107"/>
        <v>1586.02</v>
      </c>
      <c r="R114" s="2">
        <f t="shared" si="107"/>
        <v>187.62</v>
      </c>
      <c r="S114" s="2">
        <f t="shared" si="107"/>
        <v>6804.91</v>
      </c>
      <c r="T114" s="2">
        <f t="shared" si="107"/>
        <v>0</v>
      </c>
      <c r="U114" s="2">
        <f t="shared" si="107"/>
        <v>118.43808</v>
      </c>
      <c r="V114" s="2">
        <f t="shared" si="107"/>
        <v>2.2927040000000001</v>
      </c>
      <c r="W114" s="2">
        <f t="shared" si="107"/>
        <v>0</v>
      </c>
      <c r="X114" s="2">
        <f t="shared" si="107"/>
        <v>7440.46</v>
      </c>
      <c r="Y114" s="2">
        <f t="shared" si="107"/>
        <v>4622.93</v>
      </c>
      <c r="Z114" s="2">
        <f t="shared" si="107"/>
        <v>0</v>
      </c>
      <c r="AA114" s="2">
        <f t="shared" si="107"/>
        <v>0</v>
      </c>
      <c r="AB114" s="2">
        <f t="shared" si="107"/>
        <v>229591.84</v>
      </c>
      <c r="AC114" s="2">
        <f t="shared" si="107"/>
        <v>221200.91</v>
      </c>
      <c r="AD114" s="2">
        <f t="shared" si="107"/>
        <v>1586.02</v>
      </c>
      <c r="AE114" s="2">
        <f t="shared" si="107"/>
        <v>187.62</v>
      </c>
      <c r="AF114" s="2">
        <f t="shared" si="107"/>
        <v>6804.91</v>
      </c>
      <c r="AG114" s="2">
        <f t="shared" si="107"/>
        <v>0</v>
      </c>
      <c r="AH114" s="2">
        <f t="shared" si="107"/>
        <v>118.43808</v>
      </c>
      <c r="AI114" s="2">
        <f t="shared" si="107"/>
        <v>2.2927040000000001</v>
      </c>
      <c r="AJ114" s="2">
        <f t="shared" si="107"/>
        <v>0</v>
      </c>
      <c r="AK114" s="2">
        <f t="shared" si="107"/>
        <v>7440.46</v>
      </c>
      <c r="AL114" s="2">
        <f t="shared" si="107"/>
        <v>4622.93</v>
      </c>
      <c r="AM114" s="2">
        <f t="shared" si="107"/>
        <v>0</v>
      </c>
      <c r="AN114" s="2">
        <f t="shared" si="107"/>
        <v>0</v>
      </c>
      <c r="AO114" s="2">
        <f t="shared" si="107"/>
        <v>0</v>
      </c>
      <c r="AP114" s="2">
        <f t="shared" si="107"/>
        <v>0</v>
      </c>
      <c r="AQ114" s="2">
        <f t="shared" si="107"/>
        <v>0</v>
      </c>
      <c r="AR114" s="2">
        <f t="shared" si="107"/>
        <v>241655.23</v>
      </c>
      <c r="AS114" s="2">
        <f t="shared" si="107"/>
        <v>241655.23</v>
      </c>
      <c r="AT114" s="2">
        <f t="shared" si="107"/>
        <v>0</v>
      </c>
      <c r="AU114" s="2">
        <f t="shared" ref="AU114:BZ114" si="108">AU127</f>
        <v>0</v>
      </c>
      <c r="AV114" s="2">
        <f t="shared" si="108"/>
        <v>221200.91</v>
      </c>
      <c r="AW114" s="2">
        <f t="shared" si="108"/>
        <v>221200.91</v>
      </c>
      <c r="AX114" s="2">
        <f t="shared" si="108"/>
        <v>0</v>
      </c>
      <c r="AY114" s="2">
        <f t="shared" si="108"/>
        <v>221200.91</v>
      </c>
      <c r="AZ114" s="2">
        <f t="shared" si="108"/>
        <v>0</v>
      </c>
      <c r="BA114" s="2">
        <f t="shared" si="108"/>
        <v>0</v>
      </c>
      <c r="BB114" s="2">
        <f t="shared" si="108"/>
        <v>0</v>
      </c>
      <c r="BC114" s="2">
        <f t="shared" si="108"/>
        <v>0</v>
      </c>
      <c r="BD114" s="2">
        <f t="shared" si="108"/>
        <v>0</v>
      </c>
      <c r="BE114" s="2">
        <f t="shared" si="108"/>
        <v>0</v>
      </c>
      <c r="BF114" s="2">
        <f t="shared" si="108"/>
        <v>0</v>
      </c>
      <c r="BG114" s="2">
        <f t="shared" si="108"/>
        <v>0</v>
      </c>
      <c r="BH114" s="2">
        <f t="shared" si="108"/>
        <v>0</v>
      </c>
      <c r="BI114" s="2">
        <f t="shared" si="108"/>
        <v>0</v>
      </c>
      <c r="BJ114" s="2">
        <f t="shared" si="108"/>
        <v>0</v>
      </c>
      <c r="BK114" s="2">
        <f t="shared" si="108"/>
        <v>0</v>
      </c>
      <c r="BL114" s="2">
        <f t="shared" si="108"/>
        <v>0</v>
      </c>
      <c r="BM114" s="2">
        <f t="shared" si="108"/>
        <v>0</v>
      </c>
      <c r="BN114" s="2">
        <f t="shared" si="108"/>
        <v>0</v>
      </c>
      <c r="BO114" s="2">
        <f t="shared" si="108"/>
        <v>0</v>
      </c>
      <c r="BP114" s="2">
        <f t="shared" si="108"/>
        <v>0</v>
      </c>
      <c r="BQ114" s="2">
        <f t="shared" si="108"/>
        <v>0</v>
      </c>
      <c r="BR114" s="2">
        <f t="shared" si="108"/>
        <v>0</v>
      </c>
      <c r="BS114" s="2">
        <f t="shared" si="108"/>
        <v>0</v>
      </c>
      <c r="BT114" s="2">
        <f t="shared" si="108"/>
        <v>0</v>
      </c>
      <c r="BU114" s="2">
        <f t="shared" si="108"/>
        <v>0</v>
      </c>
      <c r="BV114" s="2">
        <f t="shared" si="108"/>
        <v>0</v>
      </c>
      <c r="BW114" s="2">
        <f t="shared" si="108"/>
        <v>0</v>
      </c>
      <c r="BX114" s="2">
        <f t="shared" si="108"/>
        <v>0</v>
      </c>
      <c r="BY114" s="2">
        <f t="shared" si="108"/>
        <v>0</v>
      </c>
      <c r="BZ114" s="2">
        <f t="shared" si="108"/>
        <v>0</v>
      </c>
      <c r="CA114" s="2">
        <f t="shared" ref="CA114:DF114" si="109">CA127</f>
        <v>241655.23</v>
      </c>
      <c r="CB114" s="2">
        <f t="shared" si="109"/>
        <v>241655.23</v>
      </c>
      <c r="CC114" s="2">
        <f t="shared" si="109"/>
        <v>0</v>
      </c>
      <c r="CD114" s="2">
        <f t="shared" si="109"/>
        <v>0</v>
      </c>
      <c r="CE114" s="2">
        <f t="shared" si="109"/>
        <v>221200.91</v>
      </c>
      <c r="CF114" s="2">
        <f t="shared" si="109"/>
        <v>221200.91</v>
      </c>
      <c r="CG114" s="2">
        <f t="shared" si="109"/>
        <v>0</v>
      </c>
      <c r="CH114" s="2">
        <f t="shared" si="109"/>
        <v>221200.91</v>
      </c>
      <c r="CI114" s="2">
        <f t="shared" si="109"/>
        <v>0</v>
      </c>
      <c r="CJ114" s="2">
        <f t="shared" si="109"/>
        <v>0</v>
      </c>
      <c r="CK114" s="2">
        <f t="shared" si="109"/>
        <v>0</v>
      </c>
      <c r="CL114" s="2">
        <f t="shared" si="109"/>
        <v>0</v>
      </c>
      <c r="CM114" s="2">
        <f t="shared" si="109"/>
        <v>0</v>
      </c>
      <c r="CN114" s="2">
        <f t="shared" si="109"/>
        <v>0</v>
      </c>
      <c r="CO114" s="2">
        <f t="shared" si="109"/>
        <v>0</v>
      </c>
      <c r="CP114" s="2">
        <f t="shared" si="109"/>
        <v>0</v>
      </c>
      <c r="CQ114" s="2">
        <f t="shared" si="109"/>
        <v>0</v>
      </c>
      <c r="CR114" s="2">
        <f t="shared" si="109"/>
        <v>0</v>
      </c>
      <c r="CS114" s="2">
        <f t="shared" si="109"/>
        <v>0</v>
      </c>
      <c r="CT114" s="2">
        <f t="shared" si="109"/>
        <v>0</v>
      </c>
      <c r="CU114" s="2">
        <f t="shared" si="109"/>
        <v>0</v>
      </c>
      <c r="CV114" s="2">
        <f t="shared" si="109"/>
        <v>0</v>
      </c>
      <c r="CW114" s="2">
        <f t="shared" si="109"/>
        <v>0</v>
      </c>
      <c r="CX114" s="2">
        <f t="shared" si="109"/>
        <v>0</v>
      </c>
      <c r="CY114" s="2">
        <f t="shared" si="109"/>
        <v>0</v>
      </c>
      <c r="CZ114" s="2">
        <f t="shared" si="109"/>
        <v>0</v>
      </c>
      <c r="DA114" s="2">
        <f t="shared" si="109"/>
        <v>0</v>
      </c>
      <c r="DB114" s="2">
        <f t="shared" si="109"/>
        <v>0</v>
      </c>
      <c r="DC114" s="2">
        <f t="shared" si="109"/>
        <v>0</v>
      </c>
      <c r="DD114" s="2">
        <f t="shared" si="109"/>
        <v>0</v>
      </c>
      <c r="DE114" s="2">
        <f t="shared" si="109"/>
        <v>0</v>
      </c>
      <c r="DF114" s="2">
        <f t="shared" si="109"/>
        <v>0</v>
      </c>
      <c r="DG114" s="3">
        <f t="shared" ref="DG114:EL114" si="110">DG127</f>
        <v>0</v>
      </c>
      <c r="DH114" s="3">
        <f t="shared" si="110"/>
        <v>0</v>
      </c>
      <c r="DI114" s="3">
        <f t="shared" si="110"/>
        <v>0</v>
      </c>
      <c r="DJ114" s="3">
        <f t="shared" si="110"/>
        <v>0</v>
      </c>
      <c r="DK114" s="3">
        <f t="shared" si="110"/>
        <v>0</v>
      </c>
      <c r="DL114" s="3">
        <f t="shared" si="110"/>
        <v>0</v>
      </c>
      <c r="DM114" s="3">
        <f t="shared" si="110"/>
        <v>0</v>
      </c>
      <c r="DN114" s="3">
        <f t="shared" si="110"/>
        <v>0</v>
      </c>
      <c r="DO114" s="3">
        <f t="shared" si="110"/>
        <v>0</v>
      </c>
      <c r="DP114" s="3">
        <f t="shared" si="110"/>
        <v>0</v>
      </c>
      <c r="DQ114" s="3">
        <f t="shared" si="110"/>
        <v>0</v>
      </c>
      <c r="DR114" s="3">
        <f t="shared" si="110"/>
        <v>0</v>
      </c>
      <c r="DS114" s="3">
        <f t="shared" si="110"/>
        <v>0</v>
      </c>
      <c r="DT114" s="3">
        <f t="shared" si="110"/>
        <v>0</v>
      </c>
      <c r="DU114" s="3">
        <f t="shared" si="110"/>
        <v>0</v>
      </c>
      <c r="DV114" s="3">
        <f t="shared" si="110"/>
        <v>0</v>
      </c>
      <c r="DW114" s="3">
        <f t="shared" si="110"/>
        <v>0</v>
      </c>
      <c r="DX114" s="3">
        <f t="shared" si="110"/>
        <v>0</v>
      </c>
      <c r="DY114" s="3">
        <f t="shared" si="110"/>
        <v>0</v>
      </c>
      <c r="DZ114" s="3">
        <f t="shared" si="110"/>
        <v>0</v>
      </c>
      <c r="EA114" s="3">
        <f t="shared" si="110"/>
        <v>0</v>
      </c>
      <c r="EB114" s="3">
        <f t="shared" si="110"/>
        <v>0</v>
      </c>
      <c r="EC114" s="3">
        <f t="shared" si="110"/>
        <v>0</v>
      </c>
      <c r="ED114" s="3">
        <f t="shared" si="110"/>
        <v>0</v>
      </c>
      <c r="EE114" s="3">
        <f t="shared" si="110"/>
        <v>0</v>
      </c>
      <c r="EF114" s="3">
        <f t="shared" si="110"/>
        <v>0</v>
      </c>
      <c r="EG114" s="3">
        <f t="shared" si="110"/>
        <v>0</v>
      </c>
      <c r="EH114" s="3">
        <f t="shared" si="110"/>
        <v>0</v>
      </c>
      <c r="EI114" s="3">
        <f t="shared" si="110"/>
        <v>0</v>
      </c>
      <c r="EJ114" s="3">
        <f t="shared" si="110"/>
        <v>0</v>
      </c>
      <c r="EK114" s="3">
        <f t="shared" si="110"/>
        <v>0</v>
      </c>
      <c r="EL114" s="3">
        <f t="shared" si="110"/>
        <v>0</v>
      </c>
      <c r="EM114" s="3">
        <f t="shared" ref="EM114:FR114" si="111">EM127</f>
        <v>0</v>
      </c>
      <c r="EN114" s="3">
        <f t="shared" si="111"/>
        <v>0</v>
      </c>
      <c r="EO114" s="3">
        <f t="shared" si="111"/>
        <v>0</v>
      </c>
      <c r="EP114" s="3">
        <f t="shared" si="111"/>
        <v>0</v>
      </c>
      <c r="EQ114" s="3">
        <f t="shared" si="111"/>
        <v>0</v>
      </c>
      <c r="ER114" s="3">
        <f t="shared" si="111"/>
        <v>0</v>
      </c>
      <c r="ES114" s="3">
        <f t="shared" si="111"/>
        <v>0</v>
      </c>
      <c r="ET114" s="3">
        <f t="shared" si="111"/>
        <v>0</v>
      </c>
      <c r="EU114" s="3">
        <f t="shared" si="111"/>
        <v>0</v>
      </c>
      <c r="EV114" s="3">
        <f t="shared" si="111"/>
        <v>0</v>
      </c>
      <c r="EW114" s="3">
        <f t="shared" si="111"/>
        <v>0</v>
      </c>
      <c r="EX114" s="3">
        <f t="shared" si="111"/>
        <v>0</v>
      </c>
      <c r="EY114" s="3">
        <f t="shared" si="111"/>
        <v>0</v>
      </c>
      <c r="EZ114" s="3">
        <f t="shared" si="111"/>
        <v>0</v>
      </c>
      <c r="FA114" s="3">
        <f t="shared" si="111"/>
        <v>0</v>
      </c>
      <c r="FB114" s="3">
        <f t="shared" si="111"/>
        <v>0</v>
      </c>
      <c r="FC114" s="3">
        <f t="shared" si="111"/>
        <v>0</v>
      </c>
      <c r="FD114" s="3">
        <f t="shared" si="111"/>
        <v>0</v>
      </c>
      <c r="FE114" s="3">
        <f t="shared" si="111"/>
        <v>0</v>
      </c>
      <c r="FF114" s="3">
        <f t="shared" si="111"/>
        <v>0</v>
      </c>
      <c r="FG114" s="3">
        <f t="shared" si="111"/>
        <v>0</v>
      </c>
      <c r="FH114" s="3">
        <f t="shared" si="111"/>
        <v>0</v>
      </c>
      <c r="FI114" s="3">
        <f t="shared" si="111"/>
        <v>0</v>
      </c>
      <c r="FJ114" s="3">
        <f t="shared" si="111"/>
        <v>0</v>
      </c>
      <c r="FK114" s="3">
        <f t="shared" si="111"/>
        <v>0</v>
      </c>
      <c r="FL114" s="3">
        <f t="shared" si="111"/>
        <v>0</v>
      </c>
      <c r="FM114" s="3">
        <f t="shared" si="111"/>
        <v>0</v>
      </c>
      <c r="FN114" s="3">
        <f t="shared" si="111"/>
        <v>0</v>
      </c>
      <c r="FO114" s="3">
        <f t="shared" si="111"/>
        <v>0</v>
      </c>
      <c r="FP114" s="3">
        <f t="shared" si="111"/>
        <v>0</v>
      </c>
      <c r="FQ114" s="3">
        <f t="shared" si="111"/>
        <v>0</v>
      </c>
      <c r="FR114" s="3">
        <f t="shared" si="111"/>
        <v>0</v>
      </c>
      <c r="FS114" s="3">
        <f t="shared" ref="FS114:GX114" si="112">FS127</f>
        <v>0</v>
      </c>
      <c r="FT114" s="3">
        <f t="shared" si="112"/>
        <v>0</v>
      </c>
      <c r="FU114" s="3">
        <f t="shared" si="112"/>
        <v>0</v>
      </c>
      <c r="FV114" s="3">
        <f t="shared" si="112"/>
        <v>0</v>
      </c>
      <c r="FW114" s="3">
        <f t="shared" si="112"/>
        <v>0</v>
      </c>
      <c r="FX114" s="3">
        <f t="shared" si="112"/>
        <v>0</v>
      </c>
      <c r="FY114" s="3">
        <f t="shared" si="112"/>
        <v>0</v>
      </c>
      <c r="FZ114" s="3">
        <f t="shared" si="112"/>
        <v>0</v>
      </c>
      <c r="GA114" s="3">
        <f t="shared" si="112"/>
        <v>0</v>
      </c>
      <c r="GB114" s="3">
        <f t="shared" si="112"/>
        <v>0</v>
      </c>
      <c r="GC114" s="3">
        <f t="shared" si="112"/>
        <v>0</v>
      </c>
      <c r="GD114" s="3">
        <f t="shared" si="112"/>
        <v>0</v>
      </c>
      <c r="GE114" s="3">
        <f t="shared" si="112"/>
        <v>0</v>
      </c>
      <c r="GF114" s="3">
        <f t="shared" si="112"/>
        <v>0</v>
      </c>
      <c r="GG114" s="3">
        <f t="shared" si="112"/>
        <v>0</v>
      </c>
      <c r="GH114" s="3">
        <f t="shared" si="112"/>
        <v>0</v>
      </c>
      <c r="GI114" s="3">
        <f t="shared" si="112"/>
        <v>0</v>
      </c>
      <c r="GJ114" s="3">
        <f t="shared" si="112"/>
        <v>0</v>
      </c>
      <c r="GK114" s="3">
        <f t="shared" si="112"/>
        <v>0</v>
      </c>
      <c r="GL114" s="3">
        <f t="shared" si="112"/>
        <v>0</v>
      </c>
      <c r="GM114" s="3">
        <f t="shared" si="112"/>
        <v>0</v>
      </c>
      <c r="GN114" s="3">
        <f t="shared" si="112"/>
        <v>0</v>
      </c>
      <c r="GO114" s="3">
        <f t="shared" si="112"/>
        <v>0</v>
      </c>
      <c r="GP114" s="3">
        <f t="shared" si="112"/>
        <v>0</v>
      </c>
      <c r="GQ114" s="3">
        <f t="shared" si="112"/>
        <v>0</v>
      </c>
      <c r="GR114" s="3">
        <f t="shared" si="112"/>
        <v>0</v>
      </c>
      <c r="GS114" s="3">
        <f t="shared" si="112"/>
        <v>0</v>
      </c>
      <c r="GT114" s="3">
        <f t="shared" si="112"/>
        <v>0</v>
      </c>
      <c r="GU114" s="3">
        <f t="shared" si="112"/>
        <v>0</v>
      </c>
      <c r="GV114" s="3">
        <f t="shared" si="112"/>
        <v>0</v>
      </c>
      <c r="GW114" s="3">
        <f t="shared" si="112"/>
        <v>0</v>
      </c>
      <c r="GX114" s="3">
        <f t="shared" si="112"/>
        <v>0</v>
      </c>
    </row>
    <row r="116" spans="1:245" x14ac:dyDescent="0.2">
      <c r="A116">
        <v>17</v>
      </c>
      <c r="B116">
        <v>1</v>
      </c>
      <c r="C116">
        <f>ROW(SmtRes!A146)</f>
        <v>146</v>
      </c>
      <c r="D116">
        <f>ROW(EtalonRes!A144)</f>
        <v>144</v>
      </c>
      <c r="E116" t="s">
        <v>316</v>
      </c>
      <c r="F116" t="s">
        <v>317</v>
      </c>
      <c r="G116" t="s">
        <v>318</v>
      </c>
      <c r="H116" t="s">
        <v>30</v>
      </c>
      <c r="I116">
        <v>0.2</v>
      </c>
      <c r="J116">
        <v>0</v>
      </c>
      <c r="O116">
        <f t="shared" ref="O116:O125" si="113">ROUND(CP116,2)</f>
        <v>1222.05</v>
      </c>
      <c r="P116">
        <f t="shared" ref="P116:P125" si="114">ROUND(CQ116*I116,2)</f>
        <v>0</v>
      </c>
      <c r="Q116">
        <f t="shared" ref="Q116:Q125" si="115">ROUND(CR116*I116,2)</f>
        <v>91.45</v>
      </c>
      <c r="R116">
        <f t="shared" ref="R116:R125" si="116">ROUND(CS116*I116,2)</f>
        <v>39.49</v>
      </c>
      <c r="S116">
        <f t="shared" ref="S116:S125" si="117">ROUND(CT116*I116,2)</f>
        <v>1130.5999999999999</v>
      </c>
      <c r="T116">
        <f t="shared" ref="T116:T125" si="118">ROUND(CU116*I116,2)</f>
        <v>0</v>
      </c>
      <c r="U116">
        <f t="shared" ref="U116:U125" si="119">CV116*I116</f>
        <v>22</v>
      </c>
      <c r="V116">
        <f t="shared" ref="V116:V125" si="120">CW116*I116</f>
        <v>0.44800000000000006</v>
      </c>
      <c r="W116">
        <f t="shared" ref="W116:W125" si="121">ROUND(CX116*I116,2)</f>
        <v>0</v>
      </c>
      <c r="X116">
        <f t="shared" ref="X116:X125" si="122">ROUND(CY116,2)</f>
        <v>865.87</v>
      </c>
      <c r="Y116">
        <f t="shared" ref="Y116:Y125" si="123">ROUND(CZ116,2)</f>
        <v>585.04999999999995</v>
      </c>
      <c r="AA116">
        <v>39099382</v>
      </c>
      <c r="AB116">
        <f t="shared" ref="AB116:AB125" si="124">ROUND((AC116+AD116+AF116),2)</f>
        <v>935.72</v>
      </c>
      <c r="AC116">
        <f t="shared" ref="AC116:AC125" si="125">ROUND((ES116),2)</f>
        <v>0</v>
      </c>
      <c r="AD116">
        <f t="shared" ref="AD116:AD125" si="126">ROUND((((ET116)-(EU116))+AE116),2)</f>
        <v>70.02</v>
      </c>
      <c r="AE116">
        <f t="shared" ref="AE116:AE125" si="127">ROUND((EU116),2)</f>
        <v>30.24</v>
      </c>
      <c r="AF116">
        <f t="shared" ref="AF116:AF125" si="128">ROUND((EV116),2)</f>
        <v>865.7</v>
      </c>
      <c r="AG116">
        <f t="shared" ref="AG116:AG125" si="129">ROUND((AP116),2)</f>
        <v>0</v>
      </c>
      <c r="AH116">
        <f t="shared" ref="AH116:AH125" si="130">(EW116)</f>
        <v>110</v>
      </c>
      <c r="AI116">
        <f t="shared" ref="AI116:AI125" si="131">(EX116)</f>
        <v>2.2400000000000002</v>
      </c>
      <c r="AJ116">
        <f t="shared" ref="AJ116:AJ125" si="132">ROUND((AS116),2)</f>
        <v>0</v>
      </c>
      <c r="AK116">
        <v>935.72</v>
      </c>
      <c r="AL116">
        <v>0</v>
      </c>
      <c r="AM116">
        <v>70.02</v>
      </c>
      <c r="AN116">
        <v>30.24</v>
      </c>
      <c r="AO116">
        <v>865.7</v>
      </c>
      <c r="AP116">
        <v>0</v>
      </c>
      <c r="AQ116">
        <v>110</v>
      </c>
      <c r="AR116">
        <v>2.2400000000000002</v>
      </c>
      <c r="AS116">
        <v>0</v>
      </c>
      <c r="AT116">
        <v>74</v>
      </c>
      <c r="AU116">
        <v>50</v>
      </c>
      <c r="AV116">
        <v>1</v>
      </c>
      <c r="AW116">
        <v>1</v>
      </c>
      <c r="AZ116">
        <v>6.53</v>
      </c>
      <c r="BA116">
        <v>6.53</v>
      </c>
      <c r="BB116">
        <v>6.53</v>
      </c>
      <c r="BC116">
        <v>6.53</v>
      </c>
      <c r="BD116" t="s">
        <v>3</v>
      </c>
      <c r="BE116" t="s">
        <v>3</v>
      </c>
      <c r="BF116" t="s">
        <v>3</v>
      </c>
      <c r="BG116" t="s">
        <v>3</v>
      </c>
      <c r="BH116">
        <v>0</v>
      </c>
      <c r="BI116">
        <v>1</v>
      </c>
      <c r="BJ116" t="s">
        <v>319</v>
      </c>
      <c r="BM116">
        <v>65003</v>
      </c>
      <c r="BN116">
        <v>0</v>
      </c>
      <c r="BO116" t="s">
        <v>3</v>
      </c>
      <c r="BP116">
        <v>0</v>
      </c>
      <c r="BQ116">
        <v>6</v>
      </c>
      <c r="BR116">
        <v>0</v>
      </c>
      <c r="BS116">
        <v>6.53</v>
      </c>
      <c r="BT116">
        <v>1</v>
      </c>
      <c r="BU116">
        <v>1</v>
      </c>
      <c r="BV116">
        <v>1</v>
      </c>
      <c r="BW116">
        <v>1</v>
      </c>
      <c r="BX116">
        <v>1</v>
      </c>
      <c r="BY116" t="s">
        <v>3</v>
      </c>
      <c r="BZ116">
        <v>74</v>
      </c>
      <c r="CA116">
        <v>50</v>
      </c>
      <c r="CF116">
        <v>0</v>
      </c>
      <c r="CG116">
        <v>0</v>
      </c>
      <c r="CM116">
        <v>0</v>
      </c>
      <c r="CN116" t="s">
        <v>3</v>
      </c>
      <c r="CO116">
        <v>0</v>
      </c>
      <c r="CP116">
        <f t="shared" ref="CP116:CP125" si="133">(P116+Q116+S116)</f>
        <v>1222.05</v>
      </c>
      <c r="CQ116">
        <f t="shared" ref="CQ116:CQ125" si="134">AC116*BC116</f>
        <v>0</v>
      </c>
      <c r="CR116">
        <f t="shared" ref="CR116:CR125" si="135">AD116*BB116</f>
        <v>457.23059999999998</v>
      </c>
      <c r="CS116">
        <f t="shared" ref="CS116:CS125" si="136">AE116*BS116</f>
        <v>197.46719999999999</v>
      </c>
      <c r="CT116">
        <f t="shared" ref="CT116:CT125" si="137">AF116*BA116</f>
        <v>5653.0210000000006</v>
      </c>
      <c r="CU116">
        <f t="shared" ref="CU116:CU125" si="138">AG116</f>
        <v>0</v>
      </c>
      <c r="CV116">
        <f t="shared" ref="CV116:CV125" si="139">AH116</f>
        <v>110</v>
      </c>
      <c r="CW116">
        <f t="shared" ref="CW116:CW125" si="140">AI116</f>
        <v>2.2400000000000002</v>
      </c>
      <c r="CX116">
        <f t="shared" ref="CX116:CX125" si="141">AJ116</f>
        <v>0</v>
      </c>
      <c r="CY116">
        <f t="shared" ref="CY116:CY125" si="142">(((S116+R116)*AT116)/100)</f>
        <v>865.86659999999983</v>
      </c>
      <c r="CZ116">
        <f t="shared" ref="CZ116:CZ125" si="143">(((S116+R116)*AU116)/100)</f>
        <v>585.04499999999996</v>
      </c>
      <c r="DC116" t="s">
        <v>3</v>
      </c>
      <c r="DD116" t="s">
        <v>3</v>
      </c>
      <c r="DE116" t="s">
        <v>3</v>
      </c>
      <c r="DF116" t="s">
        <v>3</v>
      </c>
      <c r="DG116" t="s">
        <v>3</v>
      </c>
      <c r="DH116" t="s">
        <v>3</v>
      </c>
      <c r="DI116" t="s">
        <v>3</v>
      </c>
      <c r="DJ116" t="s">
        <v>3</v>
      </c>
      <c r="DK116" t="s">
        <v>3</v>
      </c>
      <c r="DL116" t="s">
        <v>3</v>
      </c>
      <c r="DM116" t="s">
        <v>3</v>
      </c>
      <c r="DN116">
        <v>0</v>
      </c>
      <c r="DO116">
        <v>0</v>
      </c>
      <c r="DP116">
        <v>1</v>
      </c>
      <c r="DQ116">
        <v>1</v>
      </c>
      <c r="DU116">
        <v>1013</v>
      </c>
      <c r="DV116" t="s">
        <v>30</v>
      </c>
      <c r="DW116" t="s">
        <v>30</v>
      </c>
      <c r="DX116">
        <v>1</v>
      </c>
      <c r="EE116">
        <v>39174594</v>
      </c>
      <c r="EF116">
        <v>6</v>
      </c>
      <c r="EG116" t="s">
        <v>19</v>
      </c>
      <c r="EH116">
        <v>0</v>
      </c>
      <c r="EI116" t="s">
        <v>3</v>
      </c>
      <c r="EJ116">
        <v>1</v>
      </c>
      <c r="EK116">
        <v>65003</v>
      </c>
      <c r="EL116" t="s">
        <v>320</v>
      </c>
      <c r="EM116" t="s">
        <v>33</v>
      </c>
      <c r="EO116" t="s">
        <v>3</v>
      </c>
      <c r="EQ116">
        <v>0</v>
      </c>
      <c r="ER116">
        <v>935.72</v>
      </c>
      <c r="ES116">
        <v>0</v>
      </c>
      <c r="ET116">
        <v>70.02</v>
      </c>
      <c r="EU116">
        <v>30.24</v>
      </c>
      <c r="EV116">
        <v>865.7</v>
      </c>
      <c r="EW116">
        <v>110</v>
      </c>
      <c r="EX116">
        <v>2.2400000000000002</v>
      </c>
      <c r="EY116">
        <v>0</v>
      </c>
      <c r="FQ116">
        <v>0</v>
      </c>
      <c r="FR116">
        <f t="shared" ref="FR116:FR125" si="144">ROUND(IF(AND(BH116=3,BI116=3),P116,0),2)</f>
        <v>0</v>
      </c>
      <c r="FS116">
        <v>0</v>
      </c>
      <c r="FX116">
        <v>74</v>
      </c>
      <c r="FY116">
        <v>50</v>
      </c>
      <c r="GA116" t="s">
        <v>3</v>
      </c>
      <c r="GD116">
        <v>0</v>
      </c>
      <c r="GF116">
        <v>-741186539</v>
      </c>
      <c r="GG116">
        <v>1</v>
      </c>
      <c r="GH116">
        <v>1</v>
      </c>
      <c r="GI116">
        <v>4</v>
      </c>
      <c r="GJ116">
        <v>0</v>
      </c>
      <c r="GK116">
        <f>ROUND(R116*(R12)/100,2)</f>
        <v>0</v>
      </c>
      <c r="GL116">
        <f t="shared" ref="GL116:GL125" si="145">ROUND(IF(AND(BH116=3,BI116=3,FS116&lt;&gt;0),P116,0),2)</f>
        <v>0</v>
      </c>
      <c r="GM116">
        <f t="shared" ref="GM116:GM125" si="146">ROUND(O116+X116+Y116+GK116,2)+GX116</f>
        <v>2672.97</v>
      </c>
      <c r="GN116">
        <f t="shared" ref="GN116:GN125" si="147">IF(OR(BI116=0,BI116=1),ROUND(O116+X116+Y116+GK116,2),0)</f>
        <v>2672.97</v>
      </c>
      <c r="GO116">
        <f t="shared" ref="GO116:GO125" si="148">IF(BI116=2,ROUND(O116+X116+Y116+GK116,2),0)</f>
        <v>0</v>
      </c>
      <c r="GP116">
        <f t="shared" ref="GP116:GP125" si="149">IF(BI116=4,ROUND(O116+X116+Y116+GK116,2)+GX116,0)</f>
        <v>0</v>
      </c>
      <c r="GR116">
        <v>0</v>
      </c>
      <c r="GS116">
        <v>0</v>
      </c>
      <c r="GT116">
        <v>0</v>
      </c>
      <c r="GU116" t="s">
        <v>3</v>
      </c>
      <c r="GV116">
        <f t="shared" ref="GV116:GV125" si="150">ROUND(GT116,2)</f>
        <v>0</v>
      </c>
      <c r="GW116">
        <v>1</v>
      </c>
      <c r="GX116">
        <f t="shared" ref="GX116:GX125" si="151">ROUND(GV116*GW116*I116,2)</f>
        <v>0</v>
      </c>
      <c r="HA116">
        <v>0</v>
      </c>
      <c r="HB116">
        <v>0</v>
      </c>
      <c r="IK116">
        <v>0</v>
      </c>
    </row>
    <row r="117" spans="1:245" x14ac:dyDescent="0.2">
      <c r="A117">
        <v>17</v>
      </c>
      <c r="B117">
        <v>1</v>
      </c>
      <c r="C117">
        <f>ROW(SmtRes!A157)</f>
        <v>157</v>
      </c>
      <c r="D117">
        <f>ROW(EtalonRes!A156)</f>
        <v>156</v>
      </c>
      <c r="E117" t="s">
        <v>321</v>
      </c>
      <c r="F117" t="s">
        <v>322</v>
      </c>
      <c r="G117" t="s">
        <v>323</v>
      </c>
      <c r="H117" t="s">
        <v>324</v>
      </c>
      <c r="I117">
        <v>0.46079999999999999</v>
      </c>
      <c r="J117">
        <v>0</v>
      </c>
      <c r="O117">
        <f t="shared" si="113"/>
        <v>5844.34</v>
      </c>
      <c r="P117">
        <f t="shared" si="114"/>
        <v>3494.26</v>
      </c>
      <c r="Q117">
        <f t="shared" si="115"/>
        <v>579.48</v>
      </c>
      <c r="R117">
        <f t="shared" si="116"/>
        <v>116.6</v>
      </c>
      <c r="S117">
        <f t="shared" si="117"/>
        <v>1770.6</v>
      </c>
      <c r="T117">
        <f t="shared" si="118"/>
        <v>0</v>
      </c>
      <c r="U117">
        <f t="shared" si="119"/>
        <v>30.228479999999998</v>
      </c>
      <c r="V117">
        <f t="shared" si="120"/>
        <v>1.4423039999999998</v>
      </c>
      <c r="W117">
        <f t="shared" si="121"/>
        <v>0</v>
      </c>
      <c r="X117">
        <f t="shared" si="122"/>
        <v>2170.2800000000002</v>
      </c>
      <c r="Y117">
        <f t="shared" si="123"/>
        <v>1339.91</v>
      </c>
      <c r="AA117">
        <v>39099382</v>
      </c>
      <c r="AB117">
        <f t="shared" si="124"/>
        <v>1942.27</v>
      </c>
      <c r="AC117">
        <f t="shared" si="125"/>
        <v>1161.26</v>
      </c>
      <c r="AD117">
        <f t="shared" si="126"/>
        <v>192.58</v>
      </c>
      <c r="AE117">
        <f t="shared" si="127"/>
        <v>38.75</v>
      </c>
      <c r="AF117">
        <f t="shared" si="128"/>
        <v>588.42999999999995</v>
      </c>
      <c r="AG117">
        <f t="shared" si="129"/>
        <v>0</v>
      </c>
      <c r="AH117">
        <f t="shared" si="130"/>
        <v>65.599999999999994</v>
      </c>
      <c r="AI117">
        <f t="shared" si="131"/>
        <v>3.13</v>
      </c>
      <c r="AJ117">
        <f t="shared" si="132"/>
        <v>0</v>
      </c>
      <c r="AK117">
        <v>1942.27</v>
      </c>
      <c r="AL117">
        <v>1161.26</v>
      </c>
      <c r="AM117">
        <v>192.58</v>
      </c>
      <c r="AN117">
        <v>38.75</v>
      </c>
      <c r="AO117">
        <v>588.42999999999995</v>
      </c>
      <c r="AP117">
        <v>0</v>
      </c>
      <c r="AQ117">
        <v>65.599999999999994</v>
      </c>
      <c r="AR117">
        <v>3.13</v>
      </c>
      <c r="AS117">
        <v>0</v>
      </c>
      <c r="AT117">
        <v>115</v>
      </c>
      <c r="AU117">
        <v>71</v>
      </c>
      <c r="AV117">
        <v>1</v>
      </c>
      <c r="AW117">
        <v>1</v>
      </c>
      <c r="AZ117">
        <v>6.53</v>
      </c>
      <c r="BA117">
        <v>6.53</v>
      </c>
      <c r="BB117">
        <v>6.53</v>
      </c>
      <c r="BC117">
        <v>6.53</v>
      </c>
      <c r="BD117" t="s">
        <v>3</v>
      </c>
      <c r="BE117" t="s">
        <v>3</v>
      </c>
      <c r="BF117" t="s">
        <v>3</v>
      </c>
      <c r="BG117" t="s">
        <v>3</v>
      </c>
      <c r="BH117">
        <v>0</v>
      </c>
      <c r="BI117">
        <v>1</v>
      </c>
      <c r="BJ117" t="s">
        <v>325</v>
      </c>
      <c r="BM117">
        <v>18001</v>
      </c>
      <c r="BN117">
        <v>0</v>
      </c>
      <c r="BO117" t="s">
        <v>3</v>
      </c>
      <c r="BP117">
        <v>0</v>
      </c>
      <c r="BQ117">
        <v>2</v>
      </c>
      <c r="BR117">
        <v>0</v>
      </c>
      <c r="BS117">
        <v>6.53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3</v>
      </c>
      <c r="BZ117">
        <v>128</v>
      </c>
      <c r="CA117">
        <v>83</v>
      </c>
      <c r="CF117">
        <v>0</v>
      </c>
      <c r="CG117">
        <v>0</v>
      </c>
      <c r="CM117">
        <v>0</v>
      </c>
      <c r="CN117" t="s">
        <v>3</v>
      </c>
      <c r="CO117">
        <v>0</v>
      </c>
      <c r="CP117">
        <f t="shared" si="133"/>
        <v>5844.34</v>
      </c>
      <c r="CQ117">
        <f t="shared" si="134"/>
        <v>7583.0277999999998</v>
      </c>
      <c r="CR117">
        <f t="shared" si="135"/>
        <v>1257.5474000000002</v>
      </c>
      <c r="CS117">
        <f t="shared" si="136"/>
        <v>253.03750000000002</v>
      </c>
      <c r="CT117">
        <f t="shared" si="137"/>
        <v>3842.4478999999997</v>
      </c>
      <c r="CU117">
        <f t="shared" si="138"/>
        <v>0</v>
      </c>
      <c r="CV117">
        <f t="shared" si="139"/>
        <v>65.599999999999994</v>
      </c>
      <c r="CW117">
        <f t="shared" si="140"/>
        <v>3.13</v>
      </c>
      <c r="CX117">
        <f t="shared" si="141"/>
        <v>0</v>
      </c>
      <c r="CY117">
        <f t="shared" si="142"/>
        <v>2170.2799999999997</v>
      </c>
      <c r="CZ117">
        <f t="shared" si="143"/>
        <v>1339.9119999999998</v>
      </c>
      <c r="DC117" t="s">
        <v>3</v>
      </c>
      <c r="DD117" t="s">
        <v>3</v>
      </c>
      <c r="DE117" t="s">
        <v>3</v>
      </c>
      <c r="DF117" t="s">
        <v>3</v>
      </c>
      <c r="DG117" t="s">
        <v>3</v>
      </c>
      <c r="DH117" t="s">
        <v>3</v>
      </c>
      <c r="DI117" t="s">
        <v>3</v>
      </c>
      <c r="DJ117" t="s">
        <v>3</v>
      </c>
      <c r="DK117" t="s">
        <v>3</v>
      </c>
      <c r="DL117" t="s">
        <v>3</v>
      </c>
      <c r="DM117" t="s">
        <v>3</v>
      </c>
      <c r="DN117">
        <v>0</v>
      </c>
      <c r="DO117">
        <v>0</v>
      </c>
      <c r="DP117">
        <v>1</v>
      </c>
      <c r="DQ117">
        <v>1</v>
      </c>
      <c r="DU117">
        <v>1013</v>
      </c>
      <c r="DV117" t="s">
        <v>324</v>
      </c>
      <c r="DW117" t="s">
        <v>324</v>
      </c>
      <c r="DX117">
        <v>1</v>
      </c>
      <c r="EE117">
        <v>39174532</v>
      </c>
      <c r="EF117">
        <v>2</v>
      </c>
      <c r="EG117" t="s">
        <v>43</v>
      </c>
      <c r="EH117">
        <v>0</v>
      </c>
      <c r="EI117" t="s">
        <v>3</v>
      </c>
      <c r="EJ117">
        <v>1</v>
      </c>
      <c r="EK117">
        <v>18001</v>
      </c>
      <c r="EL117" t="s">
        <v>326</v>
      </c>
      <c r="EM117" t="s">
        <v>327</v>
      </c>
      <c r="EO117" t="s">
        <v>3</v>
      </c>
      <c r="EQ117">
        <v>0</v>
      </c>
      <c r="ER117">
        <v>1942.27</v>
      </c>
      <c r="ES117">
        <v>1161.26</v>
      </c>
      <c r="ET117">
        <v>192.58</v>
      </c>
      <c r="EU117">
        <v>38.75</v>
      </c>
      <c r="EV117">
        <v>588.42999999999995</v>
      </c>
      <c r="EW117">
        <v>65.599999999999994</v>
      </c>
      <c r="EX117">
        <v>3.13</v>
      </c>
      <c r="EY117">
        <v>0</v>
      </c>
      <c r="FQ117">
        <v>0</v>
      </c>
      <c r="FR117">
        <f t="shared" si="144"/>
        <v>0</v>
      </c>
      <c r="FS117">
        <v>0</v>
      </c>
      <c r="FT117" t="s">
        <v>46</v>
      </c>
      <c r="FU117" t="s">
        <v>47</v>
      </c>
      <c r="FX117">
        <v>115.2</v>
      </c>
      <c r="FY117">
        <v>70.55</v>
      </c>
      <c r="GA117" t="s">
        <v>3</v>
      </c>
      <c r="GD117">
        <v>0</v>
      </c>
      <c r="GF117">
        <v>-243626587</v>
      </c>
      <c r="GG117">
        <v>1</v>
      </c>
      <c r="GH117">
        <v>1</v>
      </c>
      <c r="GI117">
        <v>4</v>
      </c>
      <c r="GJ117">
        <v>0</v>
      </c>
      <c r="GK117">
        <f>ROUND(R117*(R12)/100,2)</f>
        <v>0</v>
      </c>
      <c r="GL117">
        <f t="shared" si="145"/>
        <v>0</v>
      </c>
      <c r="GM117">
        <f t="shared" si="146"/>
        <v>9354.5300000000007</v>
      </c>
      <c r="GN117">
        <f t="shared" si="147"/>
        <v>9354.5300000000007</v>
      </c>
      <c r="GO117">
        <f t="shared" si="148"/>
        <v>0</v>
      </c>
      <c r="GP117">
        <f t="shared" si="149"/>
        <v>0</v>
      </c>
      <c r="GR117">
        <v>0</v>
      </c>
      <c r="GS117">
        <v>0</v>
      </c>
      <c r="GT117">
        <v>0</v>
      </c>
      <c r="GU117" t="s">
        <v>3</v>
      </c>
      <c r="GV117">
        <f t="shared" si="150"/>
        <v>0</v>
      </c>
      <c r="GW117">
        <v>1</v>
      </c>
      <c r="GX117">
        <f t="shared" si="151"/>
        <v>0</v>
      </c>
      <c r="HA117">
        <v>0</v>
      </c>
      <c r="HB117">
        <v>0</v>
      </c>
      <c r="IK117">
        <v>0</v>
      </c>
    </row>
    <row r="118" spans="1:245" x14ac:dyDescent="0.2">
      <c r="A118">
        <v>18</v>
      </c>
      <c r="B118">
        <v>1</v>
      </c>
      <c r="C118">
        <v>156</v>
      </c>
      <c r="E118" t="s">
        <v>328</v>
      </c>
      <c r="F118" t="s">
        <v>329</v>
      </c>
      <c r="G118" t="s">
        <v>330</v>
      </c>
      <c r="H118" t="s">
        <v>37</v>
      </c>
      <c r="I118">
        <f>I117*J118</f>
        <v>20</v>
      </c>
      <c r="J118">
        <v>43.402777777777779</v>
      </c>
      <c r="O118">
        <f t="shared" si="113"/>
        <v>196381.91</v>
      </c>
      <c r="P118">
        <f t="shared" si="114"/>
        <v>196381.91</v>
      </c>
      <c r="Q118">
        <f t="shared" si="115"/>
        <v>0</v>
      </c>
      <c r="R118">
        <f t="shared" si="116"/>
        <v>0</v>
      </c>
      <c r="S118">
        <f t="shared" si="117"/>
        <v>0</v>
      </c>
      <c r="T118">
        <f t="shared" si="118"/>
        <v>0</v>
      </c>
      <c r="U118">
        <f t="shared" si="119"/>
        <v>0</v>
      </c>
      <c r="V118">
        <f t="shared" si="120"/>
        <v>0</v>
      </c>
      <c r="W118">
        <f t="shared" si="121"/>
        <v>0</v>
      </c>
      <c r="X118">
        <f t="shared" si="122"/>
        <v>0</v>
      </c>
      <c r="Y118">
        <f t="shared" si="123"/>
        <v>0</v>
      </c>
      <c r="AA118">
        <v>39099382</v>
      </c>
      <c r="AB118">
        <f t="shared" si="124"/>
        <v>1503.69</v>
      </c>
      <c r="AC118">
        <f t="shared" si="125"/>
        <v>1503.69</v>
      </c>
      <c r="AD118">
        <f t="shared" si="126"/>
        <v>0</v>
      </c>
      <c r="AE118">
        <f t="shared" si="127"/>
        <v>0</v>
      </c>
      <c r="AF118">
        <f t="shared" si="128"/>
        <v>0</v>
      </c>
      <c r="AG118">
        <f t="shared" si="129"/>
        <v>0</v>
      </c>
      <c r="AH118">
        <f t="shared" si="130"/>
        <v>0</v>
      </c>
      <c r="AI118">
        <f t="shared" si="131"/>
        <v>0</v>
      </c>
      <c r="AJ118">
        <f t="shared" si="132"/>
        <v>0</v>
      </c>
      <c r="AK118">
        <v>1503.69</v>
      </c>
      <c r="AL118">
        <v>1503.69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115</v>
      </c>
      <c r="AU118">
        <v>71</v>
      </c>
      <c r="AV118">
        <v>1</v>
      </c>
      <c r="AW118">
        <v>1</v>
      </c>
      <c r="AZ118">
        <v>6.53</v>
      </c>
      <c r="BA118">
        <v>1</v>
      </c>
      <c r="BB118">
        <v>1</v>
      </c>
      <c r="BC118">
        <v>6.53</v>
      </c>
      <c r="BD118" t="s">
        <v>3</v>
      </c>
      <c r="BE118" t="s">
        <v>3</v>
      </c>
      <c r="BF118" t="s">
        <v>3</v>
      </c>
      <c r="BG118" t="s">
        <v>3</v>
      </c>
      <c r="BH118">
        <v>3</v>
      </c>
      <c r="BI118">
        <v>1</v>
      </c>
      <c r="BJ118" t="s">
        <v>331</v>
      </c>
      <c r="BM118">
        <v>18001</v>
      </c>
      <c r="BN118">
        <v>0</v>
      </c>
      <c r="BO118" t="s">
        <v>3</v>
      </c>
      <c r="BP118">
        <v>0</v>
      </c>
      <c r="BQ118">
        <v>2</v>
      </c>
      <c r="BR118">
        <v>0</v>
      </c>
      <c r="BS118">
        <v>1</v>
      </c>
      <c r="BT118">
        <v>1</v>
      </c>
      <c r="BU118">
        <v>1</v>
      </c>
      <c r="BV118">
        <v>1</v>
      </c>
      <c r="BW118">
        <v>1</v>
      </c>
      <c r="BX118">
        <v>1</v>
      </c>
      <c r="BY118" t="s">
        <v>3</v>
      </c>
      <c r="BZ118">
        <v>128</v>
      </c>
      <c r="CA118">
        <v>83</v>
      </c>
      <c r="CF118">
        <v>0</v>
      </c>
      <c r="CG118">
        <v>0</v>
      </c>
      <c r="CM118">
        <v>0</v>
      </c>
      <c r="CN118" t="s">
        <v>3</v>
      </c>
      <c r="CO118">
        <v>0</v>
      </c>
      <c r="CP118">
        <f t="shared" si="133"/>
        <v>196381.91</v>
      </c>
      <c r="CQ118">
        <f t="shared" si="134"/>
        <v>9819.0956999999999</v>
      </c>
      <c r="CR118">
        <f t="shared" si="135"/>
        <v>0</v>
      </c>
      <c r="CS118">
        <f t="shared" si="136"/>
        <v>0</v>
      </c>
      <c r="CT118">
        <f t="shared" si="137"/>
        <v>0</v>
      </c>
      <c r="CU118">
        <f t="shared" si="138"/>
        <v>0</v>
      </c>
      <c r="CV118">
        <f t="shared" si="139"/>
        <v>0</v>
      </c>
      <c r="CW118">
        <f t="shared" si="140"/>
        <v>0</v>
      </c>
      <c r="CX118">
        <f t="shared" si="141"/>
        <v>0</v>
      </c>
      <c r="CY118">
        <f t="shared" si="142"/>
        <v>0</v>
      </c>
      <c r="CZ118">
        <f t="shared" si="143"/>
        <v>0</v>
      </c>
      <c r="DC118" t="s">
        <v>3</v>
      </c>
      <c r="DD118" t="s">
        <v>3</v>
      </c>
      <c r="DE118" t="s">
        <v>3</v>
      </c>
      <c r="DF118" t="s">
        <v>3</v>
      </c>
      <c r="DG118" t="s">
        <v>3</v>
      </c>
      <c r="DH118" t="s">
        <v>3</v>
      </c>
      <c r="DI118" t="s">
        <v>3</v>
      </c>
      <c r="DJ118" t="s">
        <v>3</v>
      </c>
      <c r="DK118" t="s">
        <v>3</v>
      </c>
      <c r="DL118" t="s">
        <v>3</v>
      </c>
      <c r="DM118" t="s">
        <v>3</v>
      </c>
      <c r="DN118">
        <v>0</v>
      </c>
      <c r="DO118">
        <v>0</v>
      </c>
      <c r="DP118">
        <v>1</v>
      </c>
      <c r="DQ118">
        <v>1</v>
      </c>
      <c r="DU118">
        <v>1010</v>
      </c>
      <c r="DV118" t="s">
        <v>37</v>
      </c>
      <c r="DW118" t="s">
        <v>37</v>
      </c>
      <c r="DX118">
        <v>1</v>
      </c>
      <c r="EE118">
        <v>39174532</v>
      </c>
      <c r="EF118">
        <v>2</v>
      </c>
      <c r="EG118" t="s">
        <v>43</v>
      </c>
      <c r="EH118">
        <v>0</v>
      </c>
      <c r="EI118" t="s">
        <v>3</v>
      </c>
      <c r="EJ118">
        <v>1</v>
      </c>
      <c r="EK118">
        <v>18001</v>
      </c>
      <c r="EL118" t="s">
        <v>326</v>
      </c>
      <c r="EM118" t="s">
        <v>327</v>
      </c>
      <c r="EO118" t="s">
        <v>3</v>
      </c>
      <c r="EQ118">
        <v>0</v>
      </c>
      <c r="ER118">
        <v>1503.69</v>
      </c>
      <c r="ES118">
        <v>1503.69</v>
      </c>
      <c r="ET118">
        <v>0</v>
      </c>
      <c r="EU118">
        <v>0</v>
      </c>
      <c r="EV118">
        <v>0</v>
      </c>
      <c r="EW118">
        <v>0</v>
      </c>
      <c r="EX118">
        <v>0</v>
      </c>
      <c r="FQ118">
        <v>0</v>
      </c>
      <c r="FR118">
        <f t="shared" si="144"/>
        <v>0</v>
      </c>
      <c r="FS118">
        <v>0</v>
      </c>
      <c r="FT118" t="s">
        <v>46</v>
      </c>
      <c r="FU118" t="s">
        <v>47</v>
      </c>
      <c r="FX118">
        <v>115.2</v>
      </c>
      <c r="FY118">
        <v>70.55</v>
      </c>
      <c r="GA118" t="s">
        <v>3</v>
      </c>
      <c r="GD118">
        <v>0</v>
      </c>
      <c r="GF118">
        <v>-2076158712</v>
      </c>
      <c r="GG118">
        <v>1</v>
      </c>
      <c r="GH118">
        <v>1</v>
      </c>
      <c r="GI118">
        <v>4</v>
      </c>
      <c r="GJ118">
        <v>0</v>
      </c>
      <c r="GK118">
        <f>ROUND(R118*(R12)/100,2)</f>
        <v>0</v>
      </c>
      <c r="GL118">
        <f t="shared" si="145"/>
        <v>0</v>
      </c>
      <c r="GM118">
        <f t="shared" si="146"/>
        <v>196381.91</v>
      </c>
      <c r="GN118">
        <f t="shared" si="147"/>
        <v>196381.91</v>
      </c>
      <c r="GO118">
        <f t="shared" si="148"/>
        <v>0</v>
      </c>
      <c r="GP118">
        <f t="shared" si="149"/>
        <v>0</v>
      </c>
      <c r="GR118">
        <v>0</v>
      </c>
      <c r="GS118">
        <v>0</v>
      </c>
      <c r="GT118">
        <v>0</v>
      </c>
      <c r="GU118" t="s">
        <v>3</v>
      </c>
      <c r="GV118">
        <f t="shared" si="150"/>
        <v>0</v>
      </c>
      <c r="GW118">
        <v>1</v>
      </c>
      <c r="GX118">
        <f t="shared" si="151"/>
        <v>0</v>
      </c>
      <c r="HA118">
        <v>0</v>
      </c>
      <c r="HB118">
        <v>0</v>
      </c>
      <c r="IK118">
        <v>0</v>
      </c>
    </row>
    <row r="119" spans="1:245" x14ac:dyDescent="0.2">
      <c r="A119">
        <v>18</v>
      </c>
      <c r="B119">
        <v>1</v>
      </c>
      <c r="C119">
        <v>157</v>
      </c>
      <c r="E119" t="s">
        <v>332</v>
      </c>
      <c r="F119" t="s">
        <v>333</v>
      </c>
      <c r="G119" t="s">
        <v>334</v>
      </c>
      <c r="H119" t="s">
        <v>335</v>
      </c>
      <c r="I119">
        <f>I117*J119</f>
        <v>46.08</v>
      </c>
      <c r="J119">
        <v>100</v>
      </c>
      <c r="O119">
        <f t="shared" si="113"/>
        <v>0</v>
      </c>
      <c r="P119">
        <f t="shared" si="114"/>
        <v>0</v>
      </c>
      <c r="Q119">
        <f t="shared" si="115"/>
        <v>0</v>
      </c>
      <c r="R119">
        <f t="shared" si="116"/>
        <v>0</v>
      </c>
      <c r="S119">
        <f t="shared" si="117"/>
        <v>0</v>
      </c>
      <c r="T119">
        <f t="shared" si="118"/>
        <v>0</v>
      </c>
      <c r="U119">
        <f t="shared" si="119"/>
        <v>0</v>
      </c>
      <c r="V119">
        <f t="shared" si="120"/>
        <v>0</v>
      </c>
      <c r="W119">
        <f t="shared" si="121"/>
        <v>0</v>
      </c>
      <c r="X119">
        <f t="shared" si="122"/>
        <v>0</v>
      </c>
      <c r="Y119">
        <f t="shared" si="123"/>
        <v>0</v>
      </c>
      <c r="AA119">
        <v>39099382</v>
      </c>
      <c r="AB119">
        <f t="shared" si="124"/>
        <v>0</v>
      </c>
      <c r="AC119">
        <f t="shared" si="125"/>
        <v>0</v>
      </c>
      <c r="AD119">
        <f t="shared" si="126"/>
        <v>0</v>
      </c>
      <c r="AE119">
        <f t="shared" si="127"/>
        <v>0</v>
      </c>
      <c r="AF119">
        <f t="shared" si="128"/>
        <v>0</v>
      </c>
      <c r="AG119">
        <f t="shared" si="129"/>
        <v>0</v>
      </c>
      <c r="AH119">
        <f t="shared" si="130"/>
        <v>0</v>
      </c>
      <c r="AI119">
        <f t="shared" si="131"/>
        <v>0</v>
      </c>
      <c r="AJ119">
        <f t="shared" si="132"/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115</v>
      </c>
      <c r="AU119">
        <v>71</v>
      </c>
      <c r="AV119">
        <v>1</v>
      </c>
      <c r="AW119">
        <v>1</v>
      </c>
      <c r="AZ119">
        <v>6.53</v>
      </c>
      <c r="BA119">
        <v>1</v>
      </c>
      <c r="BB119">
        <v>1</v>
      </c>
      <c r="BC119">
        <v>6.53</v>
      </c>
      <c r="BD119" t="s">
        <v>3</v>
      </c>
      <c r="BE119" t="s">
        <v>3</v>
      </c>
      <c r="BF119" t="s">
        <v>3</v>
      </c>
      <c r="BG119" t="s">
        <v>3</v>
      </c>
      <c r="BH119">
        <v>3</v>
      </c>
      <c r="BI119">
        <v>1</v>
      </c>
      <c r="BJ119" t="s">
        <v>3</v>
      </c>
      <c r="BM119">
        <v>18001</v>
      </c>
      <c r="BN119">
        <v>0</v>
      </c>
      <c r="BO119" t="s">
        <v>3</v>
      </c>
      <c r="BP119">
        <v>0</v>
      </c>
      <c r="BQ119">
        <v>2</v>
      </c>
      <c r="BR119">
        <v>0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3</v>
      </c>
      <c r="BZ119">
        <v>128</v>
      </c>
      <c r="CA119">
        <v>83</v>
      </c>
      <c r="CF119">
        <v>0</v>
      </c>
      <c r="CG119">
        <v>0</v>
      </c>
      <c r="CM119">
        <v>0</v>
      </c>
      <c r="CN119" t="s">
        <v>3</v>
      </c>
      <c r="CO119">
        <v>0</v>
      </c>
      <c r="CP119">
        <f t="shared" si="133"/>
        <v>0</v>
      </c>
      <c r="CQ119">
        <f t="shared" si="134"/>
        <v>0</v>
      </c>
      <c r="CR119">
        <f t="shared" si="135"/>
        <v>0</v>
      </c>
      <c r="CS119">
        <f t="shared" si="136"/>
        <v>0</v>
      </c>
      <c r="CT119">
        <f t="shared" si="137"/>
        <v>0</v>
      </c>
      <c r="CU119">
        <f t="shared" si="138"/>
        <v>0</v>
      </c>
      <c r="CV119">
        <f t="shared" si="139"/>
        <v>0</v>
      </c>
      <c r="CW119">
        <f t="shared" si="140"/>
        <v>0</v>
      </c>
      <c r="CX119">
        <f t="shared" si="141"/>
        <v>0</v>
      </c>
      <c r="CY119">
        <f t="shared" si="142"/>
        <v>0</v>
      </c>
      <c r="CZ119">
        <f t="shared" si="143"/>
        <v>0</v>
      </c>
      <c r="DC119" t="s">
        <v>3</v>
      </c>
      <c r="DD119" t="s">
        <v>3</v>
      </c>
      <c r="DE119" t="s">
        <v>3</v>
      </c>
      <c r="DF119" t="s">
        <v>3</v>
      </c>
      <c r="DG119" t="s">
        <v>3</v>
      </c>
      <c r="DH119" t="s">
        <v>3</v>
      </c>
      <c r="DI119" t="s">
        <v>3</v>
      </c>
      <c r="DJ119" t="s">
        <v>3</v>
      </c>
      <c r="DK119" t="s">
        <v>3</v>
      </c>
      <c r="DL119" t="s">
        <v>3</v>
      </c>
      <c r="DM119" t="s">
        <v>3</v>
      </c>
      <c r="DN119">
        <v>0</v>
      </c>
      <c r="DO119">
        <v>0</v>
      </c>
      <c r="DP119">
        <v>1</v>
      </c>
      <c r="DQ119">
        <v>1</v>
      </c>
      <c r="DU119">
        <v>1013</v>
      </c>
      <c r="DV119" t="s">
        <v>335</v>
      </c>
      <c r="DW119" t="s">
        <v>335</v>
      </c>
      <c r="DX119">
        <v>1</v>
      </c>
      <c r="EE119">
        <v>39174532</v>
      </c>
      <c r="EF119">
        <v>2</v>
      </c>
      <c r="EG119" t="s">
        <v>43</v>
      </c>
      <c r="EH119">
        <v>0</v>
      </c>
      <c r="EI119" t="s">
        <v>3</v>
      </c>
      <c r="EJ119">
        <v>1</v>
      </c>
      <c r="EK119">
        <v>18001</v>
      </c>
      <c r="EL119" t="s">
        <v>326</v>
      </c>
      <c r="EM119" t="s">
        <v>327</v>
      </c>
      <c r="EO119" t="s">
        <v>3</v>
      </c>
      <c r="EQ119">
        <v>0</v>
      </c>
      <c r="ER119">
        <v>0</v>
      </c>
      <c r="ES119">
        <v>0</v>
      </c>
      <c r="ET119">
        <v>0</v>
      </c>
      <c r="EU119">
        <v>0</v>
      </c>
      <c r="EV119">
        <v>0</v>
      </c>
      <c r="EW119">
        <v>0</v>
      </c>
      <c r="EX119">
        <v>0</v>
      </c>
      <c r="FQ119">
        <v>0</v>
      </c>
      <c r="FR119">
        <f t="shared" si="144"/>
        <v>0</v>
      </c>
      <c r="FS119">
        <v>0</v>
      </c>
      <c r="FT119" t="s">
        <v>46</v>
      </c>
      <c r="FU119" t="s">
        <v>47</v>
      </c>
      <c r="FX119">
        <v>115.2</v>
      </c>
      <c r="FY119">
        <v>70.55</v>
      </c>
      <c r="GA119" t="s">
        <v>3</v>
      </c>
      <c r="GD119">
        <v>0</v>
      </c>
      <c r="GF119">
        <v>704408924</v>
      </c>
      <c r="GG119">
        <v>1</v>
      </c>
      <c r="GH119">
        <v>1</v>
      </c>
      <c r="GI119">
        <v>4</v>
      </c>
      <c r="GJ119">
        <v>0</v>
      </c>
      <c r="GK119">
        <f>ROUND(R119*(R12)/100,2)</f>
        <v>0</v>
      </c>
      <c r="GL119">
        <f t="shared" si="145"/>
        <v>0</v>
      </c>
      <c r="GM119">
        <f t="shared" si="146"/>
        <v>0</v>
      </c>
      <c r="GN119">
        <f t="shared" si="147"/>
        <v>0</v>
      </c>
      <c r="GO119">
        <f t="shared" si="148"/>
        <v>0</v>
      </c>
      <c r="GP119">
        <f t="shared" si="149"/>
        <v>0</v>
      </c>
      <c r="GR119">
        <v>0</v>
      </c>
      <c r="GS119">
        <v>3</v>
      </c>
      <c r="GT119">
        <v>0</v>
      </c>
      <c r="GU119" t="s">
        <v>3</v>
      </c>
      <c r="GV119">
        <f t="shared" si="150"/>
        <v>0</v>
      </c>
      <c r="GW119">
        <v>1</v>
      </c>
      <c r="GX119">
        <f t="shared" si="151"/>
        <v>0</v>
      </c>
      <c r="HA119">
        <v>0</v>
      </c>
      <c r="HB119">
        <v>0</v>
      </c>
      <c r="IK119">
        <v>0</v>
      </c>
    </row>
    <row r="120" spans="1:245" x14ac:dyDescent="0.2">
      <c r="A120">
        <v>17</v>
      </c>
      <c r="B120">
        <v>1</v>
      </c>
      <c r="C120">
        <f>ROW(SmtRes!A165)</f>
        <v>165</v>
      </c>
      <c r="D120">
        <f>ROW(EtalonRes!A163)</f>
        <v>163</v>
      </c>
      <c r="E120" t="s">
        <v>336</v>
      </c>
      <c r="F120" t="s">
        <v>337</v>
      </c>
      <c r="G120" t="s">
        <v>338</v>
      </c>
      <c r="H120" t="s">
        <v>25</v>
      </c>
      <c r="I120">
        <v>0.06</v>
      </c>
      <c r="J120">
        <v>0</v>
      </c>
      <c r="O120">
        <f t="shared" si="113"/>
        <v>282.26</v>
      </c>
      <c r="P120">
        <f t="shared" si="114"/>
        <v>34.700000000000003</v>
      </c>
      <c r="Q120">
        <f t="shared" si="115"/>
        <v>0.89</v>
      </c>
      <c r="R120">
        <f t="shared" si="116"/>
        <v>0.19</v>
      </c>
      <c r="S120">
        <f t="shared" si="117"/>
        <v>246.67</v>
      </c>
      <c r="T120">
        <f t="shared" si="118"/>
        <v>0</v>
      </c>
      <c r="U120">
        <f t="shared" si="119"/>
        <v>4.2636000000000003</v>
      </c>
      <c r="V120">
        <f t="shared" si="120"/>
        <v>2.3999999999999998E-3</v>
      </c>
      <c r="W120">
        <f t="shared" si="121"/>
        <v>0</v>
      </c>
      <c r="X120">
        <f t="shared" si="122"/>
        <v>234.52</v>
      </c>
      <c r="Y120">
        <f t="shared" si="123"/>
        <v>116.02</v>
      </c>
      <c r="AA120">
        <v>39099382</v>
      </c>
      <c r="AB120">
        <f t="shared" si="124"/>
        <v>720.44</v>
      </c>
      <c r="AC120">
        <f t="shared" si="125"/>
        <v>88.57</v>
      </c>
      <c r="AD120">
        <f t="shared" si="126"/>
        <v>2.2799999999999998</v>
      </c>
      <c r="AE120">
        <f t="shared" si="127"/>
        <v>0.49</v>
      </c>
      <c r="AF120">
        <f t="shared" si="128"/>
        <v>629.59</v>
      </c>
      <c r="AG120">
        <f t="shared" si="129"/>
        <v>0</v>
      </c>
      <c r="AH120">
        <f t="shared" si="130"/>
        <v>71.06</v>
      </c>
      <c r="AI120">
        <f t="shared" si="131"/>
        <v>0.04</v>
      </c>
      <c r="AJ120">
        <f t="shared" si="132"/>
        <v>0</v>
      </c>
      <c r="AK120">
        <v>720.44</v>
      </c>
      <c r="AL120">
        <v>88.57</v>
      </c>
      <c r="AM120">
        <v>2.2799999999999998</v>
      </c>
      <c r="AN120">
        <v>0.49</v>
      </c>
      <c r="AO120">
        <v>629.59</v>
      </c>
      <c r="AP120">
        <v>0</v>
      </c>
      <c r="AQ120">
        <v>71.06</v>
      </c>
      <c r="AR120">
        <v>0.04</v>
      </c>
      <c r="AS120">
        <v>0</v>
      </c>
      <c r="AT120">
        <v>95</v>
      </c>
      <c r="AU120">
        <v>47</v>
      </c>
      <c r="AV120">
        <v>1</v>
      </c>
      <c r="AW120">
        <v>1</v>
      </c>
      <c r="AZ120">
        <v>6.53</v>
      </c>
      <c r="BA120">
        <v>6.53</v>
      </c>
      <c r="BB120">
        <v>6.53</v>
      </c>
      <c r="BC120">
        <v>6.53</v>
      </c>
      <c r="BD120" t="s">
        <v>3</v>
      </c>
      <c r="BE120" t="s">
        <v>3</v>
      </c>
      <c r="BF120" t="s">
        <v>3</v>
      </c>
      <c r="BG120" t="s">
        <v>3</v>
      </c>
      <c r="BH120">
        <v>0</v>
      </c>
      <c r="BI120">
        <v>1</v>
      </c>
      <c r="BJ120" t="s">
        <v>339</v>
      </c>
      <c r="BM120">
        <v>15001</v>
      </c>
      <c r="BN120">
        <v>0</v>
      </c>
      <c r="BO120" t="s">
        <v>3</v>
      </c>
      <c r="BP120">
        <v>0</v>
      </c>
      <c r="BQ120">
        <v>2</v>
      </c>
      <c r="BR120">
        <v>0</v>
      </c>
      <c r="BS120">
        <v>6.53</v>
      </c>
      <c r="BT120">
        <v>1</v>
      </c>
      <c r="BU120">
        <v>1</v>
      </c>
      <c r="BV120">
        <v>1</v>
      </c>
      <c r="BW120">
        <v>1</v>
      </c>
      <c r="BX120">
        <v>1</v>
      </c>
      <c r="BY120" t="s">
        <v>3</v>
      </c>
      <c r="BZ120">
        <v>105</v>
      </c>
      <c r="CA120">
        <v>55</v>
      </c>
      <c r="CF120">
        <v>0</v>
      </c>
      <c r="CG120">
        <v>0</v>
      </c>
      <c r="CM120">
        <v>0</v>
      </c>
      <c r="CN120" t="s">
        <v>3</v>
      </c>
      <c r="CO120">
        <v>0</v>
      </c>
      <c r="CP120">
        <f t="shared" si="133"/>
        <v>282.26</v>
      </c>
      <c r="CQ120">
        <f t="shared" si="134"/>
        <v>578.36209999999994</v>
      </c>
      <c r="CR120">
        <f t="shared" si="135"/>
        <v>14.888399999999999</v>
      </c>
      <c r="CS120">
        <f t="shared" si="136"/>
        <v>3.1997</v>
      </c>
      <c r="CT120">
        <f t="shared" si="137"/>
        <v>4111.2227000000003</v>
      </c>
      <c r="CU120">
        <f t="shared" si="138"/>
        <v>0</v>
      </c>
      <c r="CV120">
        <f t="shared" si="139"/>
        <v>71.06</v>
      </c>
      <c r="CW120">
        <f t="shared" si="140"/>
        <v>0.04</v>
      </c>
      <c r="CX120">
        <f t="shared" si="141"/>
        <v>0</v>
      </c>
      <c r="CY120">
        <f t="shared" si="142"/>
        <v>234.51699999999997</v>
      </c>
      <c r="CZ120">
        <f t="shared" si="143"/>
        <v>116.02420000000001</v>
      </c>
      <c r="DC120" t="s">
        <v>3</v>
      </c>
      <c r="DD120" t="s">
        <v>3</v>
      </c>
      <c r="DE120" t="s">
        <v>3</v>
      </c>
      <c r="DF120" t="s">
        <v>3</v>
      </c>
      <c r="DG120" t="s">
        <v>3</v>
      </c>
      <c r="DH120" t="s">
        <v>3</v>
      </c>
      <c r="DI120" t="s">
        <v>3</v>
      </c>
      <c r="DJ120" t="s">
        <v>3</v>
      </c>
      <c r="DK120" t="s">
        <v>3</v>
      </c>
      <c r="DL120" t="s">
        <v>3</v>
      </c>
      <c r="DM120" t="s">
        <v>3</v>
      </c>
      <c r="DN120">
        <v>0</v>
      </c>
      <c r="DO120">
        <v>0</v>
      </c>
      <c r="DP120">
        <v>1</v>
      </c>
      <c r="DQ120">
        <v>1</v>
      </c>
      <c r="DU120">
        <v>1005</v>
      </c>
      <c r="DV120" t="s">
        <v>25</v>
      </c>
      <c r="DW120" t="s">
        <v>25</v>
      </c>
      <c r="DX120">
        <v>100</v>
      </c>
      <c r="EE120">
        <v>39174529</v>
      </c>
      <c r="EF120">
        <v>2</v>
      </c>
      <c r="EG120" t="s">
        <v>43</v>
      </c>
      <c r="EH120">
        <v>0</v>
      </c>
      <c r="EI120" t="s">
        <v>3</v>
      </c>
      <c r="EJ120">
        <v>1</v>
      </c>
      <c r="EK120">
        <v>15001</v>
      </c>
      <c r="EL120" t="s">
        <v>80</v>
      </c>
      <c r="EM120" t="s">
        <v>81</v>
      </c>
      <c r="EO120" t="s">
        <v>3</v>
      </c>
      <c r="EQ120">
        <v>0</v>
      </c>
      <c r="ER120">
        <v>720.44</v>
      </c>
      <c r="ES120">
        <v>88.57</v>
      </c>
      <c r="ET120">
        <v>2.2799999999999998</v>
      </c>
      <c r="EU120">
        <v>0.49</v>
      </c>
      <c r="EV120">
        <v>629.59</v>
      </c>
      <c r="EW120">
        <v>71.06</v>
      </c>
      <c r="EX120">
        <v>0.04</v>
      </c>
      <c r="EY120">
        <v>0</v>
      </c>
      <c r="FQ120">
        <v>0</v>
      </c>
      <c r="FR120">
        <f t="shared" si="144"/>
        <v>0</v>
      </c>
      <c r="FS120">
        <v>0</v>
      </c>
      <c r="FT120" t="s">
        <v>46</v>
      </c>
      <c r="FU120" t="s">
        <v>47</v>
      </c>
      <c r="FX120">
        <v>94.5</v>
      </c>
      <c r="FY120">
        <v>46.75</v>
      </c>
      <c r="GA120" t="s">
        <v>3</v>
      </c>
      <c r="GD120">
        <v>0</v>
      </c>
      <c r="GF120">
        <v>-1311473070</v>
      </c>
      <c r="GG120">
        <v>1</v>
      </c>
      <c r="GH120">
        <v>1</v>
      </c>
      <c r="GI120">
        <v>4</v>
      </c>
      <c r="GJ120">
        <v>0</v>
      </c>
      <c r="GK120">
        <f>ROUND(R120*(R12)/100,2)</f>
        <v>0</v>
      </c>
      <c r="GL120">
        <f t="shared" si="145"/>
        <v>0</v>
      </c>
      <c r="GM120">
        <f t="shared" si="146"/>
        <v>632.79999999999995</v>
      </c>
      <c r="GN120">
        <f t="shared" si="147"/>
        <v>632.79999999999995</v>
      </c>
      <c r="GO120">
        <f t="shared" si="148"/>
        <v>0</v>
      </c>
      <c r="GP120">
        <f t="shared" si="149"/>
        <v>0</v>
      </c>
      <c r="GR120">
        <v>0</v>
      </c>
      <c r="GS120">
        <v>0</v>
      </c>
      <c r="GT120">
        <v>0</v>
      </c>
      <c r="GU120" t="s">
        <v>3</v>
      </c>
      <c r="GV120">
        <f t="shared" si="150"/>
        <v>0</v>
      </c>
      <c r="GW120">
        <v>1</v>
      </c>
      <c r="GX120">
        <f t="shared" si="151"/>
        <v>0</v>
      </c>
      <c r="HA120">
        <v>0</v>
      </c>
      <c r="HB120">
        <v>0</v>
      </c>
      <c r="IK120">
        <v>0</v>
      </c>
    </row>
    <row r="121" spans="1:245" x14ac:dyDescent="0.2">
      <c r="A121">
        <v>18</v>
      </c>
      <c r="B121">
        <v>1</v>
      </c>
      <c r="C121">
        <v>163</v>
      </c>
      <c r="E121" t="s">
        <v>340</v>
      </c>
      <c r="F121" t="s">
        <v>341</v>
      </c>
      <c r="G121" t="s">
        <v>342</v>
      </c>
      <c r="H121" t="s">
        <v>189</v>
      </c>
      <c r="I121">
        <f>I120*J121</f>
        <v>1.4760000000000001E-3</v>
      </c>
      <c r="J121">
        <v>2.4600000000000004E-2</v>
      </c>
      <c r="O121">
        <f t="shared" si="113"/>
        <v>0</v>
      </c>
      <c r="P121">
        <f t="shared" si="114"/>
        <v>0</v>
      </c>
      <c r="Q121">
        <f t="shared" si="115"/>
        <v>0</v>
      </c>
      <c r="R121">
        <f t="shared" si="116"/>
        <v>0</v>
      </c>
      <c r="S121">
        <f t="shared" si="117"/>
        <v>0</v>
      </c>
      <c r="T121">
        <f t="shared" si="118"/>
        <v>0</v>
      </c>
      <c r="U121">
        <f t="shared" si="119"/>
        <v>0</v>
      </c>
      <c r="V121">
        <f t="shared" si="120"/>
        <v>0</v>
      </c>
      <c r="W121">
        <f t="shared" si="121"/>
        <v>0</v>
      </c>
      <c r="X121">
        <f t="shared" si="122"/>
        <v>0</v>
      </c>
      <c r="Y121">
        <f t="shared" si="123"/>
        <v>0</v>
      </c>
      <c r="AA121">
        <v>39099382</v>
      </c>
      <c r="AB121">
        <f t="shared" si="124"/>
        <v>0</v>
      </c>
      <c r="AC121">
        <f t="shared" si="125"/>
        <v>0</v>
      </c>
      <c r="AD121">
        <f t="shared" si="126"/>
        <v>0</v>
      </c>
      <c r="AE121">
        <f t="shared" si="127"/>
        <v>0</v>
      </c>
      <c r="AF121">
        <f t="shared" si="128"/>
        <v>0</v>
      </c>
      <c r="AG121">
        <f t="shared" si="129"/>
        <v>0</v>
      </c>
      <c r="AH121">
        <f t="shared" si="130"/>
        <v>0</v>
      </c>
      <c r="AI121">
        <f t="shared" si="131"/>
        <v>0</v>
      </c>
      <c r="AJ121">
        <f t="shared" si="132"/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95</v>
      </c>
      <c r="AU121">
        <v>47</v>
      </c>
      <c r="AV121">
        <v>1</v>
      </c>
      <c r="AW121">
        <v>1</v>
      </c>
      <c r="AZ121">
        <v>6.53</v>
      </c>
      <c r="BA121">
        <v>1</v>
      </c>
      <c r="BB121">
        <v>1</v>
      </c>
      <c r="BC121">
        <v>6.53</v>
      </c>
      <c r="BD121" t="s">
        <v>3</v>
      </c>
      <c r="BE121" t="s">
        <v>3</v>
      </c>
      <c r="BF121" t="s">
        <v>3</v>
      </c>
      <c r="BG121" t="s">
        <v>3</v>
      </c>
      <c r="BH121">
        <v>3</v>
      </c>
      <c r="BI121">
        <v>1</v>
      </c>
      <c r="BJ121" t="s">
        <v>3</v>
      </c>
      <c r="BM121">
        <v>15001</v>
      </c>
      <c r="BN121">
        <v>0</v>
      </c>
      <c r="BO121" t="s">
        <v>3</v>
      </c>
      <c r="BP121">
        <v>0</v>
      </c>
      <c r="BQ121">
        <v>2</v>
      </c>
      <c r="BR121">
        <v>0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3</v>
      </c>
      <c r="BZ121">
        <v>105</v>
      </c>
      <c r="CA121">
        <v>55</v>
      </c>
      <c r="CF121">
        <v>0</v>
      </c>
      <c r="CG121">
        <v>0</v>
      </c>
      <c r="CM121">
        <v>0</v>
      </c>
      <c r="CN121" t="s">
        <v>3</v>
      </c>
      <c r="CO121">
        <v>0</v>
      </c>
      <c r="CP121">
        <f t="shared" si="133"/>
        <v>0</v>
      </c>
      <c r="CQ121">
        <f t="shared" si="134"/>
        <v>0</v>
      </c>
      <c r="CR121">
        <f t="shared" si="135"/>
        <v>0</v>
      </c>
      <c r="CS121">
        <f t="shared" si="136"/>
        <v>0</v>
      </c>
      <c r="CT121">
        <f t="shared" si="137"/>
        <v>0</v>
      </c>
      <c r="CU121">
        <f t="shared" si="138"/>
        <v>0</v>
      </c>
      <c r="CV121">
        <f t="shared" si="139"/>
        <v>0</v>
      </c>
      <c r="CW121">
        <f t="shared" si="140"/>
        <v>0</v>
      </c>
      <c r="CX121">
        <f t="shared" si="141"/>
        <v>0</v>
      </c>
      <c r="CY121">
        <f t="shared" si="142"/>
        <v>0</v>
      </c>
      <c r="CZ121">
        <f t="shared" si="143"/>
        <v>0</v>
      </c>
      <c r="DC121" t="s">
        <v>3</v>
      </c>
      <c r="DD121" t="s">
        <v>3</v>
      </c>
      <c r="DE121" t="s">
        <v>3</v>
      </c>
      <c r="DF121" t="s">
        <v>3</v>
      </c>
      <c r="DG121" t="s">
        <v>3</v>
      </c>
      <c r="DH121" t="s">
        <v>3</v>
      </c>
      <c r="DI121" t="s">
        <v>3</v>
      </c>
      <c r="DJ121" t="s">
        <v>3</v>
      </c>
      <c r="DK121" t="s">
        <v>3</v>
      </c>
      <c r="DL121" t="s">
        <v>3</v>
      </c>
      <c r="DM121" t="s">
        <v>3</v>
      </c>
      <c r="DN121">
        <v>0</v>
      </c>
      <c r="DO121">
        <v>0</v>
      </c>
      <c r="DP121">
        <v>1</v>
      </c>
      <c r="DQ121">
        <v>1</v>
      </c>
      <c r="DU121">
        <v>1009</v>
      </c>
      <c r="DV121" t="s">
        <v>189</v>
      </c>
      <c r="DW121" t="s">
        <v>189</v>
      </c>
      <c r="DX121">
        <v>1000</v>
      </c>
      <c r="EE121">
        <v>39174529</v>
      </c>
      <c r="EF121">
        <v>2</v>
      </c>
      <c r="EG121" t="s">
        <v>43</v>
      </c>
      <c r="EH121">
        <v>0</v>
      </c>
      <c r="EI121" t="s">
        <v>3</v>
      </c>
      <c r="EJ121">
        <v>1</v>
      </c>
      <c r="EK121">
        <v>15001</v>
      </c>
      <c r="EL121" t="s">
        <v>80</v>
      </c>
      <c r="EM121" t="s">
        <v>81</v>
      </c>
      <c r="EO121" t="s">
        <v>3</v>
      </c>
      <c r="EQ121">
        <v>0</v>
      </c>
      <c r="ER121">
        <v>0</v>
      </c>
      <c r="ES121">
        <v>0</v>
      </c>
      <c r="ET121">
        <v>0</v>
      </c>
      <c r="EU121">
        <v>0</v>
      </c>
      <c r="EV121">
        <v>0</v>
      </c>
      <c r="EW121">
        <v>0</v>
      </c>
      <c r="EX121">
        <v>0</v>
      </c>
      <c r="FQ121">
        <v>0</v>
      </c>
      <c r="FR121">
        <f t="shared" si="144"/>
        <v>0</v>
      </c>
      <c r="FS121">
        <v>0</v>
      </c>
      <c r="FT121" t="s">
        <v>46</v>
      </c>
      <c r="FU121" t="s">
        <v>47</v>
      </c>
      <c r="FX121">
        <v>94.5</v>
      </c>
      <c r="FY121">
        <v>46.75</v>
      </c>
      <c r="GA121" t="s">
        <v>3</v>
      </c>
      <c r="GD121">
        <v>0</v>
      </c>
      <c r="GF121">
        <v>84301199</v>
      </c>
      <c r="GG121">
        <v>1</v>
      </c>
      <c r="GH121">
        <v>1</v>
      </c>
      <c r="GI121">
        <v>4</v>
      </c>
      <c r="GJ121">
        <v>0</v>
      </c>
      <c r="GK121">
        <f>ROUND(R121*(R12)/100,2)</f>
        <v>0</v>
      </c>
      <c r="GL121">
        <f t="shared" si="145"/>
        <v>0</v>
      </c>
      <c r="GM121">
        <f t="shared" si="146"/>
        <v>0</v>
      </c>
      <c r="GN121">
        <f t="shared" si="147"/>
        <v>0</v>
      </c>
      <c r="GO121">
        <f t="shared" si="148"/>
        <v>0</v>
      </c>
      <c r="GP121">
        <f t="shared" si="149"/>
        <v>0</v>
      </c>
      <c r="GR121">
        <v>0</v>
      </c>
      <c r="GS121">
        <v>3</v>
      </c>
      <c r="GT121">
        <v>0</v>
      </c>
      <c r="GU121" t="s">
        <v>3</v>
      </c>
      <c r="GV121">
        <f t="shared" si="150"/>
        <v>0</v>
      </c>
      <c r="GW121">
        <v>1</v>
      </c>
      <c r="GX121">
        <f t="shared" si="151"/>
        <v>0</v>
      </c>
      <c r="HA121">
        <v>0</v>
      </c>
      <c r="HB121">
        <v>0</v>
      </c>
      <c r="IK121">
        <v>0</v>
      </c>
    </row>
    <row r="122" spans="1:245" x14ac:dyDescent="0.2">
      <c r="A122">
        <v>18</v>
      </c>
      <c r="B122">
        <v>1</v>
      </c>
      <c r="C122">
        <v>164</v>
      </c>
      <c r="E122" t="s">
        <v>343</v>
      </c>
      <c r="F122" t="s">
        <v>344</v>
      </c>
      <c r="G122" t="s">
        <v>345</v>
      </c>
      <c r="H122" t="s">
        <v>189</v>
      </c>
      <c r="I122">
        <f>I120*J122</f>
        <v>1.4760000000000001E-3</v>
      </c>
      <c r="J122">
        <v>2.4600000000000004E-2</v>
      </c>
      <c r="O122">
        <f t="shared" si="113"/>
        <v>409.71</v>
      </c>
      <c r="P122">
        <f t="shared" si="114"/>
        <v>409.71</v>
      </c>
      <c r="Q122">
        <f t="shared" si="115"/>
        <v>0</v>
      </c>
      <c r="R122">
        <f t="shared" si="116"/>
        <v>0</v>
      </c>
      <c r="S122">
        <f t="shared" si="117"/>
        <v>0</v>
      </c>
      <c r="T122">
        <f t="shared" si="118"/>
        <v>0</v>
      </c>
      <c r="U122">
        <f t="shared" si="119"/>
        <v>0</v>
      </c>
      <c r="V122">
        <f t="shared" si="120"/>
        <v>0</v>
      </c>
      <c r="W122">
        <f t="shared" si="121"/>
        <v>0</v>
      </c>
      <c r="X122">
        <f t="shared" si="122"/>
        <v>0</v>
      </c>
      <c r="Y122">
        <f t="shared" si="123"/>
        <v>0</v>
      </c>
      <c r="AA122">
        <v>39099382</v>
      </c>
      <c r="AB122">
        <f t="shared" si="124"/>
        <v>42508.19</v>
      </c>
      <c r="AC122">
        <f t="shared" si="125"/>
        <v>42508.19</v>
      </c>
      <c r="AD122">
        <f t="shared" si="126"/>
        <v>0</v>
      </c>
      <c r="AE122">
        <f t="shared" si="127"/>
        <v>0</v>
      </c>
      <c r="AF122">
        <f t="shared" si="128"/>
        <v>0</v>
      </c>
      <c r="AG122">
        <f t="shared" si="129"/>
        <v>0</v>
      </c>
      <c r="AH122">
        <f t="shared" si="130"/>
        <v>0</v>
      </c>
      <c r="AI122">
        <f t="shared" si="131"/>
        <v>0</v>
      </c>
      <c r="AJ122">
        <f t="shared" si="132"/>
        <v>0</v>
      </c>
      <c r="AK122">
        <v>42508.19</v>
      </c>
      <c r="AL122">
        <v>42508.19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95</v>
      </c>
      <c r="AU122">
        <v>47</v>
      </c>
      <c r="AV122">
        <v>1</v>
      </c>
      <c r="AW122">
        <v>1</v>
      </c>
      <c r="AZ122">
        <v>6.53</v>
      </c>
      <c r="BA122">
        <v>1</v>
      </c>
      <c r="BB122">
        <v>1</v>
      </c>
      <c r="BC122">
        <v>6.53</v>
      </c>
      <c r="BD122" t="s">
        <v>3</v>
      </c>
      <c r="BE122" t="s">
        <v>3</v>
      </c>
      <c r="BF122" t="s">
        <v>3</v>
      </c>
      <c r="BG122" t="s">
        <v>3</v>
      </c>
      <c r="BH122">
        <v>3</v>
      </c>
      <c r="BI122">
        <v>1</v>
      </c>
      <c r="BJ122" t="s">
        <v>346</v>
      </c>
      <c r="BM122">
        <v>15001</v>
      </c>
      <c r="BN122">
        <v>0</v>
      </c>
      <c r="BO122" t="s">
        <v>3</v>
      </c>
      <c r="BP122">
        <v>0</v>
      </c>
      <c r="BQ122">
        <v>2</v>
      </c>
      <c r="BR122">
        <v>0</v>
      </c>
      <c r="BS122">
        <v>1</v>
      </c>
      <c r="BT122">
        <v>1</v>
      </c>
      <c r="BU122">
        <v>1</v>
      </c>
      <c r="BV122">
        <v>1</v>
      </c>
      <c r="BW122">
        <v>1</v>
      </c>
      <c r="BX122">
        <v>1</v>
      </c>
      <c r="BY122" t="s">
        <v>3</v>
      </c>
      <c r="BZ122">
        <v>105</v>
      </c>
      <c r="CA122">
        <v>55</v>
      </c>
      <c r="CF122">
        <v>0</v>
      </c>
      <c r="CG122">
        <v>0</v>
      </c>
      <c r="CM122">
        <v>0</v>
      </c>
      <c r="CN122" t="s">
        <v>3</v>
      </c>
      <c r="CO122">
        <v>0</v>
      </c>
      <c r="CP122">
        <f t="shared" si="133"/>
        <v>409.71</v>
      </c>
      <c r="CQ122">
        <f t="shared" si="134"/>
        <v>277578.48070000001</v>
      </c>
      <c r="CR122">
        <f t="shared" si="135"/>
        <v>0</v>
      </c>
      <c r="CS122">
        <f t="shared" si="136"/>
        <v>0</v>
      </c>
      <c r="CT122">
        <f t="shared" si="137"/>
        <v>0</v>
      </c>
      <c r="CU122">
        <f t="shared" si="138"/>
        <v>0</v>
      </c>
      <c r="CV122">
        <f t="shared" si="139"/>
        <v>0</v>
      </c>
      <c r="CW122">
        <f t="shared" si="140"/>
        <v>0</v>
      </c>
      <c r="CX122">
        <f t="shared" si="141"/>
        <v>0</v>
      </c>
      <c r="CY122">
        <f t="shared" si="142"/>
        <v>0</v>
      </c>
      <c r="CZ122">
        <f t="shared" si="143"/>
        <v>0</v>
      </c>
      <c r="DC122" t="s">
        <v>3</v>
      </c>
      <c r="DD122" t="s">
        <v>3</v>
      </c>
      <c r="DE122" t="s">
        <v>3</v>
      </c>
      <c r="DF122" t="s">
        <v>3</v>
      </c>
      <c r="DG122" t="s">
        <v>3</v>
      </c>
      <c r="DH122" t="s">
        <v>3</v>
      </c>
      <c r="DI122" t="s">
        <v>3</v>
      </c>
      <c r="DJ122" t="s">
        <v>3</v>
      </c>
      <c r="DK122" t="s">
        <v>3</v>
      </c>
      <c r="DL122" t="s">
        <v>3</v>
      </c>
      <c r="DM122" t="s">
        <v>3</v>
      </c>
      <c r="DN122">
        <v>0</v>
      </c>
      <c r="DO122">
        <v>0</v>
      </c>
      <c r="DP122">
        <v>1</v>
      </c>
      <c r="DQ122">
        <v>1</v>
      </c>
      <c r="DU122">
        <v>1009</v>
      </c>
      <c r="DV122" t="s">
        <v>189</v>
      </c>
      <c r="DW122" t="s">
        <v>189</v>
      </c>
      <c r="DX122">
        <v>1000</v>
      </c>
      <c r="EE122">
        <v>39174529</v>
      </c>
      <c r="EF122">
        <v>2</v>
      </c>
      <c r="EG122" t="s">
        <v>43</v>
      </c>
      <c r="EH122">
        <v>0</v>
      </c>
      <c r="EI122" t="s">
        <v>3</v>
      </c>
      <c r="EJ122">
        <v>1</v>
      </c>
      <c r="EK122">
        <v>15001</v>
      </c>
      <c r="EL122" t="s">
        <v>80</v>
      </c>
      <c r="EM122" t="s">
        <v>81</v>
      </c>
      <c r="EO122" t="s">
        <v>3</v>
      </c>
      <c r="EQ122">
        <v>0</v>
      </c>
      <c r="ER122">
        <v>42508.19</v>
      </c>
      <c r="ES122">
        <v>42508.19</v>
      </c>
      <c r="ET122">
        <v>0</v>
      </c>
      <c r="EU122">
        <v>0</v>
      </c>
      <c r="EV122">
        <v>0</v>
      </c>
      <c r="EW122">
        <v>0</v>
      </c>
      <c r="EX122">
        <v>0</v>
      </c>
      <c r="FQ122">
        <v>0</v>
      </c>
      <c r="FR122">
        <f t="shared" si="144"/>
        <v>0</v>
      </c>
      <c r="FS122">
        <v>0</v>
      </c>
      <c r="FT122" t="s">
        <v>46</v>
      </c>
      <c r="FU122" t="s">
        <v>47</v>
      </c>
      <c r="FX122">
        <v>94.5</v>
      </c>
      <c r="FY122">
        <v>46.75</v>
      </c>
      <c r="GA122" t="s">
        <v>3</v>
      </c>
      <c r="GD122">
        <v>0</v>
      </c>
      <c r="GF122">
        <v>-777870615</v>
      </c>
      <c r="GG122">
        <v>1</v>
      </c>
      <c r="GH122">
        <v>1</v>
      </c>
      <c r="GI122">
        <v>4</v>
      </c>
      <c r="GJ122">
        <v>0</v>
      </c>
      <c r="GK122">
        <f>ROUND(R122*(R12)/100,2)</f>
        <v>0</v>
      </c>
      <c r="GL122">
        <f t="shared" si="145"/>
        <v>0</v>
      </c>
      <c r="GM122">
        <f t="shared" si="146"/>
        <v>409.71</v>
      </c>
      <c r="GN122">
        <f t="shared" si="147"/>
        <v>409.71</v>
      </c>
      <c r="GO122">
        <f t="shared" si="148"/>
        <v>0</v>
      </c>
      <c r="GP122">
        <f t="shared" si="149"/>
        <v>0</v>
      </c>
      <c r="GR122">
        <v>0</v>
      </c>
      <c r="GS122">
        <v>0</v>
      </c>
      <c r="GT122">
        <v>0</v>
      </c>
      <c r="GU122" t="s">
        <v>3</v>
      </c>
      <c r="GV122">
        <f t="shared" si="150"/>
        <v>0</v>
      </c>
      <c r="GW122">
        <v>1</v>
      </c>
      <c r="GX122">
        <f t="shared" si="151"/>
        <v>0</v>
      </c>
      <c r="HA122">
        <v>0</v>
      </c>
      <c r="HB122">
        <v>0</v>
      </c>
      <c r="IK122">
        <v>0</v>
      </c>
    </row>
    <row r="123" spans="1:245" x14ac:dyDescent="0.2">
      <c r="A123">
        <v>17</v>
      </c>
      <c r="B123">
        <v>1</v>
      </c>
      <c r="C123">
        <f>ROW(SmtRes!A173)</f>
        <v>173</v>
      </c>
      <c r="D123">
        <f>ROW(EtalonRes!A172)</f>
        <v>172</v>
      </c>
      <c r="E123" t="s">
        <v>347</v>
      </c>
      <c r="F123" t="s">
        <v>348</v>
      </c>
      <c r="G123" t="s">
        <v>349</v>
      </c>
      <c r="H123" t="s">
        <v>350</v>
      </c>
      <c r="I123">
        <v>40</v>
      </c>
      <c r="J123">
        <v>0</v>
      </c>
      <c r="O123">
        <f t="shared" si="113"/>
        <v>10980.85</v>
      </c>
      <c r="P123">
        <f t="shared" si="114"/>
        <v>6584.85</v>
      </c>
      <c r="Q123">
        <f t="shared" si="115"/>
        <v>914.2</v>
      </c>
      <c r="R123">
        <f t="shared" si="116"/>
        <v>31.34</v>
      </c>
      <c r="S123">
        <f t="shared" si="117"/>
        <v>3481.8</v>
      </c>
      <c r="T123">
        <f t="shared" si="118"/>
        <v>0</v>
      </c>
      <c r="U123">
        <f t="shared" si="119"/>
        <v>58.8</v>
      </c>
      <c r="V123">
        <f t="shared" si="120"/>
        <v>0.4</v>
      </c>
      <c r="W123">
        <f t="shared" si="121"/>
        <v>0</v>
      </c>
      <c r="X123">
        <f t="shared" si="122"/>
        <v>4040.11</v>
      </c>
      <c r="Y123">
        <f t="shared" si="123"/>
        <v>2494.33</v>
      </c>
      <c r="AA123">
        <v>39099382</v>
      </c>
      <c r="AB123">
        <f t="shared" si="124"/>
        <v>42.04</v>
      </c>
      <c r="AC123">
        <f t="shared" si="125"/>
        <v>25.21</v>
      </c>
      <c r="AD123">
        <f t="shared" si="126"/>
        <v>3.5</v>
      </c>
      <c r="AE123">
        <f t="shared" si="127"/>
        <v>0.12</v>
      </c>
      <c r="AF123">
        <f t="shared" si="128"/>
        <v>13.33</v>
      </c>
      <c r="AG123">
        <f t="shared" si="129"/>
        <v>0</v>
      </c>
      <c r="AH123">
        <f t="shared" si="130"/>
        <v>1.47</v>
      </c>
      <c r="AI123">
        <f t="shared" si="131"/>
        <v>0.01</v>
      </c>
      <c r="AJ123">
        <f t="shared" si="132"/>
        <v>0</v>
      </c>
      <c r="AK123">
        <v>42.04</v>
      </c>
      <c r="AL123">
        <v>25.21</v>
      </c>
      <c r="AM123">
        <v>3.5</v>
      </c>
      <c r="AN123">
        <v>0.12</v>
      </c>
      <c r="AO123">
        <v>13.33</v>
      </c>
      <c r="AP123">
        <v>0</v>
      </c>
      <c r="AQ123">
        <v>1.47</v>
      </c>
      <c r="AR123">
        <v>0.01</v>
      </c>
      <c r="AS123">
        <v>0</v>
      </c>
      <c r="AT123">
        <v>115</v>
      </c>
      <c r="AU123">
        <v>71</v>
      </c>
      <c r="AV123">
        <v>1</v>
      </c>
      <c r="AW123">
        <v>1</v>
      </c>
      <c r="AZ123">
        <v>6.53</v>
      </c>
      <c r="BA123">
        <v>6.53</v>
      </c>
      <c r="BB123">
        <v>6.53</v>
      </c>
      <c r="BC123">
        <v>6.53</v>
      </c>
      <c r="BD123" t="s">
        <v>3</v>
      </c>
      <c r="BE123" t="s">
        <v>3</v>
      </c>
      <c r="BF123" t="s">
        <v>3</v>
      </c>
      <c r="BG123" t="s">
        <v>3</v>
      </c>
      <c r="BH123">
        <v>0</v>
      </c>
      <c r="BI123">
        <v>1</v>
      </c>
      <c r="BJ123" t="s">
        <v>351</v>
      </c>
      <c r="BM123">
        <v>16001</v>
      </c>
      <c r="BN123">
        <v>0</v>
      </c>
      <c r="BO123" t="s">
        <v>3</v>
      </c>
      <c r="BP123">
        <v>0</v>
      </c>
      <c r="BQ123">
        <v>2</v>
      </c>
      <c r="BR123">
        <v>0</v>
      </c>
      <c r="BS123">
        <v>6.53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3</v>
      </c>
      <c r="BZ123">
        <v>128</v>
      </c>
      <c r="CA123">
        <v>83</v>
      </c>
      <c r="CF123">
        <v>0</v>
      </c>
      <c r="CG123">
        <v>0</v>
      </c>
      <c r="CM123">
        <v>0</v>
      </c>
      <c r="CN123" t="s">
        <v>3</v>
      </c>
      <c r="CO123">
        <v>0</v>
      </c>
      <c r="CP123">
        <f t="shared" si="133"/>
        <v>10980.85</v>
      </c>
      <c r="CQ123">
        <f t="shared" si="134"/>
        <v>164.62130000000002</v>
      </c>
      <c r="CR123">
        <f t="shared" si="135"/>
        <v>22.855</v>
      </c>
      <c r="CS123">
        <f t="shared" si="136"/>
        <v>0.78359999999999996</v>
      </c>
      <c r="CT123">
        <f t="shared" si="137"/>
        <v>87.044899999999998</v>
      </c>
      <c r="CU123">
        <f t="shared" si="138"/>
        <v>0</v>
      </c>
      <c r="CV123">
        <f t="shared" si="139"/>
        <v>1.47</v>
      </c>
      <c r="CW123">
        <f t="shared" si="140"/>
        <v>0.01</v>
      </c>
      <c r="CX123">
        <f t="shared" si="141"/>
        <v>0</v>
      </c>
      <c r="CY123">
        <f t="shared" si="142"/>
        <v>4040.1110000000003</v>
      </c>
      <c r="CZ123">
        <f t="shared" si="143"/>
        <v>2494.3294000000005</v>
      </c>
      <c r="DC123" t="s">
        <v>3</v>
      </c>
      <c r="DD123" t="s">
        <v>3</v>
      </c>
      <c r="DE123" t="s">
        <v>3</v>
      </c>
      <c r="DF123" t="s">
        <v>3</v>
      </c>
      <c r="DG123" t="s">
        <v>3</v>
      </c>
      <c r="DH123" t="s">
        <v>3</v>
      </c>
      <c r="DI123" t="s">
        <v>3</v>
      </c>
      <c r="DJ123" t="s">
        <v>3</v>
      </c>
      <c r="DK123" t="s">
        <v>3</v>
      </c>
      <c r="DL123" t="s">
        <v>3</v>
      </c>
      <c r="DM123" t="s">
        <v>3</v>
      </c>
      <c r="DN123">
        <v>0</v>
      </c>
      <c r="DO123">
        <v>0</v>
      </c>
      <c r="DP123">
        <v>1</v>
      </c>
      <c r="DQ123">
        <v>1</v>
      </c>
      <c r="DU123">
        <v>1013</v>
      </c>
      <c r="DV123" t="s">
        <v>350</v>
      </c>
      <c r="DW123" t="s">
        <v>350</v>
      </c>
      <c r="DX123">
        <v>1</v>
      </c>
      <c r="EE123">
        <v>39174530</v>
      </c>
      <c r="EF123">
        <v>2</v>
      </c>
      <c r="EG123" t="s">
        <v>43</v>
      </c>
      <c r="EH123">
        <v>0</v>
      </c>
      <c r="EI123" t="s">
        <v>3</v>
      </c>
      <c r="EJ123">
        <v>1</v>
      </c>
      <c r="EK123">
        <v>16001</v>
      </c>
      <c r="EL123" t="s">
        <v>352</v>
      </c>
      <c r="EM123" t="s">
        <v>353</v>
      </c>
      <c r="EO123" t="s">
        <v>3</v>
      </c>
      <c r="EQ123">
        <v>0</v>
      </c>
      <c r="ER123">
        <v>42.04</v>
      </c>
      <c r="ES123">
        <v>25.21</v>
      </c>
      <c r="ET123">
        <v>3.5</v>
      </c>
      <c r="EU123">
        <v>0.12</v>
      </c>
      <c r="EV123">
        <v>13.33</v>
      </c>
      <c r="EW123">
        <v>1.47</v>
      </c>
      <c r="EX123">
        <v>0.01</v>
      </c>
      <c r="EY123">
        <v>0</v>
      </c>
      <c r="FQ123">
        <v>0</v>
      </c>
      <c r="FR123">
        <f t="shared" si="144"/>
        <v>0</v>
      </c>
      <c r="FS123">
        <v>0</v>
      </c>
      <c r="FT123" t="s">
        <v>46</v>
      </c>
      <c r="FU123" t="s">
        <v>47</v>
      </c>
      <c r="FX123">
        <v>115.2</v>
      </c>
      <c r="FY123">
        <v>70.55</v>
      </c>
      <c r="GA123" t="s">
        <v>3</v>
      </c>
      <c r="GD123">
        <v>0</v>
      </c>
      <c r="GF123">
        <v>1420229388</v>
      </c>
      <c r="GG123">
        <v>1</v>
      </c>
      <c r="GH123">
        <v>1</v>
      </c>
      <c r="GI123">
        <v>4</v>
      </c>
      <c r="GJ123">
        <v>0</v>
      </c>
      <c r="GK123">
        <f>ROUND(R123*(R12)/100,2)</f>
        <v>0</v>
      </c>
      <c r="GL123">
        <f t="shared" si="145"/>
        <v>0</v>
      </c>
      <c r="GM123">
        <f t="shared" si="146"/>
        <v>17515.29</v>
      </c>
      <c r="GN123">
        <f t="shared" si="147"/>
        <v>17515.29</v>
      </c>
      <c r="GO123">
        <f t="shared" si="148"/>
        <v>0</v>
      </c>
      <c r="GP123">
        <f t="shared" si="149"/>
        <v>0</v>
      </c>
      <c r="GR123">
        <v>0</v>
      </c>
      <c r="GS123">
        <v>0</v>
      </c>
      <c r="GT123">
        <v>0</v>
      </c>
      <c r="GU123" t="s">
        <v>3</v>
      </c>
      <c r="GV123">
        <f t="shared" si="150"/>
        <v>0</v>
      </c>
      <c r="GW123">
        <v>1</v>
      </c>
      <c r="GX123">
        <f t="shared" si="151"/>
        <v>0</v>
      </c>
      <c r="HA123">
        <v>0</v>
      </c>
      <c r="HB123">
        <v>0</v>
      </c>
      <c r="IK123">
        <v>0</v>
      </c>
    </row>
    <row r="124" spans="1:245" x14ac:dyDescent="0.2">
      <c r="A124">
        <v>18</v>
      </c>
      <c r="B124">
        <v>1</v>
      </c>
      <c r="C124">
        <v>173</v>
      </c>
      <c r="E124" t="s">
        <v>354</v>
      </c>
      <c r="F124" t="s">
        <v>355</v>
      </c>
      <c r="G124" t="s">
        <v>356</v>
      </c>
      <c r="H124" t="s">
        <v>37</v>
      </c>
      <c r="I124">
        <f>I123*J124</f>
        <v>40</v>
      </c>
      <c r="J124">
        <v>1</v>
      </c>
      <c r="O124">
        <f t="shared" si="113"/>
        <v>14295.48</v>
      </c>
      <c r="P124">
        <f t="shared" si="114"/>
        <v>14295.48</v>
      </c>
      <c r="Q124">
        <f t="shared" si="115"/>
        <v>0</v>
      </c>
      <c r="R124">
        <f t="shared" si="116"/>
        <v>0</v>
      </c>
      <c r="S124">
        <f t="shared" si="117"/>
        <v>0</v>
      </c>
      <c r="T124">
        <f t="shared" si="118"/>
        <v>0</v>
      </c>
      <c r="U124">
        <f t="shared" si="119"/>
        <v>0</v>
      </c>
      <c r="V124">
        <f t="shared" si="120"/>
        <v>0</v>
      </c>
      <c r="W124">
        <f t="shared" si="121"/>
        <v>0</v>
      </c>
      <c r="X124">
        <f t="shared" si="122"/>
        <v>0</v>
      </c>
      <c r="Y124">
        <f t="shared" si="123"/>
        <v>0</v>
      </c>
      <c r="AA124">
        <v>39099382</v>
      </c>
      <c r="AB124">
        <f t="shared" si="124"/>
        <v>54.73</v>
      </c>
      <c r="AC124">
        <f t="shared" si="125"/>
        <v>54.73</v>
      </c>
      <c r="AD124">
        <f t="shared" si="126"/>
        <v>0</v>
      </c>
      <c r="AE124">
        <f t="shared" si="127"/>
        <v>0</v>
      </c>
      <c r="AF124">
        <f t="shared" si="128"/>
        <v>0</v>
      </c>
      <c r="AG124">
        <f t="shared" si="129"/>
        <v>0</v>
      </c>
      <c r="AH124">
        <f t="shared" si="130"/>
        <v>0</v>
      </c>
      <c r="AI124">
        <f t="shared" si="131"/>
        <v>0</v>
      </c>
      <c r="AJ124">
        <f t="shared" si="132"/>
        <v>0</v>
      </c>
      <c r="AK124">
        <v>54.73</v>
      </c>
      <c r="AL124">
        <v>54.73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115</v>
      </c>
      <c r="AU124">
        <v>71</v>
      </c>
      <c r="AV124">
        <v>1</v>
      </c>
      <c r="AW124">
        <v>1</v>
      </c>
      <c r="AZ124">
        <v>6.53</v>
      </c>
      <c r="BA124">
        <v>1</v>
      </c>
      <c r="BB124">
        <v>1</v>
      </c>
      <c r="BC124">
        <v>6.53</v>
      </c>
      <c r="BD124" t="s">
        <v>3</v>
      </c>
      <c r="BE124" t="s">
        <v>3</v>
      </c>
      <c r="BF124" t="s">
        <v>3</v>
      </c>
      <c r="BG124" t="s">
        <v>3</v>
      </c>
      <c r="BH124">
        <v>3</v>
      </c>
      <c r="BI124">
        <v>1</v>
      </c>
      <c r="BJ124" t="s">
        <v>357</v>
      </c>
      <c r="BM124">
        <v>16001</v>
      </c>
      <c r="BN124">
        <v>0</v>
      </c>
      <c r="BO124" t="s">
        <v>3</v>
      </c>
      <c r="BP124">
        <v>0</v>
      </c>
      <c r="BQ124">
        <v>2</v>
      </c>
      <c r="BR124">
        <v>0</v>
      </c>
      <c r="BS124">
        <v>1</v>
      </c>
      <c r="BT124">
        <v>1</v>
      </c>
      <c r="BU124">
        <v>1</v>
      </c>
      <c r="BV124">
        <v>1</v>
      </c>
      <c r="BW124">
        <v>1</v>
      </c>
      <c r="BX124">
        <v>1</v>
      </c>
      <c r="BY124" t="s">
        <v>3</v>
      </c>
      <c r="BZ124">
        <v>128</v>
      </c>
      <c r="CA124">
        <v>83</v>
      </c>
      <c r="CF124">
        <v>0</v>
      </c>
      <c r="CG124">
        <v>0</v>
      </c>
      <c r="CM124">
        <v>0</v>
      </c>
      <c r="CN124" t="s">
        <v>3</v>
      </c>
      <c r="CO124">
        <v>0</v>
      </c>
      <c r="CP124">
        <f t="shared" si="133"/>
        <v>14295.48</v>
      </c>
      <c r="CQ124">
        <f t="shared" si="134"/>
        <v>357.38689999999997</v>
      </c>
      <c r="CR124">
        <f t="shared" si="135"/>
        <v>0</v>
      </c>
      <c r="CS124">
        <f t="shared" si="136"/>
        <v>0</v>
      </c>
      <c r="CT124">
        <f t="shared" si="137"/>
        <v>0</v>
      </c>
      <c r="CU124">
        <f t="shared" si="138"/>
        <v>0</v>
      </c>
      <c r="CV124">
        <f t="shared" si="139"/>
        <v>0</v>
      </c>
      <c r="CW124">
        <f t="shared" si="140"/>
        <v>0</v>
      </c>
      <c r="CX124">
        <f t="shared" si="141"/>
        <v>0</v>
      </c>
      <c r="CY124">
        <f t="shared" si="142"/>
        <v>0</v>
      </c>
      <c r="CZ124">
        <f t="shared" si="143"/>
        <v>0</v>
      </c>
      <c r="DC124" t="s">
        <v>3</v>
      </c>
      <c r="DD124" t="s">
        <v>3</v>
      </c>
      <c r="DE124" t="s">
        <v>3</v>
      </c>
      <c r="DF124" t="s">
        <v>3</v>
      </c>
      <c r="DG124" t="s">
        <v>3</v>
      </c>
      <c r="DH124" t="s">
        <v>3</v>
      </c>
      <c r="DI124" t="s">
        <v>3</v>
      </c>
      <c r="DJ124" t="s">
        <v>3</v>
      </c>
      <c r="DK124" t="s">
        <v>3</v>
      </c>
      <c r="DL124" t="s">
        <v>3</v>
      </c>
      <c r="DM124" t="s">
        <v>3</v>
      </c>
      <c r="DN124">
        <v>0</v>
      </c>
      <c r="DO124">
        <v>0</v>
      </c>
      <c r="DP124">
        <v>1</v>
      </c>
      <c r="DQ124">
        <v>1</v>
      </c>
      <c r="DU124">
        <v>1010</v>
      </c>
      <c r="DV124" t="s">
        <v>37</v>
      </c>
      <c r="DW124" t="s">
        <v>37</v>
      </c>
      <c r="DX124">
        <v>1</v>
      </c>
      <c r="EE124">
        <v>39174530</v>
      </c>
      <c r="EF124">
        <v>2</v>
      </c>
      <c r="EG124" t="s">
        <v>43</v>
      </c>
      <c r="EH124">
        <v>0</v>
      </c>
      <c r="EI124" t="s">
        <v>3</v>
      </c>
      <c r="EJ124">
        <v>1</v>
      </c>
      <c r="EK124">
        <v>16001</v>
      </c>
      <c r="EL124" t="s">
        <v>352</v>
      </c>
      <c r="EM124" t="s">
        <v>353</v>
      </c>
      <c r="EO124" t="s">
        <v>3</v>
      </c>
      <c r="EQ124">
        <v>0</v>
      </c>
      <c r="ER124">
        <v>54.73</v>
      </c>
      <c r="ES124">
        <v>54.73</v>
      </c>
      <c r="ET124">
        <v>0</v>
      </c>
      <c r="EU124">
        <v>0</v>
      </c>
      <c r="EV124">
        <v>0</v>
      </c>
      <c r="EW124">
        <v>0</v>
      </c>
      <c r="EX124">
        <v>0</v>
      </c>
      <c r="FQ124">
        <v>0</v>
      </c>
      <c r="FR124">
        <f t="shared" si="144"/>
        <v>0</v>
      </c>
      <c r="FS124">
        <v>0</v>
      </c>
      <c r="FT124" t="s">
        <v>46</v>
      </c>
      <c r="FU124" t="s">
        <v>47</v>
      </c>
      <c r="FX124">
        <v>115.2</v>
      </c>
      <c r="FY124">
        <v>70.55</v>
      </c>
      <c r="GA124" t="s">
        <v>3</v>
      </c>
      <c r="GD124">
        <v>0</v>
      </c>
      <c r="GF124">
        <v>898688576</v>
      </c>
      <c r="GG124">
        <v>1</v>
      </c>
      <c r="GH124">
        <v>1</v>
      </c>
      <c r="GI124">
        <v>4</v>
      </c>
      <c r="GJ124">
        <v>0</v>
      </c>
      <c r="GK124">
        <f>ROUND(R124*(R12)/100,2)</f>
        <v>0</v>
      </c>
      <c r="GL124">
        <f t="shared" si="145"/>
        <v>0</v>
      </c>
      <c r="GM124">
        <f t="shared" si="146"/>
        <v>14295.48</v>
      </c>
      <c r="GN124">
        <f t="shared" si="147"/>
        <v>14295.48</v>
      </c>
      <c r="GO124">
        <f t="shared" si="148"/>
        <v>0</v>
      </c>
      <c r="GP124">
        <f t="shared" si="149"/>
        <v>0</v>
      </c>
      <c r="GR124">
        <v>0</v>
      </c>
      <c r="GS124">
        <v>3</v>
      </c>
      <c r="GT124">
        <v>0</v>
      </c>
      <c r="GU124" t="s">
        <v>3</v>
      </c>
      <c r="GV124">
        <f t="shared" si="150"/>
        <v>0</v>
      </c>
      <c r="GW124">
        <v>1</v>
      </c>
      <c r="GX124">
        <f t="shared" si="151"/>
        <v>0</v>
      </c>
      <c r="HA124">
        <v>0</v>
      </c>
      <c r="HB124">
        <v>0</v>
      </c>
      <c r="IK124">
        <v>0</v>
      </c>
    </row>
    <row r="125" spans="1:245" x14ac:dyDescent="0.2">
      <c r="A125">
        <v>17</v>
      </c>
      <c r="B125">
        <v>1</v>
      </c>
      <c r="C125">
        <f>ROW(SmtRes!A174)</f>
        <v>174</v>
      </c>
      <c r="D125">
        <f>ROW(EtalonRes!A173)</f>
        <v>173</v>
      </c>
      <c r="E125" t="s">
        <v>358</v>
      </c>
      <c r="F125" t="s">
        <v>359</v>
      </c>
      <c r="G125" t="s">
        <v>360</v>
      </c>
      <c r="H125" t="s">
        <v>30</v>
      </c>
      <c r="I125">
        <f>ROUND(20/100,9)</f>
        <v>0.2</v>
      </c>
      <c r="J125">
        <v>0</v>
      </c>
      <c r="O125">
        <f t="shared" si="113"/>
        <v>175.24</v>
      </c>
      <c r="P125">
        <f t="shared" si="114"/>
        <v>0</v>
      </c>
      <c r="Q125">
        <f t="shared" si="115"/>
        <v>0</v>
      </c>
      <c r="R125">
        <f t="shared" si="116"/>
        <v>0</v>
      </c>
      <c r="S125">
        <f t="shared" si="117"/>
        <v>175.24</v>
      </c>
      <c r="T125">
        <f t="shared" si="118"/>
        <v>0</v>
      </c>
      <c r="U125">
        <f t="shared" si="119"/>
        <v>3.1460000000000004</v>
      </c>
      <c r="V125">
        <f t="shared" si="120"/>
        <v>0</v>
      </c>
      <c r="W125">
        <f t="shared" si="121"/>
        <v>0</v>
      </c>
      <c r="X125">
        <f t="shared" si="122"/>
        <v>129.68</v>
      </c>
      <c r="Y125">
        <f t="shared" si="123"/>
        <v>87.62</v>
      </c>
      <c r="AA125">
        <v>39099382</v>
      </c>
      <c r="AB125">
        <f t="shared" si="124"/>
        <v>134.18</v>
      </c>
      <c r="AC125">
        <f t="shared" si="125"/>
        <v>0</v>
      </c>
      <c r="AD125">
        <f t="shared" si="126"/>
        <v>0</v>
      </c>
      <c r="AE125">
        <f t="shared" si="127"/>
        <v>0</v>
      </c>
      <c r="AF125">
        <f t="shared" si="128"/>
        <v>134.18</v>
      </c>
      <c r="AG125">
        <f t="shared" si="129"/>
        <v>0</v>
      </c>
      <c r="AH125">
        <f t="shared" si="130"/>
        <v>15.73</v>
      </c>
      <c r="AI125">
        <f t="shared" si="131"/>
        <v>0</v>
      </c>
      <c r="AJ125">
        <f t="shared" si="132"/>
        <v>0</v>
      </c>
      <c r="AK125">
        <v>134.18</v>
      </c>
      <c r="AL125">
        <v>0</v>
      </c>
      <c r="AM125">
        <v>0</v>
      </c>
      <c r="AN125">
        <v>0</v>
      </c>
      <c r="AO125">
        <v>134.18</v>
      </c>
      <c r="AP125">
        <v>0</v>
      </c>
      <c r="AQ125">
        <v>15.73</v>
      </c>
      <c r="AR125">
        <v>0</v>
      </c>
      <c r="AS125">
        <v>0</v>
      </c>
      <c r="AT125">
        <v>74</v>
      </c>
      <c r="AU125">
        <v>50</v>
      </c>
      <c r="AV125">
        <v>1</v>
      </c>
      <c r="AW125">
        <v>1</v>
      </c>
      <c r="AZ125">
        <v>6.53</v>
      </c>
      <c r="BA125">
        <v>6.53</v>
      </c>
      <c r="BB125">
        <v>6.53</v>
      </c>
      <c r="BC125">
        <v>6.53</v>
      </c>
      <c r="BD125" t="s">
        <v>3</v>
      </c>
      <c r="BE125" t="s">
        <v>3</v>
      </c>
      <c r="BF125" t="s">
        <v>3</v>
      </c>
      <c r="BG125" t="s">
        <v>3</v>
      </c>
      <c r="BH125">
        <v>0</v>
      </c>
      <c r="BI125">
        <v>1</v>
      </c>
      <c r="BJ125" t="s">
        <v>361</v>
      </c>
      <c r="BM125">
        <v>65004</v>
      </c>
      <c r="BN125">
        <v>0</v>
      </c>
      <c r="BO125" t="s">
        <v>3</v>
      </c>
      <c r="BP125">
        <v>0</v>
      </c>
      <c r="BQ125">
        <v>6</v>
      </c>
      <c r="BR125">
        <v>0</v>
      </c>
      <c r="BS125">
        <v>6.53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3</v>
      </c>
      <c r="BZ125">
        <v>74</v>
      </c>
      <c r="CA125">
        <v>50</v>
      </c>
      <c r="CF125">
        <v>0</v>
      </c>
      <c r="CG125">
        <v>0</v>
      </c>
      <c r="CM125">
        <v>0</v>
      </c>
      <c r="CN125" t="s">
        <v>3</v>
      </c>
      <c r="CO125">
        <v>0</v>
      </c>
      <c r="CP125">
        <f t="shared" si="133"/>
        <v>175.24</v>
      </c>
      <c r="CQ125">
        <f t="shared" si="134"/>
        <v>0</v>
      </c>
      <c r="CR125">
        <f t="shared" si="135"/>
        <v>0</v>
      </c>
      <c r="CS125">
        <f t="shared" si="136"/>
        <v>0</v>
      </c>
      <c r="CT125">
        <f t="shared" si="137"/>
        <v>876.19540000000006</v>
      </c>
      <c r="CU125">
        <f t="shared" si="138"/>
        <v>0</v>
      </c>
      <c r="CV125">
        <f t="shared" si="139"/>
        <v>15.73</v>
      </c>
      <c r="CW125">
        <f t="shared" si="140"/>
        <v>0</v>
      </c>
      <c r="CX125">
        <f t="shared" si="141"/>
        <v>0</v>
      </c>
      <c r="CY125">
        <f t="shared" si="142"/>
        <v>129.67760000000001</v>
      </c>
      <c r="CZ125">
        <f t="shared" si="143"/>
        <v>87.62</v>
      </c>
      <c r="DC125" t="s">
        <v>3</v>
      </c>
      <c r="DD125" t="s">
        <v>3</v>
      </c>
      <c r="DE125" t="s">
        <v>3</v>
      </c>
      <c r="DF125" t="s">
        <v>3</v>
      </c>
      <c r="DG125" t="s">
        <v>3</v>
      </c>
      <c r="DH125" t="s">
        <v>3</v>
      </c>
      <c r="DI125" t="s">
        <v>3</v>
      </c>
      <c r="DJ125" t="s">
        <v>3</v>
      </c>
      <c r="DK125" t="s">
        <v>3</v>
      </c>
      <c r="DL125" t="s">
        <v>3</v>
      </c>
      <c r="DM125" t="s">
        <v>3</v>
      </c>
      <c r="DN125">
        <v>0</v>
      </c>
      <c r="DO125">
        <v>0</v>
      </c>
      <c r="DP125">
        <v>1</v>
      </c>
      <c r="DQ125">
        <v>1</v>
      </c>
      <c r="DU125">
        <v>1013</v>
      </c>
      <c r="DV125" t="s">
        <v>30</v>
      </c>
      <c r="DW125" t="s">
        <v>30</v>
      </c>
      <c r="DX125">
        <v>1</v>
      </c>
      <c r="EE125">
        <v>39174595</v>
      </c>
      <c r="EF125">
        <v>6</v>
      </c>
      <c r="EG125" t="s">
        <v>19</v>
      </c>
      <c r="EH125">
        <v>0</v>
      </c>
      <c r="EI125" t="s">
        <v>3</v>
      </c>
      <c r="EJ125">
        <v>1</v>
      </c>
      <c r="EK125">
        <v>65004</v>
      </c>
      <c r="EL125" t="s">
        <v>320</v>
      </c>
      <c r="EM125" t="s">
        <v>33</v>
      </c>
      <c r="EO125" t="s">
        <v>3</v>
      </c>
      <c r="EQ125">
        <v>0</v>
      </c>
      <c r="ER125">
        <v>134.18</v>
      </c>
      <c r="ES125">
        <v>0</v>
      </c>
      <c r="ET125">
        <v>0</v>
      </c>
      <c r="EU125">
        <v>0</v>
      </c>
      <c r="EV125">
        <v>134.18</v>
      </c>
      <c r="EW125">
        <v>15.73</v>
      </c>
      <c r="EX125">
        <v>0</v>
      </c>
      <c r="EY125">
        <v>0</v>
      </c>
      <c r="FQ125">
        <v>0</v>
      </c>
      <c r="FR125">
        <f t="shared" si="144"/>
        <v>0</v>
      </c>
      <c r="FS125">
        <v>0</v>
      </c>
      <c r="FX125">
        <v>74</v>
      </c>
      <c r="FY125">
        <v>50</v>
      </c>
      <c r="GA125" t="s">
        <v>3</v>
      </c>
      <c r="GD125">
        <v>0</v>
      </c>
      <c r="GF125">
        <v>-1983226121</v>
      </c>
      <c r="GG125">
        <v>1</v>
      </c>
      <c r="GH125">
        <v>1</v>
      </c>
      <c r="GI125">
        <v>4</v>
      </c>
      <c r="GJ125">
        <v>0</v>
      </c>
      <c r="GK125">
        <f>ROUND(R125*(R12)/100,2)</f>
        <v>0</v>
      </c>
      <c r="GL125">
        <f t="shared" si="145"/>
        <v>0</v>
      </c>
      <c r="GM125">
        <f t="shared" si="146"/>
        <v>392.54</v>
      </c>
      <c r="GN125">
        <f t="shared" si="147"/>
        <v>392.54</v>
      </c>
      <c r="GO125">
        <f t="shared" si="148"/>
        <v>0</v>
      </c>
      <c r="GP125">
        <f t="shared" si="149"/>
        <v>0</v>
      </c>
      <c r="GR125">
        <v>0</v>
      </c>
      <c r="GS125">
        <v>0</v>
      </c>
      <c r="GT125">
        <v>0</v>
      </c>
      <c r="GU125" t="s">
        <v>3</v>
      </c>
      <c r="GV125">
        <f t="shared" si="150"/>
        <v>0</v>
      </c>
      <c r="GW125">
        <v>1</v>
      </c>
      <c r="GX125">
        <f t="shared" si="151"/>
        <v>0</v>
      </c>
      <c r="HA125">
        <v>0</v>
      </c>
      <c r="HB125">
        <v>0</v>
      </c>
      <c r="IK125">
        <v>0</v>
      </c>
    </row>
    <row r="127" spans="1:245" x14ac:dyDescent="0.2">
      <c r="A127" s="2">
        <v>51</v>
      </c>
      <c r="B127" s="2">
        <f>B112</f>
        <v>1</v>
      </c>
      <c r="C127" s="2">
        <f>A112</f>
        <v>4</v>
      </c>
      <c r="D127" s="2">
        <f>ROW(A112)</f>
        <v>112</v>
      </c>
      <c r="E127" s="2"/>
      <c r="F127" s="2" t="str">
        <f>IF(F112&lt;&gt;"",F112,"")</f>
        <v>Новый раздел</v>
      </c>
      <c r="G127" s="2" t="str">
        <f>IF(G112&lt;&gt;"",G112,"")</f>
        <v>2 Сантехнические работы</v>
      </c>
      <c r="H127" s="2">
        <v>0</v>
      </c>
      <c r="I127" s="2"/>
      <c r="J127" s="2"/>
      <c r="K127" s="2"/>
      <c r="L127" s="2"/>
      <c r="M127" s="2"/>
      <c r="N127" s="2"/>
      <c r="O127" s="2">
        <f t="shared" ref="O127:T127" si="152">ROUND(AB127,2)</f>
        <v>229591.84</v>
      </c>
      <c r="P127" s="2">
        <f t="shared" si="152"/>
        <v>221200.91</v>
      </c>
      <c r="Q127" s="2">
        <f t="shared" si="152"/>
        <v>1586.02</v>
      </c>
      <c r="R127" s="2">
        <f t="shared" si="152"/>
        <v>187.62</v>
      </c>
      <c r="S127" s="2">
        <f t="shared" si="152"/>
        <v>6804.91</v>
      </c>
      <c r="T127" s="2">
        <f t="shared" si="152"/>
        <v>0</v>
      </c>
      <c r="U127" s="2">
        <f>AH127</f>
        <v>118.43808</v>
      </c>
      <c r="V127" s="2">
        <f>AI127</f>
        <v>2.2927040000000001</v>
      </c>
      <c r="W127" s="2">
        <f>ROUND(AJ127,2)</f>
        <v>0</v>
      </c>
      <c r="X127" s="2">
        <f>ROUND(AK127,2)</f>
        <v>7440.46</v>
      </c>
      <c r="Y127" s="2">
        <f>ROUND(AL127,2)</f>
        <v>4622.93</v>
      </c>
      <c r="Z127" s="2"/>
      <c r="AA127" s="2"/>
      <c r="AB127" s="2">
        <f>ROUND(SUMIF(AA116:AA125,"=39099382",O116:O125),2)</f>
        <v>229591.84</v>
      </c>
      <c r="AC127" s="2">
        <f>ROUND(SUMIF(AA116:AA125,"=39099382",P116:P125),2)</f>
        <v>221200.91</v>
      </c>
      <c r="AD127" s="2">
        <f>ROUND(SUMIF(AA116:AA125,"=39099382",Q116:Q125),2)</f>
        <v>1586.02</v>
      </c>
      <c r="AE127" s="2">
        <f>ROUND(SUMIF(AA116:AA125,"=39099382",R116:R125),2)</f>
        <v>187.62</v>
      </c>
      <c r="AF127" s="2">
        <f>ROUND(SUMIF(AA116:AA125,"=39099382",S116:S125),2)</f>
        <v>6804.91</v>
      </c>
      <c r="AG127" s="2">
        <f>ROUND(SUMIF(AA116:AA125,"=39099382",T116:T125),2)</f>
        <v>0</v>
      </c>
      <c r="AH127" s="2">
        <f>SUMIF(AA116:AA125,"=39099382",U116:U125)</f>
        <v>118.43808</v>
      </c>
      <c r="AI127" s="2">
        <f>SUMIF(AA116:AA125,"=39099382",V116:V125)</f>
        <v>2.2927040000000001</v>
      </c>
      <c r="AJ127" s="2">
        <f>ROUND(SUMIF(AA116:AA125,"=39099382",W116:W125),2)</f>
        <v>0</v>
      </c>
      <c r="AK127" s="2">
        <f>ROUND(SUMIF(AA116:AA125,"=39099382",X116:X125),2)</f>
        <v>7440.46</v>
      </c>
      <c r="AL127" s="2">
        <f>ROUND(SUMIF(AA116:AA125,"=39099382",Y116:Y125),2)</f>
        <v>4622.93</v>
      </c>
      <c r="AM127" s="2"/>
      <c r="AN127" s="2"/>
      <c r="AO127" s="2">
        <f t="shared" ref="AO127:BC127" si="153">ROUND(BX127,2)</f>
        <v>0</v>
      </c>
      <c r="AP127" s="2">
        <f t="shared" si="153"/>
        <v>0</v>
      </c>
      <c r="AQ127" s="2">
        <f t="shared" si="153"/>
        <v>0</v>
      </c>
      <c r="AR127" s="2">
        <f t="shared" si="153"/>
        <v>241655.23</v>
      </c>
      <c r="AS127" s="2">
        <f t="shared" si="153"/>
        <v>241655.23</v>
      </c>
      <c r="AT127" s="2">
        <f t="shared" si="153"/>
        <v>0</v>
      </c>
      <c r="AU127" s="2">
        <f t="shared" si="153"/>
        <v>0</v>
      </c>
      <c r="AV127" s="2">
        <f t="shared" si="153"/>
        <v>221200.91</v>
      </c>
      <c r="AW127" s="2">
        <f t="shared" si="153"/>
        <v>221200.91</v>
      </c>
      <c r="AX127" s="2">
        <f t="shared" si="153"/>
        <v>0</v>
      </c>
      <c r="AY127" s="2">
        <f t="shared" si="153"/>
        <v>221200.91</v>
      </c>
      <c r="AZ127" s="2">
        <f t="shared" si="153"/>
        <v>0</v>
      </c>
      <c r="BA127" s="2">
        <f t="shared" si="153"/>
        <v>0</v>
      </c>
      <c r="BB127" s="2">
        <f t="shared" si="153"/>
        <v>0</v>
      </c>
      <c r="BC127" s="2">
        <f t="shared" si="153"/>
        <v>0</v>
      </c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>
        <f>ROUND(SUMIF(AA116:AA125,"=39099382",FQ116:FQ125),2)</f>
        <v>0</v>
      </c>
      <c r="BY127" s="2">
        <f>ROUND(SUMIF(AA116:AA125,"=39099382",FR116:FR125),2)</f>
        <v>0</v>
      </c>
      <c r="BZ127" s="2">
        <f>ROUND(SUMIF(AA116:AA125,"=39099382",GL116:GL125),2)</f>
        <v>0</v>
      </c>
      <c r="CA127" s="2">
        <f>ROUND(SUMIF(AA116:AA125,"=39099382",GM116:GM125),2)</f>
        <v>241655.23</v>
      </c>
      <c r="CB127" s="2">
        <f>ROUND(SUMIF(AA116:AA125,"=39099382",GN116:GN125),2)</f>
        <v>241655.23</v>
      </c>
      <c r="CC127" s="2">
        <f>ROUND(SUMIF(AA116:AA125,"=39099382",GO116:GO125),2)</f>
        <v>0</v>
      </c>
      <c r="CD127" s="2">
        <f>ROUND(SUMIF(AA116:AA125,"=39099382",GP116:GP125),2)</f>
        <v>0</v>
      </c>
      <c r="CE127" s="2">
        <f>AC127-BX127</f>
        <v>221200.91</v>
      </c>
      <c r="CF127" s="2">
        <f>AC127-BY127</f>
        <v>221200.91</v>
      </c>
      <c r="CG127" s="2">
        <f>BX127-BZ127</f>
        <v>0</v>
      </c>
      <c r="CH127" s="2">
        <f>AC127-BX127-BY127+BZ127</f>
        <v>221200.91</v>
      </c>
      <c r="CI127" s="2">
        <f>BY127-BZ127</f>
        <v>0</v>
      </c>
      <c r="CJ127" s="2">
        <f>ROUND(SUMIF(AA116:AA125,"=39099382",GX116:GX125),2)</f>
        <v>0</v>
      </c>
      <c r="CK127" s="2">
        <f>ROUND(SUMIF(AA116:AA125,"=39099382",GY116:GY125),2)</f>
        <v>0</v>
      </c>
      <c r="CL127" s="2">
        <f>ROUND(SUMIF(AA116:AA125,"=39099382",GZ116:GZ125),2)</f>
        <v>0</v>
      </c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  <c r="DZ127" s="3"/>
      <c r="EA127" s="3"/>
      <c r="EB127" s="3"/>
      <c r="EC127" s="3"/>
      <c r="ED127" s="3"/>
      <c r="EE127" s="3"/>
      <c r="EF127" s="3"/>
      <c r="EG127" s="3"/>
      <c r="EH127" s="3"/>
      <c r="EI127" s="3"/>
      <c r="EJ127" s="3"/>
      <c r="EK127" s="3"/>
      <c r="EL127" s="3"/>
      <c r="EM127" s="3"/>
      <c r="EN127" s="3"/>
      <c r="EO127" s="3"/>
      <c r="EP127" s="3"/>
      <c r="EQ127" s="3"/>
      <c r="ER127" s="3"/>
      <c r="ES127" s="3"/>
      <c r="ET127" s="3"/>
      <c r="EU127" s="3"/>
      <c r="EV127" s="3"/>
      <c r="EW127" s="3"/>
      <c r="EX127" s="3"/>
      <c r="EY127" s="3"/>
      <c r="EZ127" s="3"/>
      <c r="FA127" s="3"/>
      <c r="FB127" s="3"/>
      <c r="FC127" s="3"/>
      <c r="FD127" s="3"/>
      <c r="FE127" s="3"/>
      <c r="FF127" s="3"/>
      <c r="FG127" s="3"/>
      <c r="FH127" s="3"/>
      <c r="FI127" s="3"/>
      <c r="FJ127" s="3"/>
      <c r="FK127" s="3"/>
      <c r="FL127" s="3"/>
      <c r="FM127" s="3"/>
      <c r="FN127" s="3"/>
      <c r="FO127" s="3"/>
      <c r="FP127" s="3"/>
      <c r="FQ127" s="3"/>
      <c r="FR127" s="3"/>
      <c r="FS127" s="3"/>
      <c r="FT127" s="3"/>
      <c r="FU127" s="3"/>
      <c r="FV127" s="3"/>
      <c r="FW127" s="3"/>
      <c r="FX127" s="3"/>
      <c r="FY127" s="3"/>
      <c r="FZ127" s="3"/>
      <c r="GA127" s="3"/>
      <c r="GB127" s="3"/>
      <c r="GC127" s="3"/>
      <c r="GD127" s="3"/>
      <c r="GE127" s="3"/>
      <c r="GF127" s="3"/>
      <c r="GG127" s="3"/>
      <c r="GH127" s="3"/>
      <c r="GI127" s="3"/>
      <c r="GJ127" s="3"/>
      <c r="GK127" s="3"/>
      <c r="GL127" s="3"/>
      <c r="GM127" s="3"/>
      <c r="GN127" s="3"/>
      <c r="GO127" s="3"/>
      <c r="GP127" s="3"/>
      <c r="GQ127" s="3"/>
      <c r="GR127" s="3"/>
      <c r="GS127" s="3"/>
      <c r="GT127" s="3"/>
      <c r="GU127" s="3"/>
      <c r="GV127" s="3"/>
      <c r="GW127" s="3"/>
      <c r="GX127" s="3">
        <v>0</v>
      </c>
    </row>
    <row r="129" spans="1:23" x14ac:dyDescent="0.2">
      <c r="A129" s="4">
        <v>50</v>
      </c>
      <c r="B129" s="4">
        <v>0</v>
      </c>
      <c r="C129" s="4">
        <v>0</v>
      </c>
      <c r="D129" s="4">
        <v>1</v>
      </c>
      <c r="E129" s="4">
        <v>201</v>
      </c>
      <c r="F129" s="4">
        <f>ROUND(Source!O127,O129)</f>
        <v>229591.84</v>
      </c>
      <c r="G129" s="4" t="s">
        <v>263</v>
      </c>
      <c r="H129" s="4" t="s">
        <v>264</v>
      </c>
      <c r="I129" s="4"/>
      <c r="J129" s="4"/>
      <c r="K129" s="4">
        <v>201</v>
      </c>
      <c r="L129" s="4">
        <v>1</v>
      </c>
      <c r="M129" s="4">
        <v>3</v>
      </c>
      <c r="N129" s="4" t="s">
        <v>3</v>
      </c>
      <c r="O129" s="4">
        <v>2</v>
      </c>
      <c r="P129" s="4"/>
      <c r="Q129" s="4"/>
      <c r="R129" s="4"/>
      <c r="S129" s="4"/>
      <c r="T129" s="4"/>
      <c r="U129" s="4"/>
      <c r="V129" s="4"/>
      <c r="W129" s="4"/>
    </row>
    <row r="130" spans="1:23" x14ac:dyDescent="0.2">
      <c r="A130" s="4">
        <v>50</v>
      </c>
      <c r="B130" s="4">
        <v>0</v>
      </c>
      <c r="C130" s="4">
        <v>0</v>
      </c>
      <c r="D130" s="4">
        <v>1</v>
      </c>
      <c r="E130" s="4">
        <v>202</v>
      </c>
      <c r="F130" s="4">
        <f>ROUND(Source!P127,O130)</f>
        <v>221200.91</v>
      </c>
      <c r="G130" s="4" t="s">
        <v>265</v>
      </c>
      <c r="H130" s="4" t="s">
        <v>266</v>
      </c>
      <c r="I130" s="4"/>
      <c r="J130" s="4"/>
      <c r="K130" s="4">
        <v>202</v>
      </c>
      <c r="L130" s="4">
        <v>2</v>
      </c>
      <c r="M130" s="4">
        <v>3</v>
      </c>
      <c r="N130" s="4" t="s">
        <v>3</v>
      </c>
      <c r="O130" s="4">
        <v>2</v>
      </c>
      <c r="P130" s="4"/>
      <c r="Q130" s="4"/>
      <c r="R130" s="4"/>
      <c r="S130" s="4"/>
      <c r="T130" s="4"/>
      <c r="U130" s="4"/>
      <c r="V130" s="4"/>
      <c r="W130" s="4"/>
    </row>
    <row r="131" spans="1:23" x14ac:dyDescent="0.2">
      <c r="A131" s="4">
        <v>50</v>
      </c>
      <c r="B131" s="4">
        <v>0</v>
      </c>
      <c r="C131" s="4">
        <v>0</v>
      </c>
      <c r="D131" s="4">
        <v>1</v>
      </c>
      <c r="E131" s="4">
        <v>222</v>
      </c>
      <c r="F131" s="4">
        <f>ROUND(Source!AO127,O131)</f>
        <v>0</v>
      </c>
      <c r="G131" s="4" t="s">
        <v>267</v>
      </c>
      <c r="H131" s="4" t="s">
        <v>268</v>
      </c>
      <c r="I131" s="4"/>
      <c r="J131" s="4"/>
      <c r="K131" s="4">
        <v>222</v>
      </c>
      <c r="L131" s="4">
        <v>3</v>
      </c>
      <c r="M131" s="4">
        <v>3</v>
      </c>
      <c r="N131" s="4" t="s">
        <v>3</v>
      </c>
      <c r="O131" s="4">
        <v>2</v>
      </c>
      <c r="P131" s="4"/>
      <c r="Q131" s="4"/>
      <c r="R131" s="4"/>
      <c r="S131" s="4"/>
      <c r="T131" s="4"/>
      <c r="U131" s="4"/>
      <c r="V131" s="4"/>
      <c r="W131" s="4"/>
    </row>
    <row r="132" spans="1:23" x14ac:dyDescent="0.2">
      <c r="A132" s="4">
        <v>50</v>
      </c>
      <c r="B132" s="4">
        <v>0</v>
      </c>
      <c r="C132" s="4">
        <v>0</v>
      </c>
      <c r="D132" s="4">
        <v>1</v>
      </c>
      <c r="E132" s="4">
        <v>225</v>
      </c>
      <c r="F132" s="4">
        <f>ROUND(Source!AV127,O132)</f>
        <v>221200.91</v>
      </c>
      <c r="G132" s="4" t="s">
        <v>269</v>
      </c>
      <c r="H132" s="4" t="s">
        <v>270</v>
      </c>
      <c r="I132" s="4"/>
      <c r="J132" s="4"/>
      <c r="K132" s="4">
        <v>225</v>
      </c>
      <c r="L132" s="4">
        <v>4</v>
      </c>
      <c r="M132" s="4">
        <v>3</v>
      </c>
      <c r="N132" s="4" t="s">
        <v>3</v>
      </c>
      <c r="O132" s="4">
        <v>2</v>
      </c>
      <c r="P132" s="4"/>
      <c r="Q132" s="4"/>
      <c r="R132" s="4"/>
      <c r="S132" s="4"/>
      <c r="T132" s="4"/>
      <c r="U132" s="4"/>
      <c r="V132" s="4"/>
      <c r="W132" s="4"/>
    </row>
    <row r="133" spans="1:23" x14ac:dyDescent="0.2">
      <c r="A133" s="4">
        <v>50</v>
      </c>
      <c r="B133" s="4">
        <v>0</v>
      </c>
      <c r="C133" s="4">
        <v>0</v>
      </c>
      <c r="D133" s="4">
        <v>1</v>
      </c>
      <c r="E133" s="4">
        <v>226</v>
      </c>
      <c r="F133" s="4">
        <f>ROUND(Source!AW127,O133)</f>
        <v>221200.91</v>
      </c>
      <c r="G133" s="4" t="s">
        <v>271</v>
      </c>
      <c r="H133" s="4" t="s">
        <v>272</v>
      </c>
      <c r="I133" s="4"/>
      <c r="J133" s="4"/>
      <c r="K133" s="4">
        <v>226</v>
      </c>
      <c r="L133" s="4">
        <v>5</v>
      </c>
      <c r="M133" s="4">
        <v>3</v>
      </c>
      <c r="N133" s="4" t="s">
        <v>3</v>
      </c>
      <c r="O133" s="4">
        <v>2</v>
      </c>
      <c r="P133" s="4"/>
      <c r="Q133" s="4"/>
      <c r="R133" s="4"/>
      <c r="S133" s="4"/>
      <c r="T133" s="4"/>
      <c r="U133" s="4"/>
      <c r="V133" s="4"/>
      <c r="W133" s="4"/>
    </row>
    <row r="134" spans="1:23" x14ac:dyDescent="0.2">
      <c r="A134" s="4">
        <v>50</v>
      </c>
      <c r="B134" s="4">
        <v>0</v>
      </c>
      <c r="C134" s="4">
        <v>0</v>
      </c>
      <c r="D134" s="4">
        <v>1</v>
      </c>
      <c r="E134" s="4">
        <v>227</v>
      </c>
      <c r="F134" s="4">
        <f>ROUND(Source!AX127,O134)</f>
        <v>0</v>
      </c>
      <c r="G134" s="4" t="s">
        <v>273</v>
      </c>
      <c r="H134" s="4" t="s">
        <v>274</v>
      </c>
      <c r="I134" s="4"/>
      <c r="J134" s="4"/>
      <c r="K134" s="4">
        <v>227</v>
      </c>
      <c r="L134" s="4">
        <v>6</v>
      </c>
      <c r="M134" s="4">
        <v>3</v>
      </c>
      <c r="N134" s="4" t="s">
        <v>3</v>
      </c>
      <c r="O134" s="4">
        <v>2</v>
      </c>
      <c r="P134" s="4"/>
      <c r="Q134" s="4"/>
      <c r="R134" s="4"/>
      <c r="S134" s="4"/>
      <c r="T134" s="4"/>
      <c r="U134" s="4"/>
      <c r="V134" s="4"/>
      <c r="W134" s="4"/>
    </row>
    <row r="135" spans="1:23" x14ac:dyDescent="0.2">
      <c r="A135" s="4">
        <v>50</v>
      </c>
      <c r="B135" s="4">
        <v>0</v>
      </c>
      <c r="C135" s="4">
        <v>0</v>
      </c>
      <c r="D135" s="4">
        <v>1</v>
      </c>
      <c r="E135" s="4">
        <v>228</v>
      </c>
      <c r="F135" s="4">
        <f>ROUND(Source!AY127,O135)</f>
        <v>221200.91</v>
      </c>
      <c r="G135" s="4" t="s">
        <v>275</v>
      </c>
      <c r="H135" s="4" t="s">
        <v>276</v>
      </c>
      <c r="I135" s="4"/>
      <c r="J135" s="4"/>
      <c r="K135" s="4">
        <v>228</v>
      </c>
      <c r="L135" s="4">
        <v>7</v>
      </c>
      <c r="M135" s="4">
        <v>3</v>
      </c>
      <c r="N135" s="4" t="s">
        <v>3</v>
      </c>
      <c r="O135" s="4">
        <v>2</v>
      </c>
      <c r="P135" s="4"/>
      <c r="Q135" s="4"/>
      <c r="R135" s="4"/>
      <c r="S135" s="4"/>
      <c r="T135" s="4"/>
      <c r="U135" s="4"/>
      <c r="V135" s="4"/>
      <c r="W135" s="4"/>
    </row>
    <row r="136" spans="1:23" x14ac:dyDescent="0.2">
      <c r="A136" s="4">
        <v>50</v>
      </c>
      <c r="B136" s="4">
        <v>0</v>
      </c>
      <c r="C136" s="4">
        <v>0</v>
      </c>
      <c r="D136" s="4">
        <v>1</v>
      </c>
      <c r="E136" s="4">
        <v>216</v>
      </c>
      <c r="F136" s="4">
        <f>ROUND(Source!AP127,O136)</f>
        <v>0</v>
      </c>
      <c r="G136" s="4" t="s">
        <v>277</v>
      </c>
      <c r="H136" s="4" t="s">
        <v>278</v>
      </c>
      <c r="I136" s="4"/>
      <c r="J136" s="4"/>
      <c r="K136" s="4">
        <v>216</v>
      </c>
      <c r="L136" s="4">
        <v>8</v>
      </c>
      <c r="M136" s="4">
        <v>3</v>
      </c>
      <c r="N136" s="4" t="s">
        <v>3</v>
      </c>
      <c r="O136" s="4">
        <v>2</v>
      </c>
      <c r="P136" s="4"/>
      <c r="Q136" s="4"/>
      <c r="R136" s="4"/>
      <c r="S136" s="4"/>
      <c r="T136" s="4"/>
      <c r="U136" s="4"/>
      <c r="V136" s="4"/>
      <c r="W136" s="4"/>
    </row>
    <row r="137" spans="1:23" x14ac:dyDescent="0.2">
      <c r="A137" s="4">
        <v>50</v>
      </c>
      <c r="B137" s="4">
        <v>0</v>
      </c>
      <c r="C137" s="4">
        <v>0</v>
      </c>
      <c r="D137" s="4">
        <v>1</v>
      </c>
      <c r="E137" s="4">
        <v>223</v>
      </c>
      <c r="F137" s="4">
        <f>ROUND(Source!AQ127,O137)</f>
        <v>0</v>
      </c>
      <c r="G137" s="4" t="s">
        <v>279</v>
      </c>
      <c r="H137" s="4" t="s">
        <v>280</v>
      </c>
      <c r="I137" s="4"/>
      <c r="J137" s="4"/>
      <c r="K137" s="4">
        <v>223</v>
      </c>
      <c r="L137" s="4">
        <v>9</v>
      </c>
      <c r="M137" s="4">
        <v>3</v>
      </c>
      <c r="N137" s="4" t="s">
        <v>3</v>
      </c>
      <c r="O137" s="4">
        <v>2</v>
      </c>
      <c r="P137" s="4"/>
      <c r="Q137" s="4"/>
      <c r="R137" s="4"/>
      <c r="S137" s="4"/>
      <c r="T137" s="4"/>
      <c r="U137" s="4"/>
      <c r="V137" s="4"/>
      <c r="W137" s="4"/>
    </row>
    <row r="138" spans="1:23" x14ac:dyDescent="0.2">
      <c r="A138" s="4">
        <v>50</v>
      </c>
      <c r="B138" s="4">
        <v>0</v>
      </c>
      <c r="C138" s="4">
        <v>0</v>
      </c>
      <c r="D138" s="4">
        <v>1</v>
      </c>
      <c r="E138" s="4">
        <v>229</v>
      </c>
      <c r="F138" s="4">
        <f>ROUND(Source!AZ127,O138)</f>
        <v>0</v>
      </c>
      <c r="G138" s="4" t="s">
        <v>281</v>
      </c>
      <c r="H138" s="4" t="s">
        <v>282</v>
      </c>
      <c r="I138" s="4"/>
      <c r="J138" s="4"/>
      <c r="K138" s="4">
        <v>229</v>
      </c>
      <c r="L138" s="4">
        <v>10</v>
      </c>
      <c r="M138" s="4">
        <v>3</v>
      </c>
      <c r="N138" s="4" t="s">
        <v>3</v>
      </c>
      <c r="O138" s="4">
        <v>2</v>
      </c>
      <c r="P138" s="4"/>
      <c r="Q138" s="4"/>
      <c r="R138" s="4"/>
      <c r="S138" s="4"/>
      <c r="T138" s="4"/>
      <c r="U138" s="4"/>
      <c r="V138" s="4"/>
      <c r="W138" s="4"/>
    </row>
    <row r="139" spans="1:23" x14ac:dyDescent="0.2">
      <c r="A139" s="4">
        <v>50</v>
      </c>
      <c r="B139" s="4">
        <v>0</v>
      </c>
      <c r="C139" s="4">
        <v>0</v>
      </c>
      <c r="D139" s="4">
        <v>1</v>
      </c>
      <c r="E139" s="4">
        <v>203</v>
      </c>
      <c r="F139" s="4">
        <f>ROUND(Source!Q127,O139)</f>
        <v>1586.02</v>
      </c>
      <c r="G139" s="4" t="s">
        <v>283</v>
      </c>
      <c r="H139" s="4" t="s">
        <v>284</v>
      </c>
      <c r="I139" s="4"/>
      <c r="J139" s="4"/>
      <c r="K139" s="4">
        <v>203</v>
      </c>
      <c r="L139" s="4">
        <v>11</v>
      </c>
      <c r="M139" s="4">
        <v>3</v>
      </c>
      <c r="N139" s="4" t="s">
        <v>3</v>
      </c>
      <c r="O139" s="4">
        <v>2</v>
      </c>
      <c r="P139" s="4"/>
      <c r="Q139" s="4"/>
      <c r="R139" s="4"/>
      <c r="S139" s="4"/>
      <c r="T139" s="4"/>
      <c r="U139" s="4"/>
      <c r="V139" s="4"/>
      <c r="W139" s="4"/>
    </row>
    <row r="140" spans="1:23" x14ac:dyDescent="0.2">
      <c r="A140" s="4">
        <v>50</v>
      </c>
      <c r="B140" s="4">
        <v>0</v>
      </c>
      <c r="C140" s="4">
        <v>0</v>
      </c>
      <c r="D140" s="4">
        <v>1</v>
      </c>
      <c r="E140" s="4">
        <v>231</v>
      </c>
      <c r="F140" s="4">
        <f>ROUND(Source!BB127,O140)</f>
        <v>0</v>
      </c>
      <c r="G140" s="4" t="s">
        <v>285</v>
      </c>
      <c r="H140" s="4" t="s">
        <v>286</v>
      </c>
      <c r="I140" s="4"/>
      <c r="J140" s="4"/>
      <c r="K140" s="4">
        <v>231</v>
      </c>
      <c r="L140" s="4">
        <v>12</v>
      </c>
      <c r="M140" s="4">
        <v>3</v>
      </c>
      <c r="N140" s="4" t="s">
        <v>3</v>
      </c>
      <c r="O140" s="4">
        <v>2</v>
      </c>
      <c r="P140" s="4"/>
      <c r="Q140" s="4"/>
      <c r="R140" s="4"/>
      <c r="S140" s="4"/>
      <c r="T140" s="4"/>
      <c r="U140" s="4"/>
      <c r="V140" s="4"/>
      <c r="W140" s="4"/>
    </row>
    <row r="141" spans="1:23" x14ac:dyDescent="0.2">
      <c r="A141" s="4">
        <v>50</v>
      </c>
      <c r="B141" s="4">
        <v>0</v>
      </c>
      <c r="C141" s="4">
        <v>0</v>
      </c>
      <c r="D141" s="4">
        <v>1</v>
      </c>
      <c r="E141" s="4">
        <v>204</v>
      </c>
      <c r="F141" s="4">
        <f>ROUND(Source!R127,O141)</f>
        <v>187.62</v>
      </c>
      <c r="G141" s="4" t="s">
        <v>287</v>
      </c>
      <c r="H141" s="4" t="s">
        <v>288</v>
      </c>
      <c r="I141" s="4"/>
      <c r="J141" s="4"/>
      <c r="K141" s="4">
        <v>204</v>
      </c>
      <c r="L141" s="4">
        <v>13</v>
      </c>
      <c r="M141" s="4">
        <v>3</v>
      </c>
      <c r="N141" s="4" t="s">
        <v>3</v>
      </c>
      <c r="O141" s="4">
        <v>2</v>
      </c>
      <c r="P141" s="4"/>
      <c r="Q141" s="4"/>
      <c r="R141" s="4"/>
      <c r="S141" s="4"/>
      <c r="T141" s="4"/>
      <c r="U141" s="4"/>
      <c r="V141" s="4"/>
      <c r="W141" s="4"/>
    </row>
    <row r="142" spans="1:23" x14ac:dyDescent="0.2">
      <c r="A142" s="4">
        <v>50</v>
      </c>
      <c r="B142" s="4">
        <v>0</v>
      </c>
      <c r="C142" s="4">
        <v>0</v>
      </c>
      <c r="D142" s="4">
        <v>1</v>
      </c>
      <c r="E142" s="4">
        <v>205</v>
      </c>
      <c r="F142" s="4">
        <f>ROUND(Source!S127,O142)</f>
        <v>6804.91</v>
      </c>
      <c r="G142" s="4" t="s">
        <v>289</v>
      </c>
      <c r="H142" s="4" t="s">
        <v>290</v>
      </c>
      <c r="I142" s="4"/>
      <c r="J142" s="4"/>
      <c r="K142" s="4">
        <v>205</v>
      </c>
      <c r="L142" s="4">
        <v>14</v>
      </c>
      <c r="M142" s="4">
        <v>3</v>
      </c>
      <c r="N142" s="4" t="s">
        <v>3</v>
      </c>
      <c r="O142" s="4">
        <v>2</v>
      </c>
      <c r="P142" s="4"/>
      <c r="Q142" s="4"/>
      <c r="R142" s="4"/>
      <c r="S142" s="4"/>
      <c r="T142" s="4"/>
      <c r="U142" s="4"/>
      <c r="V142" s="4"/>
      <c r="W142" s="4"/>
    </row>
    <row r="143" spans="1:23" x14ac:dyDescent="0.2">
      <c r="A143" s="4">
        <v>50</v>
      </c>
      <c r="B143" s="4">
        <v>0</v>
      </c>
      <c r="C143" s="4">
        <v>0</v>
      </c>
      <c r="D143" s="4">
        <v>1</v>
      </c>
      <c r="E143" s="4">
        <v>232</v>
      </c>
      <c r="F143" s="4">
        <f>ROUND(Source!BC127,O143)</f>
        <v>0</v>
      </c>
      <c r="G143" s="4" t="s">
        <v>291</v>
      </c>
      <c r="H143" s="4" t="s">
        <v>292</v>
      </c>
      <c r="I143" s="4"/>
      <c r="J143" s="4"/>
      <c r="K143" s="4">
        <v>232</v>
      </c>
      <c r="L143" s="4">
        <v>15</v>
      </c>
      <c r="M143" s="4">
        <v>3</v>
      </c>
      <c r="N143" s="4" t="s">
        <v>3</v>
      </c>
      <c r="O143" s="4">
        <v>2</v>
      </c>
      <c r="P143" s="4"/>
      <c r="Q143" s="4"/>
      <c r="R143" s="4"/>
      <c r="S143" s="4"/>
      <c r="T143" s="4"/>
      <c r="U143" s="4"/>
      <c r="V143" s="4"/>
      <c r="W143" s="4"/>
    </row>
    <row r="144" spans="1:23" x14ac:dyDescent="0.2">
      <c r="A144" s="4">
        <v>50</v>
      </c>
      <c r="B144" s="4">
        <v>0</v>
      </c>
      <c r="C144" s="4">
        <v>0</v>
      </c>
      <c r="D144" s="4">
        <v>1</v>
      </c>
      <c r="E144" s="4">
        <v>214</v>
      </c>
      <c r="F144" s="4">
        <f>ROUND(Source!AS127,O144)</f>
        <v>241655.23</v>
      </c>
      <c r="G144" s="4" t="s">
        <v>293</v>
      </c>
      <c r="H144" s="4" t="s">
        <v>294</v>
      </c>
      <c r="I144" s="4"/>
      <c r="J144" s="4"/>
      <c r="K144" s="4">
        <v>214</v>
      </c>
      <c r="L144" s="4">
        <v>16</v>
      </c>
      <c r="M144" s="4">
        <v>3</v>
      </c>
      <c r="N144" s="4" t="s">
        <v>3</v>
      </c>
      <c r="O144" s="4">
        <v>2</v>
      </c>
      <c r="P144" s="4"/>
      <c r="Q144" s="4"/>
      <c r="R144" s="4"/>
      <c r="S144" s="4"/>
      <c r="T144" s="4"/>
      <c r="U144" s="4"/>
      <c r="V144" s="4"/>
      <c r="W144" s="4"/>
    </row>
    <row r="145" spans="1:245" x14ac:dyDescent="0.2">
      <c r="A145" s="4">
        <v>50</v>
      </c>
      <c r="B145" s="4">
        <v>0</v>
      </c>
      <c r="C145" s="4">
        <v>0</v>
      </c>
      <c r="D145" s="4">
        <v>1</v>
      </c>
      <c r="E145" s="4">
        <v>215</v>
      </c>
      <c r="F145" s="4">
        <f>ROUND(Source!AT127,O145)</f>
        <v>0</v>
      </c>
      <c r="G145" s="4" t="s">
        <v>295</v>
      </c>
      <c r="H145" s="4" t="s">
        <v>296</v>
      </c>
      <c r="I145" s="4"/>
      <c r="J145" s="4"/>
      <c r="K145" s="4">
        <v>215</v>
      </c>
      <c r="L145" s="4">
        <v>17</v>
      </c>
      <c r="M145" s="4">
        <v>3</v>
      </c>
      <c r="N145" s="4" t="s">
        <v>3</v>
      </c>
      <c r="O145" s="4">
        <v>2</v>
      </c>
      <c r="P145" s="4"/>
      <c r="Q145" s="4"/>
      <c r="R145" s="4"/>
      <c r="S145" s="4"/>
      <c r="T145" s="4"/>
      <c r="U145" s="4"/>
      <c r="V145" s="4"/>
      <c r="W145" s="4"/>
    </row>
    <row r="146" spans="1:245" x14ac:dyDescent="0.2">
      <c r="A146" s="4">
        <v>50</v>
      </c>
      <c r="B146" s="4">
        <v>0</v>
      </c>
      <c r="C146" s="4">
        <v>0</v>
      </c>
      <c r="D146" s="4">
        <v>1</v>
      </c>
      <c r="E146" s="4">
        <v>217</v>
      </c>
      <c r="F146" s="4">
        <f>ROUND(Source!AU127,O146)</f>
        <v>0</v>
      </c>
      <c r="G146" s="4" t="s">
        <v>297</v>
      </c>
      <c r="H146" s="4" t="s">
        <v>298</v>
      </c>
      <c r="I146" s="4"/>
      <c r="J146" s="4"/>
      <c r="K146" s="4">
        <v>217</v>
      </c>
      <c r="L146" s="4">
        <v>18</v>
      </c>
      <c r="M146" s="4">
        <v>3</v>
      </c>
      <c r="N146" s="4" t="s">
        <v>3</v>
      </c>
      <c r="O146" s="4">
        <v>2</v>
      </c>
      <c r="P146" s="4"/>
      <c r="Q146" s="4"/>
      <c r="R146" s="4"/>
      <c r="S146" s="4"/>
      <c r="T146" s="4"/>
      <c r="U146" s="4"/>
      <c r="V146" s="4"/>
      <c r="W146" s="4"/>
    </row>
    <row r="147" spans="1:245" x14ac:dyDescent="0.2">
      <c r="A147" s="4">
        <v>50</v>
      </c>
      <c r="B147" s="4">
        <v>0</v>
      </c>
      <c r="C147" s="4">
        <v>0</v>
      </c>
      <c r="D147" s="4">
        <v>1</v>
      </c>
      <c r="E147" s="4">
        <v>230</v>
      </c>
      <c r="F147" s="4">
        <f>ROUND(Source!BA127,O147)</f>
        <v>0</v>
      </c>
      <c r="G147" s="4" t="s">
        <v>299</v>
      </c>
      <c r="H147" s="4" t="s">
        <v>300</v>
      </c>
      <c r="I147" s="4"/>
      <c r="J147" s="4"/>
      <c r="K147" s="4">
        <v>230</v>
      </c>
      <c r="L147" s="4">
        <v>19</v>
      </c>
      <c r="M147" s="4">
        <v>3</v>
      </c>
      <c r="N147" s="4" t="s">
        <v>3</v>
      </c>
      <c r="O147" s="4">
        <v>2</v>
      </c>
      <c r="P147" s="4"/>
      <c r="Q147" s="4"/>
      <c r="R147" s="4"/>
      <c r="S147" s="4"/>
      <c r="T147" s="4"/>
      <c r="U147" s="4"/>
      <c r="V147" s="4"/>
      <c r="W147" s="4"/>
    </row>
    <row r="148" spans="1:245" x14ac:dyDescent="0.2">
      <c r="A148" s="4">
        <v>50</v>
      </c>
      <c r="B148" s="4">
        <v>0</v>
      </c>
      <c r="C148" s="4">
        <v>0</v>
      </c>
      <c r="D148" s="4">
        <v>1</v>
      </c>
      <c r="E148" s="4">
        <v>206</v>
      </c>
      <c r="F148" s="4">
        <f>ROUND(Source!T127,O148)</f>
        <v>0</v>
      </c>
      <c r="G148" s="4" t="s">
        <v>301</v>
      </c>
      <c r="H148" s="4" t="s">
        <v>302</v>
      </c>
      <c r="I148" s="4"/>
      <c r="J148" s="4"/>
      <c r="K148" s="4">
        <v>206</v>
      </c>
      <c r="L148" s="4">
        <v>20</v>
      </c>
      <c r="M148" s="4">
        <v>3</v>
      </c>
      <c r="N148" s="4" t="s">
        <v>3</v>
      </c>
      <c r="O148" s="4">
        <v>2</v>
      </c>
      <c r="P148" s="4"/>
      <c r="Q148" s="4"/>
      <c r="R148" s="4"/>
      <c r="S148" s="4"/>
      <c r="T148" s="4"/>
      <c r="U148" s="4"/>
      <c r="V148" s="4"/>
      <c r="W148" s="4"/>
    </row>
    <row r="149" spans="1:245" x14ac:dyDescent="0.2">
      <c r="A149" s="4">
        <v>50</v>
      </c>
      <c r="B149" s="4">
        <v>0</v>
      </c>
      <c r="C149" s="4">
        <v>0</v>
      </c>
      <c r="D149" s="4">
        <v>1</v>
      </c>
      <c r="E149" s="4">
        <v>207</v>
      </c>
      <c r="F149" s="4">
        <f>Source!U127</f>
        <v>118.43808</v>
      </c>
      <c r="G149" s="4" t="s">
        <v>303</v>
      </c>
      <c r="H149" s="4" t="s">
        <v>304</v>
      </c>
      <c r="I149" s="4"/>
      <c r="J149" s="4"/>
      <c r="K149" s="4">
        <v>207</v>
      </c>
      <c r="L149" s="4">
        <v>21</v>
      </c>
      <c r="M149" s="4">
        <v>3</v>
      </c>
      <c r="N149" s="4" t="s">
        <v>3</v>
      </c>
      <c r="O149" s="4">
        <v>-1</v>
      </c>
      <c r="P149" s="4"/>
      <c r="Q149" s="4"/>
      <c r="R149" s="4"/>
      <c r="S149" s="4"/>
      <c r="T149" s="4"/>
      <c r="U149" s="4"/>
      <c r="V149" s="4"/>
      <c r="W149" s="4"/>
    </row>
    <row r="150" spans="1:245" x14ac:dyDescent="0.2">
      <c r="A150" s="4">
        <v>50</v>
      </c>
      <c r="B150" s="4">
        <v>0</v>
      </c>
      <c r="C150" s="4">
        <v>0</v>
      </c>
      <c r="D150" s="4">
        <v>1</v>
      </c>
      <c r="E150" s="4">
        <v>208</v>
      </c>
      <c r="F150" s="4">
        <f>Source!V127</f>
        <v>2.2927040000000001</v>
      </c>
      <c r="G150" s="4" t="s">
        <v>305</v>
      </c>
      <c r="H150" s="4" t="s">
        <v>306</v>
      </c>
      <c r="I150" s="4"/>
      <c r="J150" s="4"/>
      <c r="K150" s="4">
        <v>208</v>
      </c>
      <c r="L150" s="4">
        <v>22</v>
      </c>
      <c r="M150" s="4">
        <v>3</v>
      </c>
      <c r="N150" s="4" t="s">
        <v>3</v>
      </c>
      <c r="O150" s="4">
        <v>-1</v>
      </c>
      <c r="P150" s="4"/>
      <c r="Q150" s="4"/>
      <c r="R150" s="4"/>
      <c r="S150" s="4"/>
      <c r="T150" s="4"/>
      <c r="U150" s="4"/>
      <c r="V150" s="4"/>
      <c r="W150" s="4"/>
    </row>
    <row r="151" spans="1:245" x14ac:dyDescent="0.2">
      <c r="A151" s="4">
        <v>50</v>
      </c>
      <c r="B151" s="4">
        <v>0</v>
      </c>
      <c r="C151" s="4">
        <v>0</v>
      </c>
      <c r="D151" s="4">
        <v>1</v>
      </c>
      <c r="E151" s="4">
        <v>209</v>
      </c>
      <c r="F151" s="4">
        <f>ROUND(Source!W127,O151)</f>
        <v>0</v>
      </c>
      <c r="G151" s="4" t="s">
        <v>307</v>
      </c>
      <c r="H151" s="4" t="s">
        <v>308</v>
      </c>
      <c r="I151" s="4"/>
      <c r="J151" s="4"/>
      <c r="K151" s="4">
        <v>209</v>
      </c>
      <c r="L151" s="4">
        <v>23</v>
      </c>
      <c r="M151" s="4">
        <v>3</v>
      </c>
      <c r="N151" s="4" t="s">
        <v>3</v>
      </c>
      <c r="O151" s="4">
        <v>2</v>
      </c>
      <c r="P151" s="4"/>
      <c r="Q151" s="4"/>
      <c r="R151" s="4"/>
      <c r="S151" s="4"/>
      <c r="T151" s="4"/>
      <c r="U151" s="4"/>
      <c r="V151" s="4"/>
      <c r="W151" s="4"/>
    </row>
    <row r="152" spans="1:245" x14ac:dyDescent="0.2">
      <c r="A152" s="4">
        <v>50</v>
      </c>
      <c r="B152" s="4">
        <v>0</v>
      </c>
      <c r="C152" s="4">
        <v>0</v>
      </c>
      <c r="D152" s="4">
        <v>1</v>
      </c>
      <c r="E152" s="4">
        <v>210</v>
      </c>
      <c r="F152" s="4">
        <f>ROUND(Source!X127,O152)</f>
        <v>7440.46</v>
      </c>
      <c r="G152" s="4" t="s">
        <v>309</v>
      </c>
      <c r="H152" s="4" t="s">
        <v>310</v>
      </c>
      <c r="I152" s="4"/>
      <c r="J152" s="4"/>
      <c r="K152" s="4">
        <v>210</v>
      </c>
      <c r="L152" s="4">
        <v>24</v>
      </c>
      <c r="M152" s="4">
        <v>3</v>
      </c>
      <c r="N152" s="4" t="s">
        <v>3</v>
      </c>
      <c r="O152" s="4">
        <v>2</v>
      </c>
      <c r="P152" s="4"/>
      <c r="Q152" s="4"/>
      <c r="R152" s="4"/>
      <c r="S152" s="4"/>
      <c r="T152" s="4"/>
      <c r="U152" s="4"/>
      <c r="V152" s="4"/>
      <c r="W152" s="4"/>
    </row>
    <row r="153" spans="1:245" x14ac:dyDescent="0.2">
      <c r="A153" s="4">
        <v>50</v>
      </c>
      <c r="B153" s="4">
        <v>0</v>
      </c>
      <c r="C153" s="4">
        <v>0</v>
      </c>
      <c r="D153" s="4">
        <v>1</v>
      </c>
      <c r="E153" s="4">
        <v>211</v>
      </c>
      <c r="F153" s="4">
        <f>ROUND(Source!Y127,O153)</f>
        <v>4622.93</v>
      </c>
      <c r="G153" s="4" t="s">
        <v>311</v>
      </c>
      <c r="H153" s="4" t="s">
        <v>312</v>
      </c>
      <c r="I153" s="4"/>
      <c r="J153" s="4"/>
      <c r="K153" s="4">
        <v>211</v>
      </c>
      <c r="L153" s="4">
        <v>25</v>
      </c>
      <c r="M153" s="4">
        <v>3</v>
      </c>
      <c r="N153" s="4" t="s">
        <v>3</v>
      </c>
      <c r="O153" s="4">
        <v>2</v>
      </c>
      <c r="P153" s="4"/>
      <c r="Q153" s="4"/>
      <c r="R153" s="4"/>
      <c r="S153" s="4"/>
      <c r="T153" s="4"/>
      <c r="U153" s="4"/>
      <c r="V153" s="4"/>
      <c r="W153" s="4"/>
    </row>
    <row r="154" spans="1:245" x14ac:dyDescent="0.2">
      <c r="A154" s="4">
        <v>50</v>
      </c>
      <c r="B154" s="4">
        <v>0</v>
      </c>
      <c r="C154" s="4">
        <v>0</v>
      </c>
      <c r="D154" s="4">
        <v>1</v>
      </c>
      <c r="E154" s="4">
        <v>224</v>
      </c>
      <c r="F154" s="4">
        <f>ROUND(Source!AR127,O154)</f>
        <v>241655.23</v>
      </c>
      <c r="G154" s="4" t="s">
        <v>313</v>
      </c>
      <c r="H154" s="4" t="s">
        <v>314</v>
      </c>
      <c r="I154" s="4"/>
      <c r="J154" s="4"/>
      <c r="K154" s="4">
        <v>224</v>
      </c>
      <c r="L154" s="4">
        <v>26</v>
      </c>
      <c r="M154" s="4">
        <v>3</v>
      </c>
      <c r="N154" s="4" t="s">
        <v>3</v>
      </c>
      <c r="O154" s="4">
        <v>2</v>
      </c>
      <c r="P154" s="4"/>
      <c r="Q154" s="4"/>
      <c r="R154" s="4"/>
      <c r="S154" s="4"/>
      <c r="T154" s="4"/>
      <c r="U154" s="4"/>
      <c r="V154" s="4"/>
      <c r="W154" s="4"/>
    </row>
    <row r="156" spans="1:245" x14ac:dyDescent="0.2">
      <c r="A156" s="1">
        <v>4</v>
      </c>
      <c r="B156" s="1">
        <v>1</v>
      </c>
      <c r="C156" s="1"/>
      <c r="D156" s="1">
        <f>ROW(A199)</f>
        <v>199</v>
      </c>
      <c r="E156" s="1"/>
      <c r="F156" s="1" t="s">
        <v>12</v>
      </c>
      <c r="G156" s="1" t="s">
        <v>362</v>
      </c>
      <c r="H156" s="1" t="s">
        <v>3</v>
      </c>
      <c r="I156" s="1">
        <v>0</v>
      </c>
      <c r="J156" s="1"/>
      <c r="K156" s="1">
        <v>-1</v>
      </c>
      <c r="L156" s="1"/>
      <c r="M156" s="1"/>
      <c r="N156" s="1"/>
      <c r="O156" s="1"/>
      <c r="P156" s="1"/>
      <c r="Q156" s="1"/>
      <c r="R156" s="1"/>
      <c r="S156" s="1"/>
      <c r="T156" s="1"/>
      <c r="U156" s="1" t="s">
        <v>3</v>
      </c>
      <c r="V156" s="1">
        <v>0</v>
      </c>
      <c r="W156" s="1"/>
      <c r="X156" s="1"/>
      <c r="Y156" s="1"/>
      <c r="Z156" s="1"/>
      <c r="AA156" s="1"/>
      <c r="AB156" s="1" t="s">
        <v>3</v>
      </c>
      <c r="AC156" s="1" t="s">
        <v>3</v>
      </c>
      <c r="AD156" s="1" t="s">
        <v>3</v>
      </c>
      <c r="AE156" s="1" t="s">
        <v>3</v>
      </c>
      <c r="AF156" s="1" t="s">
        <v>3</v>
      </c>
      <c r="AG156" s="1" t="s">
        <v>3</v>
      </c>
      <c r="AH156" s="1"/>
      <c r="AI156" s="1"/>
      <c r="AJ156" s="1"/>
      <c r="AK156" s="1"/>
      <c r="AL156" s="1"/>
      <c r="AM156" s="1"/>
      <c r="AN156" s="1"/>
      <c r="AO156" s="1"/>
      <c r="AP156" s="1" t="s">
        <v>3</v>
      </c>
      <c r="AQ156" s="1" t="s">
        <v>3</v>
      </c>
      <c r="AR156" s="1" t="s">
        <v>3</v>
      </c>
      <c r="AS156" s="1"/>
      <c r="AT156" s="1"/>
      <c r="AU156" s="1"/>
      <c r="AV156" s="1"/>
      <c r="AW156" s="1"/>
      <c r="AX156" s="1"/>
      <c r="AY156" s="1"/>
      <c r="AZ156" s="1" t="s">
        <v>3</v>
      </c>
      <c r="BA156" s="1"/>
      <c r="BB156" s="1" t="s">
        <v>3</v>
      </c>
      <c r="BC156" s="1" t="s">
        <v>3</v>
      </c>
      <c r="BD156" s="1" t="s">
        <v>3</v>
      </c>
      <c r="BE156" s="1" t="s">
        <v>3</v>
      </c>
      <c r="BF156" s="1" t="s">
        <v>3</v>
      </c>
      <c r="BG156" s="1" t="s">
        <v>3</v>
      </c>
      <c r="BH156" s="1" t="s">
        <v>3</v>
      </c>
      <c r="BI156" s="1" t="s">
        <v>3</v>
      </c>
      <c r="BJ156" s="1" t="s">
        <v>3</v>
      </c>
      <c r="BK156" s="1" t="s">
        <v>3</v>
      </c>
      <c r="BL156" s="1" t="s">
        <v>3</v>
      </c>
      <c r="BM156" s="1" t="s">
        <v>3</v>
      </c>
      <c r="BN156" s="1" t="s">
        <v>3</v>
      </c>
      <c r="BO156" s="1" t="s">
        <v>3</v>
      </c>
      <c r="BP156" s="1" t="s">
        <v>3</v>
      </c>
      <c r="BQ156" s="1"/>
      <c r="BR156" s="1"/>
      <c r="BS156" s="1"/>
      <c r="BT156" s="1"/>
      <c r="BU156" s="1"/>
      <c r="BV156" s="1"/>
      <c r="BW156" s="1"/>
      <c r="BX156" s="1">
        <v>0</v>
      </c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>
        <v>0</v>
      </c>
    </row>
    <row r="158" spans="1:245" x14ac:dyDescent="0.2">
      <c r="A158" s="2">
        <v>52</v>
      </c>
      <c r="B158" s="2">
        <f t="shared" ref="B158:G158" si="154">B199</f>
        <v>1</v>
      </c>
      <c r="C158" s="2">
        <f t="shared" si="154"/>
        <v>4</v>
      </c>
      <c r="D158" s="2">
        <f t="shared" si="154"/>
        <v>156</v>
      </c>
      <c r="E158" s="2">
        <f t="shared" si="154"/>
        <v>0</v>
      </c>
      <c r="F158" s="2" t="str">
        <f t="shared" si="154"/>
        <v>Новый раздел</v>
      </c>
      <c r="G158" s="2" t="str">
        <f t="shared" si="154"/>
        <v>3 Электромонтажные работы</v>
      </c>
      <c r="H158" s="2"/>
      <c r="I158" s="2"/>
      <c r="J158" s="2"/>
      <c r="K158" s="2"/>
      <c r="L158" s="2"/>
      <c r="M158" s="2"/>
      <c r="N158" s="2"/>
      <c r="O158" s="2">
        <f t="shared" ref="O158:AT158" si="155">O199</f>
        <v>711553.49</v>
      </c>
      <c r="P158" s="2">
        <f t="shared" si="155"/>
        <v>640728.06999999995</v>
      </c>
      <c r="Q158" s="2">
        <f t="shared" si="155"/>
        <v>2657.9</v>
      </c>
      <c r="R158" s="2">
        <f t="shared" si="155"/>
        <v>324.61</v>
      </c>
      <c r="S158" s="2">
        <f t="shared" si="155"/>
        <v>68167.520000000004</v>
      </c>
      <c r="T158" s="2">
        <f t="shared" si="155"/>
        <v>0</v>
      </c>
      <c r="U158" s="2">
        <f t="shared" si="155"/>
        <v>677.7841699999999</v>
      </c>
      <c r="V158" s="2">
        <f t="shared" si="155"/>
        <v>3.95499</v>
      </c>
      <c r="W158" s="2">
        <f t="shared" si="155"/>
        <v>0</v>
      </c>
      <c r="X158" s="2">
        <f t="shared" si="155"/>
        <v>53965.32</v>
      </c>
      <c r="Y158" s="2">
        <f t="shared" si="155"/>
        <v>35540.17</v>
      </c>
      <c r="Z158" s="2">
        <f t="shared" si="155"/>
        <v>0</v>
      </c>
      <c r="AA158" s="2">
        <f t="shared" si="155"/>
        <v>0</v>
      </c>
      <c r="AB158" s="2">
        <f t="shared" si="155"/>
        <v>711553.49</v>
      </c>
      <c r="AC158" s="2">
        <f t="shared" si="155"/>
        <v>640728.06999999995</v>
      </c>
      <c r="AD158" s="2">
        <f t="shared" si="155"/>
        <v>2657.9</v>
      </c>
      <c r="AE158" s="2">
        <f t="shared" si="155"/>
        <v>324.61</v>
      </c>
      <c r="AF158" s="2">
        <f t="shared" si="155"/>
        <v>68167.520000000004</v>
      </c>
      <c r="AG158" s="2">
        <f t="shared" si="155"/>
        <v>0</v>
      </c>
      <c r="AH158" s="2">
        <f t="shared" si="155"/>
        <v>677.7841699999999</v>
      </c>
      <c r="AI158" s="2">
        <f t="shared" si="155"/>
        <v>3.95499</v>
      </c>
      <c r="AJ158" s="2">
        <f t="shared" si="155"/>
        <v>0</v>
      </c>
      <c r="AK158" s="2">
        <f t="shared" si="155"/>
        <v>53965.32</v>
      </c>
      <c r="AL158" s="2">
        <f t="shared" si="155"/>
        <v>35540.17</v>
      </c>
      <c r="AM158" s="2">
        <f t="shared" si="155"/>
        <v>0</v>
      </c>
      <c r="AN158" s="2">
        <f t="shared" si="155"/>
        <v>0</v>
      </c>
      <c r="AO158" s="2">
        <f t="shared" si="155"/>
        <v>0</v>
      </c>
      <c r="AP158" s="2">
        <f t="shared" si="155"/>
        <v>0</v>
      </c>
      <c r="AQ158" s="2">
        <f t="shared" si="155"/>
        <v>0</v>
      </c>
      <c r="AR158" s="2">
        <f t="shared" si="155"/>
        <v>801058.98</v>
      </c>
      <c r="AS158" s="2">
        <f t="shared" si="155"/>
        <v>1819.82</v>
      </c>
      <c r="AT158" s="2">
        <f t="shared" si="155"/>
        <v>727792.52</v>
      </c>
      <c r="AU158" s="2">
        <f t="shared" ref="AU158:BZ158" si="156">AU199</f>
        <v>71446.64</v>
      </c>
      <c r="AV158" s="2">
        <f t="shared" si="156"/>
        <v>640728.06999999995</v>
      </c>
      <c r="AW158" s="2">
        <f t="shared" si="156"/>
        <v>640728.06999999995</v>
      </c>
      <c r="AX158" s="2">
        <f t="shared" si="156"/>
        <v>0</v>
      </c>
      <c r="AY158" s="2">
        <f t="shared" si="156"/>
        <v>640728.06999999995</v>
      </c>
      <c r="AZ158" s="2">
        <f t="shared" si="156"/>
        <v>0</v>
      </c>
      <c r="BA158" s="2">
        <f t="shared" si="156"/>
        <v>0</v>
      </c>
      <c r="BB158" s="2">
        <f t="shared" si="156"/>
        <v>0</v>
      </c>
      <c r="BC158" s="2">
        <f t="shared" si="156"/>
        <v>0</v>
      </c>
      <c r="BD158" s="2">
        <f t="shared" si="156"/>
        <v>0</v>
      </c>
      <c r="BE158" s="2">
        <f t="shared" si="156"/>
        <v>0</v>
      </c>
      <c r="BF158" s="2">
        <f t="shared" si="156"/>
        <v>0</v>
      </c>
      <c r="BG158" s="2">
        <f t="shared" si="156"/>
        <v>0</v>
      </c>
      <c r="BH158" s="2">
        <f t="shared" si="156"/>
        <v>0</v>
      </c>
      <c r="BI158" s="2">
        <f t="shared" si="156"/>
        <v>0</v>
      </c>
      <c r="BJ158" s="2">
        <f t="shared" si="156"/>
        <v>0</v>
      </c>
      <c r="BK158" s="2">
        <f t="shared" si="156"/>
        <v>0</v>
      </c>
      <c r="BL158" s="2">
        <f t="shared" si="156"/>
        <v>0</v>
      </c>
      <c r="BM158" s="2">
        <f t="shared" si="156"/>
        <v>0</v>
      </c>
      <c r="BN158" s="2">
        <f t="shared" si="156"/>
        <v>0</v>
      </c>
      <c r="BO158" s="2">
        <f t="shared" si="156"/>
        <v>0</v>
      </c>
      <c r="BP158" s="2">
        <f t="shared" si="156"/>
        <v>0</v>
      </c>
      <c r="BQ158" s="2">
        <f t="shared" si="156"/>
        <v>0</v>
      </c>
      <c r="BR158" s="2">
        <f t="shared" si="156"/>
        <v>0</v>
      </c>
      <c r="BS158" s="2">
        <f t="shared" si="156"/>
        <v>0</v>
      </c>
      <c r="BT158" s="2">
        <f t="shared" si="156"/>
        <v>0</v>
      </c>
      <c r="BU158" s="2">
        <f t="shared" si="156"/>
        <v>0</v>
      </c>
      <c r="BV158" s="2">
        <f t="shared" si="156"/>
        <v>0</v>
      </c>
      <c r="BW158" s="2">
        <f t="shared" si="156"/>
        <v>0</v>
      </c>
      <c r="BX158" s="2">
        <f t="shared" si="156"/>
        <v>0</v>
      </c>
      <c r="BY158" s="2">
        <f t="shared" si="156"/>
        <v>0</v>
      </c>
      <c r="BZ158" s="2">
        <f t="shared" si="156"/>
        <v>0</v>
      </c>
      <c r="CA158" s="2">
        <f t="shared" ref="CA158:DF158" si="157">CA199</f>
        <v>801058.98</v>
      </c>
      <c r="CB158" s="2">
        <f t="shared" si="157"/>
        <v>1819.82</v>
      </c>
      <c r="CC158" s="2">
        <f t="shared" si="157"/>
        <v>727792.52</v>
      </c>
      <c r="CD158" s="2">
        <f t="shared" si="157"/>
        <v>71446.64</v>
      </c>
      <c r="CE158" s="2">
        <f t="shared" si="157"/>
        <v>640728.06999999995</v>
      </c>
      <c r="CF158" s="2">
        <f t="shared" si="157"/>
        <v>640728.06999999995</v>
      </c>
      <c r="CG158" s="2">
        <f t="shared" si="157"/>
        <v>0</v>
      </c>
      <c r="CH158" s="2">
        <f t="shared" si="157"/>
        <v>640728.06999999995</v>
      </c>
      <c r="CI158" s="2">
        <f t="shared" si="157"/>
        <v>0</v>
      </c>
      <c r="CJ158" s="2">
        <f t="shared" si="157"/>
        <v>0</v>
      </c>
      <c r="CK158" s="2">
        <f t="shared" si="157"/>
        <v>0</v>
      </c>
      <c r="CL158" s="2">
        <f t="shared" si="157"/>
        <v>0</v>
      </c>
      <c r="CM158" s="2">
        <f t="shared" si="157"/>
        <v>0</v>
      </c>
      <c r="CN158" s="2">
        <f t="shared" si="157"/>
        <v>0</v>
      </c>
      <c r="CO158" s="2">
        <f t="shared" si="157"/>
        <v>0</v>
      </c>
      <c r="CP158" s="2">
        <f t="shared" si="157"/>
        <v>0</v>
      </c>
      <c r="CQ158" s="2">
        <f t="shared" si="157"/>
        <v>0</v>
      </c>
      <c r="CR158" s="2">
        <f t="shared" si="157"/>
        <v>0</v>
      </c>
      <c r="CS158" s="2">
        <f t="shared" si="157"/>
        <v>0</v>
      </c>
      <c r="CT158" s="2">
        <f t="shared" si="157"/>
        <v>0</v>
      </c>
      <c r="CU158" s="2">
        <f t="shared" si="157"/>
        <v>0</v>
      </c>
      <c r="CV158" s="2">
        <f t="shared" si="157"/>
        <v>0</v>
      </c>
      <c r="CW158" s="2">
        <f t="shared" si="157"/>
        <v>0</v>
      </c>
      <c r="CX158" s="2">
        <f t="shared" si="157"/>
        <v>0</v>
      </c>
      <c r="CY158" s="2">
        <f t="shared" si="157"/>
        <v>0</v>
      </c>
      <c r="CZ158" s="2">
        <f t="shared" si="157"/>
        <v>0</v>
      </c>
      <c r="DA158" s="2">
        <f t="shared" si="157"/>
        <v>0</v>
      </c>
      <c r="DB158" s="2">
        <f t="shared" si="157"/>
        <v>0</v>
      </c>
      <c r="DC158" s="2">
        <f t="shared" si="157"/>
        <v>0</v>
      </c>
      <c r="DD158" s="2">
        <f t="shared" si="157"/>
        <v>0</v>
      </c>
      <c r="DE158" s="2">
        <f t="shared" si="157"/>
        <v>0</v>
      </c>
      <c r="DF158" s="2">
        <f t="shared" si="157"/>
        <v>0</v>
      </c>
      <c r="DG158" s="3">
        <f t="shared" ref="DG158:EL158" si="158">DG199</f>
        <v>0</v>
      </c>
      <c r="DH158" s="3">
        <f t="shared" si="158"/>
        <v>0</v>
      </c>
      <c r="DI158" s="3">
        <f t="shared" si="158"/>
        <v>0</v>
      </c>
      <c r="DJ158" s="3">
        <f t="shared" si="158"/>
        <v>0</v>
      </c>
      <c r="DK158" s="3">
        <f t="shared" si="158"/>
        <v>0</v>
      </c>
      <c r="DL158" s="3">
        <f t="shared" si="158"/>
        <v>0</v>
      </c>
      <c r="DM158" s="3">
        <f t="shared" si="158"/>
        <v>0</v>
      </c>
      <c r="DN158" s="3">
        <f t="shared" si="158"/>
        <v>0</v>
      </c>
      <c r="DO158" s="3">
        <f t="shared" si="158"/>
        <v>0</v>
      </c>
      <c r="DP158" s="3">
        <f t="shared" si="158"/>
        <v>0</v>
      </c>
      <c r="DQ158" s="3">
        <f t="shared" si="158"/>
        <v>0</v>
      </c>
      <c r="DR158" s="3">
        <f t="shared" si="158"/>
        <v>0</v>
      </c>
      <c r="DS158" s="3">
        <f t="shared" si="158"/>
        <v>0</v>
      </c>
      <c r="DT158" s="3">
        <f t="shared" si="158"/>
        <v>0</v>
      </c>
      <c r="DU158" s="3">
        <f t="shared" si="158"/>
        <v>0</v>
      </c>
      <c r="DV158" s="3">
        <f t="shared" si="158"/>
        <v>0</v>
      </c>
      <c r="DW158" s="3">
        <f t="shared" si="158"/>
        <v>0</v>
      </c>
      <c r="DX158" s="3">
        <f t="shared" si="158"/>
        <v>0</v>
      </c>
      <c r="DY158" s="3">
        <f t="shared" si="158"/>
        <v>0</v>
      </c>
      <c r="DZ158" s="3">
        <f t="shared" si="158"/>
        <v>0</v>
      </c>
      <c r="EA158" s="3">
        <f t="shared" si="158"/>
        <v>0</v>
      </c>
      <c r="EB158" s="3">
        <f t="shared" si="158"/>
        <v>0</v>
      </c>
      <c r="EC158" s="3">
        <f t="shared" si="158"/>
        <v>0</v>
      </c>
      <c r="ED158" s="3">
        <f t="shared" si="158"/>
        <v>0</v>
      </c>
      <c r="EE158" s="3">
        <f t="shared" si="158"/>
        <v>0</v>
      </c>
      <c r="EF158" s="3">
        <f t="shared" si="158"/>
        <v>0</v>
      </c>
      <c r="EG158" s="3">
        <f t="shared" si="158"/>
        <v>0</v>
      </c>
      <c r="EH158" s="3">
        <f t="shared" si="158"/>
        <v>0</v>
      </c>
      <c r="EI158" s="3">
        <f t="shared" si="158"/>
        <v>0</v>
      </c>
      <c r="EJ158" s="3">
        <f t="shared" si="158"/>
        <v>0</v>
      </c>
      <c r="EK158" s="3">
        <f t="shared" si="158"/>
        <v>0</v>
      </c>
      <c r="EL158" s="3">
        <f t="shared" si="158"/>
        <v>0</v>
      </c>
      <c r="EM158" s="3">
        <f t="shared" ref="EM158:FR158" si="159">EM199</f>
        <v>0</v>
      </c>
      <c r="EN158" s="3">
        <f t="shared" si="159"/>
        <v>0</v>
      </c>
      <c r="EO158" s="3">
        <f t="shared" si="159"/>
        <v>0</v>
      </c>
      <c r="EP158" s="3">
        <f t="shared" si="159"/>
        <v>0</v>
      </c>
      <c r="EQ158" s="3">
        <f t="shared" si="159"/>
        <v>0</v>
      </c>
      <c r="ER158" s="3">
        <f t="shared" si="159"/>
        <v>0</v>
      </c>
      <c r="ES158" s="3">
        <f t="shared" si="159"/>
        <v>0</v>
      </c>
      <c r="ET158" s="3">
        <f t="shared" si="159"/>
        <v>0</v>
      </c>
      <c r="EU158" s="3">
        <f t="shared" si="159"/>
        <v>0</v>
      </c>
      <c r="EV158" s="3">
        <f t="shared" si="159"/>
        <v>0</v>
      </c>
      <c r="EW158" s="3">
        <f t="shared" si="159"/>
        <v>0</v>
      </c>
      <c r="EX158" s="3">
        <f t="shared" si="159"/>
        <v>0</v>
      </c>
      <c r="EY158" s="3">
        <f t="shared" si="159"/>
        <v>0</v>
      </c>
      <c r="EZ158" s="3">
        <f t="shared" si="159"/>
        <v>0</v>
      </c>
      <c r="FA158" s="3">
        <f t="shared" si="159"/>
        <v>0</v>
      </c>
      <c r="FB158" s="3">
        <f t="shared" si="159"/>
        <v>0</v>
      </c>
      <c r="FC158" s="3">
        <f t="shared" si="159"/>
        <v>0</v>
      </c>
      <c r="FD158" s="3">
        <f t="shared" si="159"/>
        <v>0</v>
      </c>
      <c r="FE158" s="3">
        <f t="shared" si="159"/>
        <v>0</v>
      </c>
      <c r="FF158" s="3">
        <f t="shared" si="159"/>
        <v>0</v>
      </c>
      <c r="FG158" s="3">
        <f t="shared" si="159"/>
        <v>0</v>
      </c>
      <c r="FH158" s="3">
        <f t="shared" si="159"/>
        <v>0</v>
      </c>
      <c r="FI158" s="3">
        <f t="shared" si="159"/>
        <v>0</v>
      </c>
      <c r="FJ158" s="3">
        <f t="shared" si="159"/>
        <v>0</v>
      </c>
      <c r="FK158" s="3">
        <f t="shared" si="159"/>
        <v>0</v>
      </c>
      <c r="FL158" s="3">
        <f t="shared" si="159"/>
        <v>0</v>
      </c>
      <c r="FM158" s="3">
        <f t="shared" si="159"/>
        <v>0</v>
      </c>
      <c r="FN158" s="3">
        <f t="shared" si="159"/>
        <v>0</v>
      </c>
      <c r="FO158" s="3">
        <f t="shared" si="159"/>
        <v>0</v>
      </c>
      <c r="FP158" s="3">
        <f t="shared" si="159"/>
        <v>0</v>
      </c>
      <c r="FQ158" s="3">
        <f t="shared" si="159"/>
        <v>0</v>
      </c>
      <c r="FR158" s="3">
        <f t="shared" si="159"/>
        <v>0</v>
      </c>
      <c r="FS158" s="3">
        <f t="shared" ref="FS158:GX158" si="160">FS199</f>
        <v>0</v>
      </c>
      <c r="FT158" s="3">
        <f t="shared" si="160"/>
        <v>0</v>
      </c>
      <c r="FU158" s="3">
        <f t="shared" si="160"/>
        <v>0</v>
      </c>
      <c r="FV158" s="3">
        <f t="shared" si="160"/>
        <v>0</v>
      </c>
      <c r="FW158" s="3">
        <f t="shared" si="160"/>
        <v>0</v>
      </c>
      <c r="FX158" s="3">
        <f t="shared" si="160"/>
        <v>0</v>
      </c>
      <c r="FY158" s="3">
        <f t="shared" si="160"/>
        <v>0</v>
      </c>
      <c r="FZ158" s="3">
        <f t="shared" si="160"/>
        <v>0</v>
      </c>
      <c r="GA158" s="3">
        <f t="shared" si="160"/>
        <v>0</v>
      </c>
      <c r="GB158" s="3">
        <f t="shared" si="160"/>
        <v>0</v>
      </c>
      <c r="GC158" s="3">
        <f t="shared" si="160"/>
        <v>0</v>
      </c>
      <c r="GD158" s="3">
        <f t="shared" si="160"/>
        <v>0</v>
      </c>
      <c r="GE158" s="3">
        <f t="shared" si="160"/>
        <v>0</v>
      </c>
      <c r="GF158" s="3">
        <f t="shared" si="160"/>
        <v>0</v>
      </c>
      <c r="GG158" s="3">
        <f t="shared" si="160"/>
        <v>0</v>
      </c>
      <c r="GH158" s="3">
        <f t="shared" si="160"/>
        <v>0</v>
      </c>
      <c r="GI158" s="3">
        <f t="shared" si="160"/>
        <v>0</v>
      </c>
      <c r="GJ158" s="3">
        <f t="shared" si="160"/>
        <v>0</v>
      </c>
      <c r="GK158" s="3">
        <f t="shared" si="160"/>
        <v>0</v>
      </c>
      <c r="GL158" s="3">
        <f t="shared" si="160"/>
        <v>0</v>
      </c>
      <c r="GM158" s="3">
        <f t="shared" si="160"/>
        <v>0</v>
      </c>
      <c r="GN158" s="3">
        <f t="shared" si="160"/>
        <v>0</v>
      </c>
      <c r="GO158" s="3">
        <f t="shared" si="160"/>
        <v>0</v>
      </c>
      <c r="GP158" s="3">
        <f t="shared" si="160"/>
        <v>0</v>
      </c>
      <c r="GQ158" s="3">
        <f t="shared" si="160"/>
        <v>0</v>
      </c>
      <c r="GR158" s="3">
        <f t="shared" si="160"/>
        <v>0</v>
      </c>
      <c r="GS158" s="3">
        <f t="shared" si="160"/>
        <v>0</v>
      </c>
      <c r="GT158" s="3">
        <f t="shared" si="160"/>
        <v>0</v>
      </c>
      <c r="GU158" s="3">
        <f t="shared" si="160"/>
        <v>0</v>
      </c>
      <c r="GV158" s="3">
        <f t="shared" si="160"/>
        <v>0</v>
      </c>
      <c r="GW158" s="3">
        <f t="shared" si="160"/>
        <v>0</v>
      </c>
      <c r="GX158" s="3">
        <f t="shared" si="160"/>
        <v>0</v>
      </c>
    </row>
    <row r="160" spans="1:245" x14ac:dyDescent="0.2">
      <c r="A160">
        <v>17</v>
      </c>
      <c r="B160">
        <v>1</v>
      </c>
      <c r="E160" t="s">
        <v>363</v>
      </c>
      <c r="F160" t="s">
        <v>364</v>
      </c>
      <c r="G160" t="s">
        <v>365</v>
      </c>
      <c r="H160" t="s">
        <v>17</v>
      </c>
      <c r="I160">
        <v>0.18</v>
      </c>
      <c r="J160">
        <v>0</v>
      </c>
      <c r="O160">
        <f t="shared" ref="O160:O197" si="161">ROUND(CP160,2)</f>
        <v>88.74</v>
      </c>
      <c r="P160">
        <f t="shared" ref="P160:P197" si="162">ROUND(CQ160*I160,2)</f>
        <v>0</v>
      </c>
      <c r="Q160">
        <f t="shared" ref="Q160:Q197" si="163">ROUND(CR160*I160,2)</f>
        <v>0.36</v>
      </c>
      <c r="R160">
        <f t="shared" ref="R160:R197" si="164">ROUND(CS160*I160,2)</f>
        <v>0.16</v>
      </c>
      <c r="S160">
        <f t="shared" ref="S160:S197" si="165">ROUND(CT160*I160,2)</f>
        <v>88.38</v>
      </c>
      <c r="T160">
        <f t="shared" ref="T160:T197" si="166">ROUND(CU160*I160,2)</f>
        <v>0</v>
      </c>
      <c r="U160">
        <f t="shared" ref="U160:U197" si="167">CV160*I160</f>
        <v>1.7352000000000001</v>
      </c>
      <c r="V160">
        <f t="shared" ref="V160:V197" si="168">CW160*I160</f>
        <v>1.8E-3</v>
      </c>
      <c r="W160">
        <f t="shared" ref="W160:W197" si="169">ROUND(CX160*I160,2)</f>
        <v>0</v>
      </c>
      <c r="X160">
        <f t="shared" ref="X160:X197" si="170">ROUND(CY160,2)</f>
        <v>75.260000000000005</v>
      </c>
      <c r="Y160">
        <f t="shared" ref="Y160:Y197" si="171">ROUND(CZ160,2)</f>
        <v>57.55</v>
      </c>
      <c r="AA160">
        <v>39099382</v>
      </c>
      <c r="AB160">
        <f t="shared" ref="AB160:AB197" si="172">ROUND((AC160+AD160+AF160),2)</f>
        <v>75.5</v>
      </c>
      <c r="AC160">
        <f>ROUND((ES160),2)</f>
        <v>0</v>
      </c>
      <c r="AD160">
        <f>ROUND((((ET160)-(EU160))+AE160),2)</f>
        <v>0.31</v>
      </c>
      <c r="AE160">
        <f>ROUND((EU160),2)</f>
        <v>0.14000000000000001</v>
      </c>
      <c r="AF160">
        <f>ROUND((EV160),2)</f>
        <v>75.19</v>
      </c>
      <c r="AG160">
        <f t="shared" ref="AG160:AG197" si="173">ROUND((AP160),2)</f>
        <v>0</v>
      </c>
      <c r="AH160">
        <f>(EW160)</f>
        <v>9.64</v>
      </c>
      <c r="AI160">
        <f>(EX160)</f>
        <v>0.01</v>
      </c>
      <c r="AJ160">
        <f t="shared" ref="AJ160:AJ197" si="174">ROUND((AS160),2)</f>
        <v>0</v>
      </c>
      <c r="AK160">
        <v>75.5</v>
      </c>
      <c r="AL160">
        <v>0</v>
      </c>
      <c r="AM160">
        <v>0.31</v>
      </c>
      <c r="AN160">
        <v>0.14000000000000001</v>
      </c>
      <c r="AO160">
        <v>75.19</v>
      </c>
      <c r="AP160">
        <v>0</v>
      </c>
      <c r="AQ160">
        <v>9.64</v>
      </c>
      <c r="AR160">
        <v>0.01</v>
      </c>
      <c r="AS160">
        <v>0</v>
      </c>
      <c r="AT160">
        <v>85</v>
      </c>
      <c r="AU160">
        <v>65</v>
      </c>
      <c r="AV160">
        <v>1</v>
      </c>
      <c r="AW160">
        <v>1</v>
      </c>
      <c r="AZ160">
        <v>6.53</v>
      </c>
      <c r="BA160">
        <v>6.53</v>
      </c>
      <c r="BB160">
        <v>6.53</v>
      </c>
      <c r="BC160">
        <v>6.53</v>
      </c>
      <c r="BD160" t="s">
        <v>3</v>
      </c>
      <c r="BE160" t="s">
        <v>3</v>
      </c>
      <c r="BF160" t="s">
        <v>3</v>
      </c>
      <c r="BG160" t="s">
        <v>3</v>
      </c>
      <c r="BH160">
        <v>0</v>
      </c>
      <c r="BI160">
        <v>1</v>
      </c>
      <c r="BJ160" t="s">
        <v>366</v>
      </c>
      <c r="BM160">
        <v>67001</v>
      </c>
      <c r="BN160">
        <v>0</v>
      </c>
      <c r="BO160" t="s">
        <v>3</v>
      </c>
      <c r="BP160">
        <v>0</v>
      </c>
      <c r="BQ160">
        <v>6</v>
      </c>
      <c r="BR160">
        <v>0</v>
      </c>
      <c r="BS160">
        <v>6.53</v>
      </c>
      <c r="BT160">
        <v>1</v>
      </c>
      <c r="BU160">
        <v>1</v>
      </c>
      <c r="BV160">
        <v>1</v>
      </c>
      <c r="BW160">
        <v>1</v>
      </c>
      <c r="BX160">
        <v>1</v>
      </c>
      <c r="BY160" t="s">
        <v>3</v>
      </c>
      <c r="BZ160">
        <v>85</v>
      </c>
      <c r="CA160">
        <v>65</v>
      </c>
      <c r="CF160">
        <v>0</v>
      </c>
      <c r="CG160">
        <v>0</v>
      </c>
      <c r="CM160">
        <v>0</v>
      </c>
      <c r="CN160" t="s">
        <v>3</v>
      </c>
      <c r="CO160">
        <v>0</v>
      </c>
      <c r="CP160">
        <f t="shared" ref="CP160:CP197" si="175">(P160+Q160+S160)</f>
        <v>88.74</v>
      </c>
      <c r="CQ160">
        <f t="shared" ref="CQ160:CQ197" si="176">AC160*BC160</f>
        <v>0</v>
      </c>
      <c r="CR160">
        <f t="shared" ref="CR160:CR197" si="177">AD160*BB160</f>
        <v>2.0243000000000002</v>
      </c>
      <c r="CS160">
        <f t="shared" ref="CS160:CS197" si="178">AE160*BS160</f>
        <v>0.91420000000000012</v>
      </c>
      <c r="CT160">
        <f t="shared" ref="CT160:CT197" si="179">AF160*BA160</f>
        <v>490.9907</v>
      </c>
      <c r="CU160">
        <f t="shared" ref="CU160:CU197" si="180">AG160</f>
        <v>0</v>
      </c>
      <c r="CV160">
        <f t="shared" ref="CV160:CV197" si="181">AH160</f>
        <v>9.64</v>
      </c>
      <c r="CW160">
        <f t="shared" ref="CW160:CW197" si="182">AI160</f>
        <v>0.01</v>
      </c>
      <c r="CX160">
        <f t="shared" ref="CX160:CX197" si="183">AJ160</f>
        <v>0</v>
      </c>
      <c r="CY160">
        <f t="shared" ref="CY160:CY197" si="184">(((S160+R160)*AT160)/100)</f>
        <v>75.259</v>
      </c>
      <c r="CZ160">
        <f t="shared" ref="CZ160:CZ197" si="185">(((S160+R160)*AU160)/100)</f>
        <v>57.550999999999995</v>
      </c>
      <c r="DC160" t="s">
        <v>3</v>
      </c>
      <c r="DD160" t="s">
        <v>3</v>
      </c>
      <c r="DE160" t="s">
        <v>3</v>
      </c>
      <c r="DF160" t="s">
        <v>3</v>
      </c>
      <c r="DG160" t="s">
        <v>3</v>
      </c>
      <c r="DH160" t="s">
        <v>3</v>
      </c>
      <c r="DI160" t="s">
        <v>3</v>
      </c>
      <c r="DJ160" t="s">
        <v>3</v>
      </c>
      <c r="DK160" t="s">
        <v>3</v>
      </c>
      <c r="DL160" t="s">
        <v>3</v>
      </c>
      <c r="DM160" t="s">
        <v>3</v>
      </c>
      <c r="DN160">
        <v>0</v>
      </c>
      <c r="DO160">
        <v>0</v>
      </c>
      <c r="DP160">
        <v>1</v>
      </c>
      <c r="DQ160">
        <v>1</v>
      </c>
      <c r="DU160">
        <v>1003</v>
      </c>
      <c r="DV160" t="s">
        <v>17</v>
      </c>
      <c r="DW160" t="s">
        <v>17</v>
      </c>
      <c r="DX160">
        <v>100</v>
      </c>
      <c r="EE160">
        <v>39174628</v>
      </c>
      <c r="EF160">
        <v>6</v>
      </c>
      <c r="EG160" t="s">
        <v>19</v>
      </c>
      <c r="EH160">
        <v>0</v>
      </c>
      <c r="EI160" t="s">
        <v>3</v>
      </c>
      <c r="EJ160">
        <v>1</v>
      </c>
      <c r="EK160">
        <v>67001</v>
      </c>
      <c r="EL160" t="s">
        <v>367</v>
      </c>
      <c r="EM160" t="s">
        <v>368</v>
      </c>
      <c r="EO160" t="s">
        <v>3</v>
      </c>
      <c r="EQ160">
        <v>0</v>
      </c>
      <c r="ER160">
        <v>75.5</v>
      </c>
      <c r="ES160">
        <v>0</v>
      </c>
      <c r="ET160">
        <v>0.31</v>
      </c>
      <c r="EU160">
        <v>0.14000000000000001</v>
      </c>
      <c r="EV160">
        <v>75.19</v>
      </c>
      <c r="EW160">
        <v>9.64</v>
      </c>
      <c r="EX160">
        <v>0.01</v>
      </c>
      <c r="EY160">
        <v>0</v>
      </c>
      <c r="FQ160">
        <v>0</v>
      </c>
      <c r="FR160">
        <f t="shared" ref="FR160:FR197" si="186">ROUND(IF(AND(BH160=3,BI160=3),P160,0),2)</f>
        <v>0</v>
      </c>
      <c r="FS160">
        <v>0</v>
      </c>
      <c r="FX160">
        <v>85</v>
      </c>
      <c r="FY160">
        <v>65</v>
      </c>
      <c r="GA160" t="s">
        <v>3</v>
      </c>
      <c r="GD160">
        <v>0</v>
      </c>
      <c r="GF160">
        <v>-240526577</v>
      </c>
      <c r="GG160">
        <v>1</v>
      </c>
      <c r="GH160">
        <v>1</v>
      </c>
      <c r="GI160">
        <v>4</v>
      </c>
      <c r="GJ160">
        <v>0</v>
      </c>
      <c r="GK160">
        <f>ROUND(R160*(R12)/100,2)</f>
        <v>0</v>
      </c>
      <c r="GL160">
        <f t="shared" ref="GL160:GL197" si="187">ROUND(IF(AND(BH160=3,BI160=3,FS160&lt;&gt;0),P160,0),2)</f>
        <v>0</v>
      </c>
      <c r="GM160">
        <f t="shared" ref="GM160:GM197" si="188">ROUND(O160+X160+Y160+GK160,2)+GX160</f>
        <v>221.55</v>
      </c>
      <c r="GN160">
        <f t="shared" ref="GN160:GN197" si="189">IF(OR(BI160=0,BI160=1),ROUND(O160+X160+Y160+GK160,2),0)</f>
        <v>221.55</v>
      </c>
      <c r="GO160">
        <f t="shared" ref="GO160:GO197" si="190">IF(BI160=2,ROUND(O160+X160+Y160+GK160,2),0)</f>
        <v>0</v>
      </c>
      <c r="GP160">
        <f t="shared" ref="GP160:GP197" si="191">IF(BI160=4,ROUND(O160+X160+Y160+GK160,2)+GX160,0)</f>
        <v>0</v>
      </c>
      <c r="GR160">
        <v>0</v>
      </c>
      <c r="GS160">
        <v>3</v>
      </c>
      <c r="GT160">
        <v>0</v>
      </c>
      <c r="GU160" t="s">
        <v>3</v>
      </c>
      <c r="GV160">
        <f t="shared" ref="GV160:GV197" si="192">ROUND(GT160,2)</f>
        <v>0</v>
      </c>
      <c r="GW160">
        <v>1</v>
      </c>
      <c r="GX160">
        <f t="shared" ref="GX160:GX197" si="193">ROUND(GV160*GW160*I160,2)</f>
        <v>0</v>
      </c>
      <c r="HA160">
        <v>0</v>
      </c>
      <c r="HB160">
        <v>0</v>
      </c>
      <c r="IK160">
        <v>0</v>
      </c>
    </row>
    <row r="161" spans="1:245" x14ac:dyDescent="0.2">
      <c r="A161">
        <v>17</v>
      </c>
      <c r="B161">
        <v>1</v>
      </c>
      <c r="C161">
        <f>ROW(SmtRes!A180)</f>
        <v>180</v>
      </c>
      <c r="D161">
        <f>ROW(EtalonRes!A179)</f>
        <v>179</v>
      </c>
      <c r="E161" t="s">
        <v>369</v>
      </c>
      <c r="F161" t="s">
        <v>370</v>
      </c>
      <c r="G161" t="s">
        <v>371</v>
      </c>
      <c r="H161" t="s">
        <v>17</v>
      </c>
      <c r="I161">
        <f>ROUND(16/100,9)</f>
        <v>0.16</v>
      </c>
      <c r="J161">
        <v>0</v>
      </c>
      <c r="O161">
        <f t="shared" si="161"/>
        <v>48.65</v>
      </c>
      <c r="P161">
        <f t="shared" si="162"/>
        <v>0</v>
      </c>
      <c r="Q161">
        <f t="shared" si="163"/>
        <v>0.09</v>
      </c>
      <c r="R161">
        <f t="shared" si="164"/>
        <v>0.04</v>
      </c>
      <c r="S161">
        <f t="shared" si="165"/>
        <v>48.56</v>
      </c>
      <c r="T161">
        <f t="shared" si="166"/>
        <v>0</v>
      </c>
      <c r="U161">
        <f t="shared" si="167"/>
        <v>0.78191999999999995</v>
      </c>
      <c r="V161">
        <f t="shared" si="168"/>
        <v>4.8000000000000001E-4</v>
      </c>
      <c r="W161">
        <f t="shared" si="169"/>
        <v>0</v>
      </c>
      <c r="X161">
        <f t="shared" si="170"/>
        <v>46.17</v>
      </c>
      <c r="Y161">
        <f t="shared" si="171"/>
        <v>31.59</v>
      </c>
      <c r="AA161">
        <v>39099382</v>
      </c>
      <c r="AB161">
        <f t="shared" si="172"/>
        <v>46.57</v>
      </c>
      <c r="AC161">
        <f>ROUND(((ES161*0)),2)</f>
        <v>0</v>
      </c>
      <c r="AD161">
        <f>ROUND(((((ET161*0.3))-((EU161*0.3)))+AE161),2)</f>
        <v>0.09</v>
      </c>
      <c r="AE161">
        <f>ROUND(((EU161*0.3)),2)</f>
        <v>0.04</v>
      </c>
      <c r="AF161">
        <f>ROUND(((EV161*0.3)),2)</f>
        <v>46.48</v>
      </c>
      <c r="AG161">
        <f t="shared" si="173"/>
        <v>0</v>
      </c>
      <c r="AH161">
        <f>((EW161*0.3))</f>
        <v>4.8869999999999996</v>
      </c>
      <c r="AI161">
        <f>((EX161*0.3))</f>
        <v>3.0000000000000001E-3</v>
      </c>
      <c r="AJ161">
        <f t="shared" si="174"/>
        <v>0</v>
      </c>
      <c r="AK161">
        <v>206.76</v>
      </c>
      <c r="AL161">
        <v>51.53</v>
      </c>
      <c r="AM161">
        <v>0.31</v>
      </c>
      <c r="AN161">
        <v>0.14000000000000001</v>
      </c>
      <c r="AO161">
        <v>154.91999999999999</v>
      </c>
      <c r="AP161">
        <v>0</v>
      </c>
      <c r="AQ161">
        <v>16.29</v>
      </c>
      <c r="AR161">
        <v>0.01</v>
      </c>
      <c r="AS161">
        <v>0</v>
      </c>
      <c r="AT161">
        <v>95</v>
      </c>
      <c r="AU161">
        <v>65</v>
      </c>
      <c r="AV161">
        <v>1</v>
      </c>
      <c r="AW161">
        <v>1</v>
      </c>
      <c r="AZ161">
        <v>6.53</v>
      </c>
      <c r="BA161">
        <v>6.53</v>
      </c>
      <c r="BB161">
        <v>6.53</v>
      </c>
      <c r="BC161">
        <v>6.53</v>
      </c>
      <c r="BD161" t="s">
        <v>3</v>
      </c>
      <c r="BE161" t="s">
        <v>3</v>
      </c>
      <c r="BF161" t="s">
        <v>3</v>
      </c>
      <c r="BG161" t="s">
        <v>3</v>
      </c>
      <c r="BH161">
        <v>0</v>
      </c>
      <c r="BI161">
        <v>2</v>
      </c>
      <c r="BJ161" t="s">
        <v>372</v>
      </c>
      <c r="BM161">
        <v>108001</v>
      </c>
      <c r="BN161">
        <v>0</v>
      </c>
      <c r="BO161" t="s">
        <v>3</v>
      </c>
      <c r="BP161">
        <v>0</v>
      </c>
      <c r="BQ161">
        <v>3</v>
      </c>
      <c r="BR161">
        <v>0</v>
      </c>
      <c r="BS161">
        <v>6.53</v>
      </c>
      <c r="BT161">
        <v>1</v>
      </c>
      <c r="BU161">
        <v>1</v>
      </c>
      <c r="BV161">
        <v>1</v>
      </c>
      <c r="BW161">
        <v>1</v>
      </c>
      <c r="BX161">
        <v>1</v>
      </c>
      <c r="BY161" t="s">
        <v>3</v>
      </c>
      <c r="BZ161">
        <v>95</v>
      </c>
      <c r="CA161">
        <v>65</v>
      </c>
      <c r="CF161">
        <v>0</v>
      </c>
      <c r="CG161">
        <v>0</v>
      </c>
      <c r="CM161">
        <v>0</v>
      </c>
      <c r="CN161" t="s">
        <v>938</v>
      </c>
      <c r="CO161">
        <v>0</v>
      </c>
      <c r="CP161">
        <f t="shared" si="175"/>
        <v>48.650000000000006</v>
      </c>
      <c r="CQ161">
        <f t="shared" si="176"/>
        <v>0</v>
      </c>
      <c r="CR161">
        <f t="shared" si="177"/>
        <v>0.5877</v>
      </c>
      <c r="CS161">
        <f t="shared" si="178"/>
        <v>0.26119999999999999</v>
      </c>
      <c r="CT161">
        <f t="shared" si="179"/>
        <v>303.51439999999997</v>
      </c>
      <c r="CU161">
        <f t="shared" si="180"/>
        <v>0</v>
      </c>
      <c r="CV161">
        <f t="shared" si="181"/>
        <v>4.8869999999999996</v>
      </c>
      <c r="CW161">
        <f t="shared" si="182"/>
        <v>3.0000000000000001E-3</v>
      </c>
      <c r="CX161">
        <f t="shared" si="183"/>
        <v>0</v>
      </c>
      <c r="CY161">
        <f t="shared" si="184"/>
        <v>46.17</v>
      </c>
      <c r="CZ161">
        <f t="shared" si="185"/>
        <v>31.59</v>
      </c>
      <c r="DC161" t="s">
        <v>3</v>
      </c>
      <c r="DD161" t="s">
        <v>210</v>
      </c>
      <c r="DE161" t="s">
        <v>373</v>
      </c>
      <c r="DF161" t="s">
        <v>373</v>
      </c>
      <c r="DG161" t="s">
        <v>373</v>
      </c>
      <c r="DH161" t="s">
        <v>3</v>
      </c>
      <c r="DI161" t="s">
        <v>373</v>
      </c>
      <c r="DJ161" t="s">
        <v>373</v>
      </c>
      <c r="DK161" t="s">
        <v>3</v>
      </c>
      <c r="DL161" t="s">
        <v>3</v>
      </c>
      <c r="DM161" t="s">
        <v>3</v>
      </c>
      <c r="DN161">
        <v>0</v>
      </c>
      <c r="DO161">
        <v>0</v>
      </c>
      <c r="DP161">
        <v>1</v>
      </c>
      <c r="DQ161">
        <v>1</v>
      </c>
      <c r="DU161">
        <v>1003</v>
      </c>
      <c r="DV161" t="s">
        <v>17</v>
      </c>
      <c r="DW161" t="s">
        <v>17</v>
      </c>
      <c r="DX161">
        <v>100</v>
      </c>
      <c r="EE161">
        <v>39174386</v>
      </c>
      <c r="EF161">
        <v>3</v>
      </c>
      <c r="EG161" t="s">
        <v>374</v>
      </c>
      <c r="EH161">
        <v>0</v>
      </c>
      <c r="EI161" t="s">
        <v>3</v>
      </c>
      <c r="EJ161">
        <v>2</v>
      </c>
      <c r="EK161">
        <v>108001</v>
      </c>
      <c r="EL161" t="s">
        <v>375</v>
      </c>
      <c r="EM161" t="s">
        <v>376</v>
      </c>
      <c r="EO161" t="s">
        <v>377</v>
      </c>
      <c r="EQ161">
        <v>0</v>
      </c>
      <c r="ER161">
        <v>206.76</v>
      </c>
      <c r="ES161">
        <v>51.53</v>
      </c>
      <c r="ET161">
        <v>0.31</v>
      </c>
      <c r="EU161">
        <v>0.14000000000000001</v>
      </c>
      <c r="EV161">
        <v>154.91999999999999</v>
      </c>
      <c r="EW161">
        <v>16.29</v>
      </c>
      <c r="EX161">
        <v>0.01</v>
      </c>
      <c r="EY161">
        <v>0</v>
      </c>
      <c r="FQ161">
        <v>0</v>
      </c>
      <c r="FR161">
        <f t="shared" si="186"/>
        <v>0</v>
      </c>
      <c r="FS161">
        <v>0</v>
      </c>
      <c r="FX161">
        <v>95</v>
      </c>
      <c r="FY161">
        <v>65</v>
      </c>
      <c r="GA161" t="s">
        <v>3</v>
      </c>
      <c r="GD161">
        <v>0</v>
      </c>
      <c r="GF161">
        <v>-1862294278</v>
      </c>
      <c r="GG161">
        <v>1</v>
      </c>
      <c r="GH161">
        <v>1</v>
      </c>
      <c r="GI161">
        <v>4</v>
      </c>
      <c r="GJ161">
        <v>0</v>
      </c>
      <c r="GK161">
        <f>ROUND(R161*(R12)/100,2)</f>
        <v>0</v>
      </c>
      <c r="GL161">
        <f t="shared" si="187"/>
        <v>0</v>
      </c>
      <c r="GM161">
        <f t="shared" si="188"/>
        <v>126.41</v>
      </c>
      <c r="GN161">
        <f t="shared" si="189"/>
        <v>0</v>
      </c>
      <c r="GO161">
        <f t="shared" si="190"/>
        <v>126.41</v>
      </c>
      <c r="GP161">
        <f t="shared" si="191"/>
        <v>0</v>
      </c>
      <c r="GR161">
        <v>0</v>
      </c>
      <c r="GS161">
        <v>3</v>
      </c>
      <c r="GT161">
        <v>0</v>
      </c>
      <c r="GU161" t="s">
        <v>3</v>
      </c>
      <c r="GV161">
        <f t="shared" si="192"/>
        <v>0</v>
      </c>
      <c r="GW161">
        <v>1</v>
      </c>
      <c r="GX161">
        <f t="shared" si="193"/>
        <v>0</v>
      </c>
      <c r="HA161">
        <v>0</v>
      </c>
      <c r="HB161">
        <v>0</v>
      </c>
      <c r="IK161">
        <v>0</v>
      </c>
    </row>
    <row r="162" spans="1:245" x14ac:dyDescent="0.2">
      <c r="A162">
        <v>17</v>
      </c>
      <c r="B162">
        <v>1</v>
      </c>
      <c r="C162">
        <f>ROW(SmtRes!A187)</f>
        <v>187</v>
      </c>
      <c r="D162">
        <f>ROW(EtalonRes!A186)</f>
        <v>186</v>
      </c>
      <c r="E162" t="s">
        <v>378</v>
      </c>
      <c r="F162" t="s">
        <v>379</v>
      </c>
      <c r="G162" t="s">
        <v>380</v>
      </c>
      <c r="H162" t="s">
        <v>30</v>
      </c>
      <c r="I162">
        <f>ROUND(90/100,9)</f>
        <v>0.9</v>
      </c>
      <c r="J162">
        <v>0</v>
      </c>
      <c r="O162">
        <f t="shared" si="161"/>
        <v>2682.49</v>
      </c>
      <c r="P162">
        <f t="shared" si="162"/>
        <v>0</v>
      </c>
      <c r="Q162">
        <f t="shared" si="163"/>
        <v>93.97</v>
      </c>
      <c r="R162">
        <f t="shared" si="164"/>
        <v>13.28</v>
      </c>
      <c r="S162">
        <f t="shared" si="165"/>
        <v>2588.52</v>
      </c>
      <c r="T162">
        <f t="shared" si="166"/>
        <v>0</v>
      </c>
      <c r="U162">
        <f t="shared" si="167"/>
        <v>39.96</v>
      </c>
      <c r="V162">
        <f t="shared" si="168"/>
        <v>0.16200000000000001</v>
      </c>
      <c r="W162">
        <f t="shared" si="169"/>
        <v>0</v>
      </c>
      <c r="X162">
        <f t="shared" si="170"/>
        <v>2471.71</v>
      </c>
      <c r="Y162">
        <f t="shared" si="171"/>
        <v>1691.17</v>
      </c>
      <c r="AA162">
        <v>39099382</v>
      </c>
      <c r="AB162">
        <f t="shared" si="172"/>
        <v>456.44</v>
      </c>
      <c r="AC162">
        <f>ROUND(((ES162*0)),2)</f>
        <v>0</v>
      </c>
      <c r="AD162">
        <f>ROUND(((((ET162*0.3))-((EU162*0.3)))+AE162),2)</f>
        <v>15.99</v>
      </c>
      <c r="AE162">
        <f>ROUND(((EU162*0.3)),2)</f>
        <v>2.2599999999999998</v>
      </c>
      <c r="AF162">
        <f>ROUND(((EV162*0.3)),2)</f>
        <v>440.45</v>
      </c>
      <c r="AG162">
        <f t="shared" si="173"/>
        <v>0</v>
      </c>
      <c r="AH162">
        <f>((EW162*0.3))</f>
        <v>44.4</v>
      </c>
      <c r="AI162">
        <f>((EX162*0.3))</f>
        <v>0.18</v>
      </c>
      <c r="AJ162">
        <f t="shared" si="174"/>
        <v>0</v>
      </c>
      <c r="AK162">
        <v>1663.44</v>
      </c>
      <c r="AL162">
        <v>141.97</v>
      </c>
      <c r="AM162">
        <v>53.31</v>
      </c>
      <c r="AN162">
        <v>7.53</v>
      </c>
      <c r="AO162">
        <v>1468.16</v>
      </c>
      <c r="AP162">
        <v>0</v>
      </c>
      <c r="AQ162">
        <v>148</v>
      </c>
      <c r="AR162">
        <v>0.6</v>
      </c>
      <c r="AS162">
        <v>0</v>
      </c>
      <c r="AT162">
        <v>95</v>
      </c>
      <c r="AU162">
        <v>65</v>
      </c>
      <c r="AV162">
        <v>1</v>
      </c>
      <c r="AW162">
        <v>1</v>
      </c>
      <c r="AZ162">
        <v>6.53</v>
      </c>
      <c r="BA162">
        <v>6.53</v>
      </c>
      <c r="BB162">
        <v>6.53</v>
      </c>
      <c r="BC162">
        <v>6.53</v>
      </c>
      <c r="BD162" t="s">
        <v>3</v>
      </c>
      <c r="BE162" t="s">
        <v>3</v>
      </c>
      <c r="BF162" t="s">
        <v>3</v>
      </c>
      <c r="BG162" t="s">
        <v>3</v>
      </c>
      <c r="BH162">
        <v>0</v>
      </c>
      <c r="BI162">
        <v>2</v>
      </c>
      <c r="BJ162" t="s">
        <v>381</v>
      </c>
      <c r="BM162">
        <v>108001</v>
      </c>
      <c r="BN162">
        <v>0</v>
      </c>
      <c r="BO162" t="s">
        <v>3</v>
      </c>
      <c r="BP162">
        <v>0</v>
      </c>
      <c r="BQ162">
        <v>3</v>
      </c>
      <c r="BR162">
        <v>0</v>
      </c>
      <c r="BS162">
        <v>6.53</v>
      </c>
      <c r="BT162">
        <v>1</v>
      </c>
      <c r="BU162">
        <v>1</v>
      </c>
      <c r="BV162">
        <v>1</v>
      </c>
      <c r="BW162">
        <v>1</v>
      </c>
      <c r="BX162">
        <v>1</v>
      </c>
      <c r="BY162" t="s">
        <v>3</v>
      </c>
      <c r="BZ162">
        <v>95</v>
      </c>
      <c r="CA162">
        <v>65</v>
      </c>
      <c r="CF162">
        <v>0</v>
      </c>
      <c r="CG162">
        <v>0</v>
      </c>
      <c r="CM162">
        <v>0</v>
      </c>
      <c r="CN162" t="s">
        <v>938</v>
      </c>
      <c r="CO162">
        <v>0</v>
      </c>
      <c r="CP162">
        <f t="shared" si="175"/>
        <v>2682.49</v>
      </c>
      <c r="CQ162">
        <f t="shared" si="176"/>
        <v>0</v>
      </c>
      <c r="CR162">
        <f t="shared" si="177"/>
        <v>104.41470000000001</v>
      </c>
      <c r="CS162">
        <f t="shared" si="178"/>
        <v>14.7578</v>
      </c>
      <c r="CT162">
        <f t="shared" si="179"/>
        <v>2876.1385</v>
      </c>
      <c r="CU162">
        <f t="shared" si="180"/>
        <v>0</v>
      </c>
      <c r="CV162">
        <f t="shared" si="181"/>
        <v>44.4</v>
      </c>
      <c r="CW162">
        <f t="shared" si="182"/>
        <v>0.18</v>
      </c>
      <c r="CX162">
        <f t="shared" si="183"/>
        <v>0</v>
      </c>
      <c r="CY162">
        <f t="shared" si="184"/>
        <v>2471.7100000000005</v>
      </c>
      <c r="CZ162">
        <f t="shared" si="185"/>
        <v>1691.17</v>
      </c>
      <c r="DC162" t="s">
        <v>3</v>
      </c>
      <c r="DD162" t="s">
        <v>210</v>
      </c>
      <c r="DE162" t="s">
        <v>373</v>
      </c>
      <c r="DF162" t="s">
        <v>373</v>
      </c>
      <c r="DG162" t="s">
        <v>373</v>
      </c>
      <c r="DH162" t="s">
        <v>3</v>
      </c>
      <c r="DI162" t="s">
        <v>373</v>
      </c>
      <c r="DJ162" t="s">
        <v>373</v>
      </c>
      <c r="DK162" t="s">
        <v>3</v>
      </c>
      <c r="DL162" t="s">
        <v>3</v>
      </c>
      <c r="DM162" t="s">
        <v>3</v>
      </c>
      <c r="DN162">
        <v>0</v>
      </c>
      <c r="DO162">
        <v>0</v>
      </c>
      <c r="DP162">
        <v>1</v>
      </c>
      <c r="DQ162">
        <v>1</v>
      </c>
      <c r="DU162">
        <v>1013</v>
      </c>
      <c r="DV162" t="s">
        <v>30</v>
      </c>
      <c r="DW162" t="s">
        <v>30</v>
      </c>
      <c r="DX162">
        <v>1</v>
      </c>
      <c r="EE162">
        <v>39174386</v>
      </c>
      <c r="EF162">
        <v>3</v>
      </c>
      <c r="EG162" t="s">
        <v>374</v>
      </c>
      <c r="EH162">
        <v>0</v>
      </c>
      <c r="EI162" t="s">
        <v>3</v>
      </c>
      <c r="EJ162">
        <v>2</v>
      </c>
      <c r="EK162">
        <v>108001</v>
      </c>
      <c r="EL162" t="s">
        <v>375</v>
      </c>
      <c r="EM162" t="s">
        <v>376</v>
      </c>
      <c r="EO162" t="s">
        <v>377</v>
      </c>
      <c r="EQ162">
        <v>0</v>
      </c>
      <c r="ER162">
        <v>1663.44</v>
      </c>
      <c r="ES162">
        <v>141.97</v>
      </c>
      <c r="ET162">
        <v>53.31</v>
      </c>
      <c r="EU162">
        <v>7.53</v>
      </c>
      <c r="EV162">
        <v>1468.16</v>
      </c>
      <c r="EW162">
        <v>148</v>
      </c>
      <c r="EX162">
        <v>0.6</v>
      </c>
      <c r="EY162">
        <v>0</v>
      </c>
      <c r="FQ162">
        <v>0</v>
      </c>
      <c r="FR162">
        <f t="shared" si="186"/>
        <v>0</v>
      </c>
      <c r="FS162">
        <v>0</v>
      </c>
      <c r="FX162">
        <v>95</v>
      </c>
      <c r="FY162">
        <v>65</v>
      </c>
      <c r="GA162" t="s">
        <v>3</v>
      </c>
      <c r="GD162">
        <v>0</v>
      </c>
      <c r="GF162">
        <v>952006972</v>
      </c>
      <c r="GG162">
        <v>1</v>
      </c>
      <c r="GH162">
        <v>1</v>
      </c>
      <c r="GI162">
        <v>4</v>
      </c>
      <c r="GJ162">
        <v>0</v>
      </c>
      <c r="GK162">
        <f>ROUND(R162*(R12)/100,2)</f>
        <v>0</v>
      </c>
      <c r="GL162">
        <f t="shared" si="187"/>
        <v>0</v>
      </c>
      <c r="GM162">
        <f t="shared" si="188"/>
        <v>6845.37</v>
      </c>
      <c r="GN162">
        <f t="shared" si="189"/>
        <v>0</v>
      </c>
      <c r="GO162">
        <f t="shared" si="190"/>
        <v>6845.37</v>
      </c>
      <c r="GP162">
        <f t="shared" si="191"/>
        <v>0</v>
      </c>
      <c r="GR162">
        <v>0</v>
      </c>
      <c r="GS162">
        <v>3</v>
      </c>
      <c r="GT162">
        <v>0</v>
      </c>
      <c r="GU162" t="s">
        <v>3</v>
      </c>
      <c r="GV162">
        <f t="shared" si="192"/>
        <v>0</v>
      </c>
      <c r="GW162">
        <v>1</v>
      </c>
      <c r="GX162">
        <f t="shared" si="193"/>
        <v>0</v>
      </c>
      <c r="HA162">
        <v>0</v>
      </c>
      <c r="HB162">
        <v>0</v>
      </c>
      <c r="IK162">
        <v>0</v>
      </c>
    </row>
    <row r="163" spans="1:245" x14ac:dyDescent="0.2">
      <c r="A163">
        <v>17</v>
      </c>
      <c r="B163">
        <v>1</v>
      </c>
      <c r="C163">
        <f>ROW(SmtRes!A202)</f>
        <v>202</v>
      </c>
      <c r="D163">
        <f>ROW(EtalonRes!A201)</f>
        <v>201</v>
      </c>
      <c r="E163" t="s">
        <v>382</v>
      </c>
      <c r="F163" t="s">
        <v>383</v>
      </c>
      <c r="G163" t="s">
        <v>384</v>
      </c>
      <c r="H163" t="s">
        <v>385</v>
      </c>
      <c r="I163">
        <v>1</v>
      </c>
      <c r="J163">
        <v>0</v>
      </c>
      <c r="O163">
        <f t="shared" si="161"/>
        <v>87.05</v>
      </c>
      <c r="P163">
        <f t="shared" si="162"/>
        <v>0</v>
      </c>
      <c r="Q163">
        <f t="shared" si="163"/>
        <v>2.29</v>
      </c>
      <c r="R163">
        <f t="shared" si="164"/>
        <v>0</v>
      </c>
      <c r="S163">
        <f t="shared" si="165"/>
        <v>84.76</v>
      </c>
      <c r="T163">
        <f t="shared" si="166"/>
        <v>0</v>
      </c>
      <c r="U163">
        <f t="shared" si="167"/>
        <v>1.2539999999999998</v>
      </c>
      <c r="V163">
        <f t="shared" si="168"/>
        <v>0</v>
      </c>
      <c r="W163">
        <f t="shared" si="169"/>
        <v>0</v>
      </c>
      <c r="X163">
        <f t="shared" si="170"/>
        <v>80.52</v>
      </c>
      <c r="Y163">
        <f t="shared" si="171"/>
        <v>55.09</v>
      </c>
      <c r="AA163">
        <v>39099382</v>
      </c>
      <c r="AB163">
        <f t="shared" si="172"/>
        <v>13.33</v>
      </c>
      <c r="AC163">
        <f>ROUND(((ES163*0)),2)</f>
        <v>0</v>
      </c>
      <c r="AD163">
        <f>ROUND(((((ET163*0.6))-((EU163*0.6)))+AE163),2)</f>
        <v>0.35</v>
      </c>
      <c r="AE163">
        <f>ROUND(((EU163*0.6)),2)</f>
        <v>0</v>
      </c>
      <c r="AF163">
        <f>ROUND(((EV163*0.6)),2)</f>
        <v>12.98</v>
      </c>
      <c r="AG163">
        <f t="shared" si="173"/>
        <v>0</v>
      </c>
      <c r="AH163">
        <f>((EW163*0.6))</f>
        <v>1.2539999999999998</v>
      </c>
      <c r="AI163">
        <f>((EX163*0.6))</f>
        <v>0</v>
      </c>
      <c r="AJ163">
        <f t="shared" si="174"/>
        <v>0</v>
      </c>
      <c r="AK163">
        <v>65.78</v>
      </c>
      <c r="AL163">
        <v>43.56</v>
      </c>
      <c r="AM163">
        <v>0.59</v>
      </c>
      <c r="AN163">
        <v>0</v>
      </c>
      <c r="AO163">
        <v>21.63</v>
      </c>
      <c r="AP163">
        <v>0</v>
      </c>
      <c r="AQ163">
        <v>2.09</v>
      </c>
      <c r="AR163">
        <v>0</v>
      </c>
      <c r="AS163">
        <v>0</v>
      </c>
      <c r="AT163">
        <v>95</v>
      </c>
      <c r="AU163">
        <v>65</v>
      </c>
      <c r="AV163">
        <v>1</v>
      </c>
      <c r="AW163">
        <v>1</v>
      </c>
      <c r="AZ163">
        <v>6.53</v>
      </c>
      <c r="BA163">
        <v>6.53</v>
      </c>
      <c r="BB163">
        <v>6.53</v>
      </c>
      <c r="BC163">
        <v>6.53</v>
      </c>
      <c r="BD163" t="s">
        <v>3</v>
      </c>
      <c r="BE163" t="s">
        <v>3</v>
      </c>
      <c r="BF163" t="s">
        <v>3</v>
      </c>
      <c r="BG163" t="s">
        <v>3</v>
      </c>
      <c r="BH163">
        <v>0</v>
      </c>
      <c r="BI163">
        <v>2</v>
      </c>
      <c r="BJ163" t="s">
        <v>386</v>
      </c>
      <c r="BM163">
        <v>108001</v>
      </c>
      <c r="BN163">
        <v>0</v>
      </c>
      <c r="BO163" t="s">
        <v>3</v>
      </c>
      <c r="BP163">
        <v>0</v>
      </c>
      <c r="BQ163">
        <v>3</v>
      </c>
      <c r="BR163">
        <v>0</v>
      </c>
      <c r="BS163">
        <v>6.53</v>
      </c>
      <c r="BT163">
        <v>1</v>
      </c>
      <c r="BU163">
        <v>1</v>
      </c>
      <c r="BV163">
        <v>1</v>
      </c>
      <c r="BW163">
        <v>1</v>
      </c>
      <c r="BX163">
        <v>1</v>
      </c>
      <c r="BY163" t="s">
        <v>3</v>
      </c>
      <c r="BZ163">
        <v>95</v>
      </c>
      <c r="CA163">
        <v>65</v>
      </c>
      <c r="CF163">
        <v>0</v>
      </c>
      <c r="CG163">
        <v>0</v>
      </c>
      <c r="CM163">
        <v>0</v>
      </c>
      <c r="CN163" t="s">
        <v>939</v>
      </c>
      <c r="CO163">
        <v>0</v>
      </c>
      <c r="CP163">
        <f t="shared" si="175"/>
        <v>87.050000000000011</v>
      </c>
      <c r="CQ163">
        <f t="shared" si="176"/>
        <v>0</v>
      </c>
      <c r="CR163">
        <f t="shared" si="177"/>
        <v>2.2854999999999999</v>
      </c>
      <c r="CS163">
        <f t="shared" si="178"/>
        <v>0</v>
      </c>
      <c r="CT163">
        <f t="shared" si="179"/>
        <v>84.759399999999999</v>
      </c>
      <c r="CU163">
        <f t="shared" si="180"/>
        <v>0</v>
      </c>
      <c r="CV163">
        <f t="shared" si="181"/>
        <v>1.2539999999999998</v>
      </c>
      <c r="CW163">
        <f t="shared" si="182"/>
        <v>0</v>
      </c>
      <c r="CX163">
        <f t="shared" si="183"/>
        <v>0</v>
      </c>
      <c r="CY163">
        <f t="shared" si="184"/>
        <v>80.522000000000006</v>
      </c>
      <c r="CZ163">
        <f t="shared" si="185"/>
        <v>55.094000000000008</v>
      </c>
      <c r="DC163" t="s">
        <v>3</v>
      </c>
      <c r="DD163" t="s">
        <v>210</v>
      </c>
      <c r="DE163" t="s">
        <v>387</v>
      </c>
      <c r="DF163" t="s">
        <v>387</v>
      </c>
      <c r="DG163" t="s">
        <v>387</v>
      </c>
      <c r="DH163" t="s">
        <v>3</v>
      </c>
      <c r="DI163" t="s">
        <v>387</v>
      </c>
      <c r="DJ163" t="s">
        <v>387</v>
      </c>
      <c r="DK163" t="s">
        <v>3</v>
      </c>
      <c r="DL163" t="s">
        <v>3</v>
      </c>
      <c r="DM163" t="s">
        <v>3</v>
      </c>
      <c r="DN163">
        <v>0</v>
      </c>
      <c r="DO163">
        <v>0</v>
      </c>
      <c r="DP163">
        <v>1</v>
      </c>
      <c r="DQ163">
        <v>1</v>
      </c>
      <c r="DU163">
        <v>1013</v>
      </c>
      <c r="DV163" t="s">
        <v>385</v>
      </c>
      <c r="DW163" t="s">
        <v>385</v>
      </c>
      <c r="DX163">
        <v>1</v>
      </c>
      <c r="EE163">
        <v>39174386</v>
      </c>
      <c r="EF163">
        <v>3</v>
      </c>
      <c r="EG163" t="s">
        <v>374</v>
      </c>
      <c r="EH163">
        <v>0</v>
      </c>
      <c r="EI163" t="s">
        <v>3</v>
      </c>
      <c r="EJ163">
        <v>2</v>
      </c>
      <c r="EK163">
        <v>108001</v>
      </c>
      <c r="EL163" t="s">
        <v>375</v>
      </c>
      <c r="EM163" t="s">
        <v>376</v>
      </c>
      <c r="EO163" t="s">
        <v>388</v>
      </c>
      <c r="EQ163">
        <v>0</v>
      </c>
      <c r="ER163">
        <v>65.78</v>
      </c>
      <c r="ES163">
        <v>43.56</v>
      </c>
      <c r="ET163">
        <v>0.59</v>
      </c>
      <c r="EU163">
        <v>0</v>
      </c>
      <c r="EV163">
        <v>21.63</v>
      </c>
      <c r="EW163">
        <v>2.09</v>
      </c>
      <c r="EX163">
        <v>0</v>
      </c>
      <c r="EY163">
        <v>0</v>
      </c>
      <c r="FQ163">
        <v>0</v>
      </c>
      <c r="FR163">
        <f t="shared" si="186"/>
        <v>0</v>
      </c>
      <c r="FS163">
        <v>0</v>
      </c>
      <c r="FX163">
        <v>95</v>
      </c>
      <c r="FY163">
        <v>65</v>
      </c>
      <c r="GA163" t="s">
        <v>3</v>
      </c>
      <c r="GD163">
        <v>0</v>
      </c>
      <c r="GF163">
        <v>1485652313</v>
      </c>
      <c r="GG163">
        <v>1</v>
      </c>
      <c r="GH163">
        <v>1</v>
      </c>
      <c r="GI163">
        <v>4</v>
      </c>
      <c r="GJ163">
        <v>0</v>
      </c>
      <c r="GK163">
        <f>ROUND(R163*(R12)/100,2)</f>
        <v>0</v>
      </c>
      <c r="GL163">
        <f t="shared" si="187"/>
        <v>0</v>
      </c>
      <c r="GM163">
        <f t="shared" si="188"/>
        <v>222.66</v>
      </c>
      <c r="GN163">
        <f t="shared" si="189"/>
        <v>0</v>
      </c>
      <c r="GO163">
        <f t="shared" si="190"/>
        <v>222.66</v>
      </c>
      <c r="GP163">
        <f t="shared" si="191"/>
        <v>0</v>
      </c>
      <c r="GR163">
        <v>0</v>
      </c>
      <c r="GS163">
        <v>3</v>
      </c>
      <c r="GT163">
        <v>0</v>
      </c>
      <c r="GU163" t="s">
        <v>3</v>
      </c>
      <c r="GV163">
        <f t="shared" si="192"/>
        <v>0</v>
      </c>
      <c r="GW163">
        <v>1</v>
      </c>
      <c r="GX163">
        <f t="shared" si="193"/>
        <v>0</v>
      </c>
      <c r="HA163">
        <v>0</v>
      </c>
      <c r="HB163">
        <v>0</v>
      </c>
      <c r="IK163">
        <v>0</v>
      </c>
    </row>
    <row r="164" spans="1:245" x14ac:dyDescent="0.2">
      <c r="A164">
        <v>17</v>
      </c>
      <c r="B164">
        <v>1</v>
      </c>
      <c r="C164">
        <f>ROW(SmtRes!A217)</f>
        <v>217</v>
      </c>
      <c r="D164">
        <f>ROW(EtalonRes!A216)</f>
        <v>216</v>
      </c>
      <c r="E164" t="s">
        <v>389</v>
      </c>
      <c r="F164" t="s">
        <v>383</v>
      </c>
      <c r="G164" t="s">
        <v>390</v>
      </c>
      <c r="H164" t="s">
        <v>385</v>
      </c>
      <c r="I164">
        <v>1</v>
      </c>
      <c r="J164">
        <v>0</v>
      </c>
      <c r="O164">
        <f t="shared" si="161"/>
        <v>429.54</v>
      </c>
      <c r="P164">
        <f t="shared" si="162"/>
        <v>284.45</v>
      </c>
      <c r="Q164">
        <f t="shared" si="163"/>
        <v>3.85</v>
      </c>
      <c r="R164">
        <f t="shared" si="164"/>
        <v>0</v>
      </c>
      <c r="S164">
        <f t="shared" si="165"/>
        <v>141.24</v>
      </c>
      <c r="T164">
        <f t="shared" si="166"/>
        <v>0</v>
      </c>
      <c r="U164">
        <f t="shared" si="167"/>
        <v>2.09</v>
      </c>
      <c r="V164">
        <f t="shared" si="168"/>
        <v>0</v>
      </c>
      <c r="W164">
        <f t="shared" si="169"/>
        <v>0</v>
      </c>
      <c r="X164">
        <f t="shared" si="170"/>
        <v>134.18</v>
      </c>
      <c r="Y164">
        <f t="shared" si="171"/>
        <v>91.81</v>
      </c>
      <c r="AA164">
        <v>39099382</v>
      </c>
      <c r="AB164">
        <f t="shared" si="172"/>
        <v>65.78</v>
      </c>
      <c r="AC164">
        <f t="shared" ref="AC164:AC197" si="194">ROUND((ES164),2)</f>
        <v>43.56</v>
      </c>
      <c r="AD164">
        <f t="shared" ref="AD164:AD197" si="195">ROUND((((ET164)-(EU164))+AE164),2)</f>
        <v>0.59</v>
      </c>
      <c r="AE164">
        <f t="shared" ref="AE164:AE193" si="196">ROUND((EU164),2)</f>
        <v>0</v>
      </c>
      <c r="AF164">
        <f t="shared" ref="AF164:AF193" si="197">ROUND((EV164),2)</f>
        <v>21.63</v>
      </c>
      <c r="AG164">
        <f t="shared" si="173"/>
        <v>0</v>
      </c>
      <c r="AH164">
        <f t="shared" ref="AH164:AH193" si="198">(EW164)</f>
        <v>2.09</v>
      </c>
      <c r="AI164">
        <f t="shared" ref="AI164:AI193" si="199">(EX164)</f>
        <v>0</v>
      </c>
      <c r="AJ164">
        <f t="shared" si="174"/>
        <v>0</v>
      </c>
      <c r="AK164">
        <v>65.78</v>
      </c>
      <c r="AL164">
        <v>43.56</v>
      </c>
      <c r="AM164">
        <v>0.59</v>
      </c>
      <c r="AN164">
        <v>0</v>
      </c>
      <c r="AO164">
        <v>21.63</v>
      </c>
      <c r="AP164">
        <v>0</v>
      </c>
      <c r="AQ164">
        <v>2.09</v>
      </c>
      <c r="AR164">
        <v>0</v>
      </c>
      <c r="AS164">
        <v>0</v>
      </c>
      <c r="AT164">
        <v>95</v>
      </c>
      <c r="AU164">
        <v>65</v>
      </c>
      <c r="AV164">
        <v>1</v>
      </c>
      <c r="AW164">
        <v>1</v>
      </c>
      <c r="AZ164">
        <v>6.53</v>
      </c>
      <c r="BA164">
        <v>6.53</v>
      </c>
      <c r="BB164">
        <v>6.53</v>
      </c>
      <c r="BC164">
        <v>6.53</v>
      </c>
      <c r="BD164" t="s">
        <v>3</v>
      </c>
      <c r="BE164" t="s">
        <v>3</v>
      </c>
      <c r="BF164" t="s">
        <v>3</v>
      </c>
      <c r="BG164" t="s">
        <v>3</v>
      </c>
      <c r="BH164">
        <v>0</v>
      </c>
      <c r="BI164">
        <v>2</v>
      </c>
      <c r="BJ164" t="s">
        <v>386</v>
      </c>
      <c r="BM164">
        <v>108001</v>
      </c>
      <c r="BN164">
        <v>0</v>
      </c>
      <c r="BO164" t="s">
        <v>3</v>
      </c>
      <c r="BP164">
        <v>0</v>
      </c>
      <c r="BQ164">
        <v>3</v>
      </c>
      <c r="BR164">
        <v>0</v>
      </c>
      <c r="BS164">
        <v>6.53</v>
      </c>
      <c r="BT164">
        <v>1</v>
      </c>
      <c r="BU164">
        <v>1</v>
      </c>
      <c r="BV164">
        <v>1</v>
      </c>
      <c r="BW164">
        <v>1</v>
      </c>
      <c r="BX164">
        <v>1</v>
      </c>
      <c r="BY164" t="s">
        <v>3</v>
      </c>
      <c r="BZ164">
        <v>95</v>
      </c>
      <c r="CA164">
        <v>65</v>
      </c>
      <c r="CF164">
        <v>0</v>
      </c>
      <c r="CG164">
        <v>0</v>
      </c>
      <c r="CM164">
        <v>0</v>
      </c>
      <c r="CN164" t="s">
        <v>3</v>
      </c>
      <c r="CO164">
        <v>0</v>
      </c>
      <c r="CP164">
        <f t="shared" si="175"/>
        <v>429.54</v>
      </c>
      <c r="CQ164">
        <f t="shared" si="176"/>
        <v>284.44680000000005</v>
      </c>
      <c r="CR164">
        <f t="shared" si="177"/>
        <v>3.8527</v>
      </c>
      <c r="CS164">
        <f t="shared" si="178"/>
        <v>0</v>
      </c>
      <c r="CT164">
        <f t="shared" si="179"/>
        <v>141.2439</v>
      </c>
      <c r="CU164">
        <f t="shared" si="180"/>
        <v>0</v>
      </c>
      <c r="CV164">
        <f t="shared" si="181"/>
        <v>2.09</v>
      </c>
      <c r="CW164">
        <f t="shared" si="182"/>
        <v>0</v>
      </c>
      <c r="CX164">
        <f t="shared" si="183"/>
        <v>0</v>
      </c>
      <c r="CY164">
        <f t="shared" si="184"/>
        <v>134.178</v>
      </c>
      <c r="CZ164">
        <f t="shared" si="185"/>
        <v>91.805999999999997</v>
      </c>
      <c r="DC164" t="s">
        <v>3</v>
      </c>
      <c r="DD164" t="s">
        <v>3</v>
      </c>
      <c r="DE164" t="s">
        <v>3</v>
      </c>
      <c r="DF164" t="s">
        <v>3</v>
      </c>
      <c r="DG164" t="s">
        <v>3</v>
      </c>
      <c r="DH164" t="s">
        <v>3</v>
      </c>
      <c r="DI164" t="s">
        <v>3</v>
      </c>
      <c r="DJ164" t="s">
        <v>3</v>
      </c>
      <c r="DK164" t="s">
        <v>3</v>
      </c>
      <c r="DL164" t="s">
        <v>3</v>
      </c>
      <c r="DM164" t="s">
        <v>3</v>
      </c>
      <c r="DN164">
        <v>0</v>
      </c>
      <c r="DO164">
        <v>0</v>
      </c>
      <c r="DP164">
        <v>1</v>
      </c>
      <c r="DQ164">
        <v>1</v>
      </c>
      <c r="DU164">
        <v>1013</v>
      </c>
      <c r="DV164" t="s">
        <v>385</v>
      </c>
      <c r="DW164" t="s">
        <v>385</v>
      </c>
      <c r="DX164">
        <v>1</v>
      </c>
      <c r="EE164">
        <v>39174386</v>
      </c>
      <c r="EF164">
        <v>3</v>
      </c>
      <c r="EG164" t="s">
        <v>374</v>
      </c>
      <c r="EH164">
        <v>0</v>
      </c>
      <c r="EI164" t="s">
        <v>3</v>
      </c>
      <c r="EJ164">
        <v>2</v>
      </c>
      <c r="EK164">
        <v>108001</v>
      </c>
      <c r="EL164" t="s">
        <v>375</v>
      </c>
      <c r="EM164" t="s">
        <v>376</v>
      </c>
      <c r="EO164" t="s">
        <v>3</v>
      </c>
      <c r="EQ164">
        <v>0</v>
      </c>
      <c r="ER164">
        <v>65.78</v>
      </c>
      <c r="ES164">
        <v>43.56</v>
      </c>
      <c r="ET164">
        <v>0.59</v>
      </c>
      <c r="EU164">
        <v>0</v>
      </c>
      <c r="EV164">
        <v>21.63</v>
      </c>
      <c r="EW164">
        <v>2.09</v>
      </c>
      <c r="EX164">
        <v>0</v>
      </c>
      <c r="EY164">
        <v>0</v>
      </c>
      <c r="FQ164">
        <v>0</v>
      </c>
      <c r="FR164">
        <f t="shared" si="186"/>
        <v>0</v>
      </c>
      <c r="FS164">
        <v>0</v>
      </c>
      <c r="FX164">
        <v>95</v>
      </c>
      <c r="FY164">
        <v>65</v>
      </c>
      <c r="GA164" t="s">
        <v>3</v>
      </c>
      <c r="GD164">
        <v>0</v>
      </c>
      <c r="GF164">
        <v>-1096160851</v>
      </c>
      <c r="GG164">
        <v>1</v>
      </c>
      <c r="GH164">
        <v>1</v>
      </c>
      <c r="GI164">
        <v>4</v>
      </c>
      <c r="GJ164">
        <v>0</v>
      </c>
      <c r="GK164">
        <f>ROUND(R164*(R12)/100,2)</f>
        <v>0</v>
      </c>
      <c r="GL164">
        <f t="shared" si="187"/>
        <v>0</v>
      </c>
      <c r="GM164">
        <f t="shared" si="188"/>
        <v>655.53</v>
      </c>
      <c r="GN164">
        <f t="shared" si="189"/>
        <v>0</v>
      </c>
      <c r="GO164">
        <f t="shared" si="190"/>
        <v>655.53</v>
      </c>
      <c r="GP164">
        <f t="shared" si="191"/>
        <v>0</v>
      </c>
      <c r="GR164">
        <v>0</v>
      </c>
      <c r="GS164">
        <v>3</v>
      </c>
      <c r="GT164">
        <v>0</v>
      </c>
      <c r="GU164" t="s">
        <v>3</v>
      </c>
      <c r="GV164">
        <f t="shared" si="192"/>
        <v>0</v>
      </c>
      <c r="GW164">
        <v>1</v>
      </c>
      <c r="GX164">
        <f t="shared" si="193"/>
        <v>0</v>
      </c>
      <c r="HA164">
        <v>0</v>
      </c>
      <c r="HB164">
        <v>0</v>
      </c>
      <c r="IK164">
        <v>0</v>
      </c>
    </row>
    <row r="165" spans="1:245" x14ac:dyDescent="0.2">
      <c r="A165">
        <v>17</v>
      </c>
      <c r="B165">
        <v>1</v>
      </c>
      <c r="E165" t="s">
        <v>391</v>
      </c>
      <c r="F165" t="s">
        <v>392</v>
      </c>
      <c r="G165" t="s">
        <v>393</v>
      </c>
      <c r="H165" t="s">
        <v>30</v>
      </c>
      <c r="I165">
        <v>0.28000000000000003</v>
      </c>
      <c r="J165">
        <v>0</v>
      </c>
      <c r="O165">
        <f t="shared" si="161"/>
        <v>83.28</v>
      </c>
      <c r="P165">
        <f t="shared" si="162"/>
        <v>0</v>
      </c>
      <c r="Q165">
        <f t="shared" si="163"/>
        <v>0</v>
      </c>
      <c r="R165">
        <f t="shared" si="164"/>
        <v>0</v>
      </c>
      <c r="S165">
        <f t="shared" si="165"/>
        <v>83.28</v>
      </c>
      <c r="T165">
        <f t="shared" si="166"/>
        <v>0</v>
      </c>
      <c r="U165">
        <f t="shared" si="167"/>
        <v>1.6352000000000002</v>
      </c>
      <c r="V165">
        <f t="shared" si="168"/>
        <v>0</v>
      </c>
      <c r="W165">
        <f t="shared" si="169"/>
        <v>0</v>
      </c>
      <c r="X165">
        <f t="shared" si="170"/>
        <v>70.790000000000006</v>
      </c>
      <c r="Y165">
        <f t="shared" si="171"/>
        <v>54.13</v>
      </c>
      <c r="AA165">
        <v>39099382</v>
      </c>
      <c r="AB165">
        <f t="shared" si="172"/>
        <v>45.55</v>
      </c>
      <c r="AC165">
        <f t="shared" si="194"/>
        <v>0</v>
      </c>
      <c r="AD165">
        <f t="shared" si="195"/>
        <v>0</v>
      </c>
      <c r="AE165">
        <f t="shared" si="196"/>
        <v>0</v>
      </c>
      <c r="AF165">
        <f t="shared" si="197"/>
        <v>45.55</v>
      </c>
      <c r="AG165">
        <f t="shared" si="173"/>
        <v>0</v>
      </c>
      <c r="AH165">
        <f t="shared" si="198"/>
        <v>5.84</v>
      </c>
      <c r="AI165">
        <f t="shared" si="199"/>
        <v>0</v>
      </c>
      <c r="AJ165">
        <f t="shared" si="174"/>
        <v>0</v>
      </c>
      <c r="AK165">
        <v>45.55</v>
      </c>
      <c r="AL165">
        <v>0</v>
      </c>
      <c r="AM165">
        <v>0</v>
      </c>
      <c r="AN165">
        <v>0</v>
      </c>
      <c r="AO165">
        <v>45.55</v>
      </c>
      <c r="AP165">
        <v>0</v>
      </c>
      <c r="AQ165">
        <v>5.84</v>
      </c>
      <c r="AR165">
        <v>0</v>
      </c>
      <c r="AS165">
        <v>0</v>
      </c>
      <c r="AT165">
        <v>85</v>
      </c>
      <c r="AU165">
        <v>65</v>
      </c>
      <c r="AV165">
        <v>1</v>
      </c>
      <c r="AW165">
        <v>1</v>
      </c>
      <c r="AZ165">
        <v>6.53</v>
      </c>
      <c r="BA165">
        <v>6.53</v>
      </c>
      <c r="BB165">
        <v>6.53</v>
      </c>
      <c r="BC165">
        <v>6.53</v>
      </c>
      <c r="BD165" t="s">
        <v>3</v>
      </c>
      <c r="BE165" t="s">
        <v>3</v>
      </c>
      <c r="BF165" t="s">
        <v>3</v>
      </c>
      <c r="BG165" t="s">
        <v>3</v>
      </c>
      <c r="BH165">
        <v>0</v>
      </c>
      <c r="BI165">
        <v>1</v>
      </c>
      <c r="BJ165" t="s">
        <v>394</v>
      </c>
      <c r="BM165">
        <v>67001</v>
      </c>
      <c r="BN165">
        <v>0</v>
      </c>
      <c r="BO165" t="s">
        <v>3</v>
      </c>
      <c r="BP165">
        <v>0</v>
      </c>
      <c r="BQ165">
        <v>6</v>
      </c>
      <c r="BR165">
        <v>0</v>
      </c>
      <c r="BS165">
        <v>6.53</v>
      </c>
      <c r="BT165">
        <v>1</v>
      </c>
      <c r="BU165">
        <v>1</v>
      </c>
      <c r="BV165">
        <v>1</v>
      </c>
      <c r="BW165">
        <v>1</v>
      </c>
      <c r="BX165">
        <v>1</v>
      </c>
      <c r="BY165" t="s">
        <v>3</v>
      </c>
      <c r="BZ165">
        <v>85</v>
      </c>
      <c r="CA165">
        <v>65</v>
      </c>
      <c r="CF165">
        <v>0</v>
      </c>
      <c r="CG165">
        <v>0</v>
      </c>
      <c r="CM165">
        <v>0</v>
      </c>
      <c r="CN165" t="s">
        <v>3</v>
      </c>
      <c r="CO165">
        <v>0</v>
      </c>
      <c r="CP165">
        <f t="shared" si="175"/>
        <v>83.28</v>
      </c>
      <c r="CQ165">
        <f t="shared" si="176"/>
        <v>0</v>
      </c>
      <c r="CR165">
        <f t="shared" si="177"/>
        <v>0</v>
      </c>
      <c r="CS165">
        <f t="shared" si="178"/>
        <v>0</v>
      </c>
      <c r="CT165">
        <f t="shared" si="179"/>
        <v>297.44150000000002</v>
      </c>
      <c r="CU165">
        <f t="shared" si="180"/>
        <v>0</v>
      </c>
      <c r="CV165">
        <f t="shared" si="181"/>
        <v>5.84</v>
      </c>
      <c r="CW165">
        <f t="shared" si="182"/>
        <v>0</v>
      </c>
      <c r="CX165">
        <f t="shared" si="183"/>
        <v>0</v>
      </c>
      <c r="CY165">
        <f t="shared" si="184"/>
        <v>70.787999999999997</v>
      </c>
      <c r="CZ165">
        <f t="shared" si="185"/>
        <v>54.131999999999998</v>
      </c>
      <c r="DC165" t="s">
        <v>3</v>
      </c>
      <c r="DD165" t="s">
        <v>3</v>
      </c>
      <c r="DE165" t="s">
        <v>3</v>
      </c>
      <c r="DF165" t="s">
        <v>3</v>
      </c>
      <c r="DG165" t="s">
        <v>3</v>
      </c>
      <c r="DH165" t="s">
        <v>3</v>
      </c>
      <c r="DI165" t="s">
        <v>3</v>
      </c>
      <c r="DJ165" t="s">
        <v>3</v>
      </c>
      <c r="DK165" t="s">
        <v>3</v>
      </c>
      <c r="DL165" t="s">
        <v>3</v>
      </c>
      <c r="DM165" t="s">
        <v>3</v>
      </c>
      <c r="DN165">
        <v>0</v>
      </c>
      <c r="DO165">
        <v>0</v>
      </c>
      <c r="DP165">
        <v>1</v>
      </c>
      <c r="DQ165">
        <v>1</v>
      </c>
      <c r="DU165">
        <v>1013</v>
      </c>
      <c r="DV165" t="s">
        <v>30</v>
      </c>
      <c r="DW165" t="s">
        <v>30</v>
      </c>
      <c r="DX165">
        <v>1</v>
      </c>
      <c r="EE165">
        <v>39174628</v>
      </c>
      <c r="EF165">
        <v>6</v>
      </c>
      <c r="EG165" t="s">
        <v>19</v>
      </c>
      <c r="EH165">
        <v>0</v>
      </c>
      <c r="EI165" t="s">
        <v>3</v>
      </c>
      <c r="EJ165">
        <v>1</v>
      </c>
      <c r="EK165">
        <v>67001</v>
      </c>
      <c r="EL165" t="s">
        <v>367</v>
      </c>
      <c r="EM165" t="s">
        <v>368</v>
      </c>
      <c r="EO165" t="s">
        <v>3</v>
      </c>
      <c r="EQ165">
        <v>0</v>
      </c>
      <c r="ER165">
        <v>45.55</v>
      </c>
      <c r="ES165">
        <v>0</v>
      </c>
      <c r="ET165">
        <v>0</v>
      </c>
      <c r="EU165">
        <v>0</v>
      </c>
      <c r="EV165">
        <v>45.55</v>
      </c>
      <c r="EW165">
        <v>5.84</v>
      </c>
      <c r="EX165">
        <v>0</v>
      </c>
      <c r="EY165">
        <v>0</v>
      </c>
      <c r="FQ165">
        <v>0</v>
      </c>
      <c r="FR165">
        <f t="shared" si="186"/>
        <v>0</v>
      </c>
      <c r="FS165">
        <v>0</v>
      </c>
      <c r="FX165">
        <v>85</v>
      </c>
      <c r="FY165">
        <v>65</v>
      </c>
      <c r="GA165" t="s">
        <v>3</v>
      </c>
      <c r="GD165">
        <v>0</v>
      </c>
      <c r="GF165">
        <v>-364073208</v>
      </c>
      <c r="GG165">
        <v>1</v>
      </c>
      <c r="GH165">
        <v>1</v>
      </c>
      <c r="GI165">
        <v>4</v>
      </c>
      <c r="GJ165">
        <v>0</v>
      </c>
      <c r="GK165">
        <f>ROUND(R165*(R12)/100,2)</f>
        <v>0</v>
      </c>
      <c r="GL165">
        <f t="shared" si="187"/>
        <v>0</v>
      </c>
      <c r="GM165">
        <f t="shared" si="188"/>
        <v>208.2</v>
      </c>
      <c r="GN165">
        <f t="shared" si="189"/>
        <v>208.2</v>
      </c>
      <c r="GO165">
        <f t="shared" si="190"/>
        <v>0</v>
      </c>
      <c r="GP165">
        <f t="shared" si="191"/>
        <v>0</v>
      </c>
      <c r="GR165">
        <v>0</v>
      </c>
      <c r="GS165">
        <v>3</v>
      </c>
      <c r="GT165">
        <v>0</v>
      </c>
      <c r="GU165" t="s">
        <v>3</v>
      </c>
      <c r="GV165">
        <f t="shared" si="192"/>
        <v>0</v>
      </c>
      <c r="GW165">
        <v>1</v>
      </c>
      <c r="GX165">
        <f t="shared" si="193"/>
        <v>0</v>
      </c>
      <c r="HA165">
        <v>0</v>
      </c>
      <c r="HB165">
        <v>0</v>
      </c>
      <c r="IK165">
        <v>0</v>
      </c>
    </row>
    <row r="166" spans="1:245" x14ac:dyDescent="0.2">
      <c r="A166">
        <v>17</v>
      </c>
      <c r="B166">
        <v>1</v>
      </c>
      <c r="C166">
        <f>ROW(SmtRes!A218)</f>
        <v>218</v>
      </c>
      <c r="D166">
        <f>ROW(EtalonRes!A218)</f>
        <v>218</v>
      </c>
      <c r="E166" t="s">
        <v>395</v>
      </c>
      <c r="F166" t="s">
        <v>396</v>
      </c>
      <c r="G166" t="s">
        <v>397</v>
      </c>
      <c r="H166" t="s">
        <v>30</v>
      </c>
      <c r="I166">
        <v>0.14000000000000001</v>
      </c>
      <c r="J166">
        <v>0</v>
      </c>
      <c r="O166">
        <f t="shared" si="161"/>
        <v>609.67999999999995</v>
      </c>
      <c r="P166">
        <f t="shared" si="162"/>
        <v>0</v>
      </c>
      <c r="Q166">
        <f t="shared" si="163"/>
        <v>0</v>
      </c>
      <c r="R166">
        <f t="shared" si="164"/>
        <v>0</v>
      </c>
      <c r="S166">
        <f t="shared" si="165"/>
        <v>609.67999999999995</v>
      </c>
      <c r="T166">
        <f t="shared" si="166"/>
        <v>0</v>
      </c>
      <c r="U166">
        <f t="shared" si="167"/>
        <v>11.97</v>
      </c>
      <c r="V166">
        <f t="shared" si="168"/>
        <v>0</v>
      </c>
      <c r="W166">
        <f t="shared" si="169"/>
        <v>0</v>
      </c>
      <c r="X166">
        <f t="shared" si="170"/>
        <v>475.55</v>
      </c>
      <c r="Y166">
        <f t="shared" si="171"/>
        <v>304.83999999999997</v>
      </c>
      <c r="AA166">
        <v>39099382</v>
      </c>
      <c r="AB166">
        <f t="shared" si="172"/>
        <v>666.9</v>
      </c>
      <c r="AC166">
        <f t="shared" si="194"/>
        <v>0</v>
      </c>
      <c r="AD166">
        <f t="shared" si="195"/>
        <v>0</v>
      </c>
      <c r="AE166">
        <f t="shared" si="196"/>
        <v>0</v>
      </c>
      <c r="AF166">
        <f t="shared" si="197"/>
        <v>666.9</v>
      </c>
      <c r="AG166">
        <f t="shared" si="173"/>
        <v>0</v>
      </c>
      <c r="AH166">
        <f t="shared" si="198"/>
        <v>85.5</v>
      </c>
      <c r="AI166">
        <f t="shared" si="199"/>
        <v>0</v>
      </c>
      <c r="AJ166">
        <f t="shared" si="174"/>
        <v>0</v>
      </c>
      <c r="AK166">
        <v>666.9</v>
      </c>
      <c r="AL166">
        <v>0</v>
      </c>
      <c r="AM166">
        <v>0</v>
      </c>
      <c r="AN166">
        <v>0</v>
      </c>
      <c r="AO166">
        <v>666.9</v>
      </c>
      <c r="AP166">
        <v>0</v>
      </c>
      <c r="AQ166">
        <v>85.5</v>
      </c>
      <c r="AR166">
        <v>0</v>
      </c>
      <c r="AS166">
        <v>0</v>
      </c>
      <c r="AT166">
        <v>78</v>
      </c>
      <c r="AU166">
        <v>50</v>
      </c>
      <c r="AV166">
        <v>1</v>
      </c>
      <c r="AW166">
        <v>1</v>
      </c>
      <c r="AZ166">
        <v>6.53</v>
      </c>
      <c r="BA166">
        <v>6.53</v>
      </c>
      <c r="BB166">
        <v>6.53</v>
      </c>
      <c r="BC166">
        <v>6.53</v>
      </c>
      <c r="BD166" t="s">
        <v>3</v>
      </c>
      <c r="BE166" t="s">
        <v>3</v>
      </c>
      <c r="BF166" t="s">
        <v>3</v>
      </c>
      <c r="BG166" t="s">
        <v>3</v>
      </c>
      <c r="BH166">
        <v>0</v>
      </c>
      <c r="BI166">
        <v>1</v>
      </c>
      <c r="BJ166" t="s">
        <v>398</v>
      </c>
      <c r="BM166">
        <v>69001</v>
      </c>
      <c r="BN166">
        <v>0</v>
      </c>
      <c r="BO166" t="s">
        <v>3</v>
      </c>
      <c r="BP166">
        <v>0</v>
      </c>
      <c r="BQ166">
        <v>6</v>
      </c>
      <c r="BR166">
        <v>0</v>
      </c>
      <c r="BS166">
        <v>6.53</v>
      </c>
      <c r="BT166">
        <v>1</v>
      </c>
      <c r="BU166">
        <v>1</v>
      </c>
      <c r="BV166">
        <v>1</v>
      </c>
      <c r="BW166">
        <v>1</v>
      </c>
      <c r="BX166">
        <v>1</v>
      </c>
      <c r="BY166" t="s">
        <v>3</v>
      </c>
      <c r="BZ166">
        <v>78</v>
      </c>
      <c r="CA166">
        <v>50</v>
      </c>
      <c r="CF166">
        <v>0</v>
      </c>
      <c r="CG166">
        <v>0</v>
      </c>
      <c r="CM166">
        <v>0</v>
      </c>
      <c r="CN166" t="s">
        <v>3</v>
      </c>
      <c r="CO166">
        <v>0</v>
      </c>
      <c r="CP166">
        <f t="shared" si="175"/>
        <v>609.67999999999995</v>
      </c>
      <c r="CQ166">
        <f t="shared" si="176"/>
        <v>0</v>
      </c>
      <c r="CR166">
        <f t="shared" si="177"/>
        <v>0</v>
      </c>
      <c r="CS166">
        <f t="shared" si="178"/>
        <v>0</v>
      </c>
      <c r="CT166">
        <f t="shared" si="179"/>
        <v>4354.857</v>
      </c>
      <c r="CU166">
        <f t="shared" si="180"/>
        <v>0</v>
      </c>
      <c r="CV166">
        <f t="shared" si="181"/>
        <v>85.5</v>
      </c>
      <c r="CW166">
        <f t="shared" si="182"/>
        <v>0</v>
      </c>
      <c r="CX166">
        <f t="shared" si="183"/>
        <v>0</v>
      </c>
      <c r="CY166">
        <f t="shared" si="184"/>
        <v>475.55039999999991</v>
      </c>
      <c r="CZ166">
        <f t="shared" si="185"/>
        <v>304.83999999999997</v>
      </c>
      <c r="DC166" t="s">
        <v>3</v>
      </c>
      <c r="DD166" t="s">
        <v>3</v>
      </c>
      <c r="DE166" t="s">
        <v>3</v>
      </c>
      <c r="DF166" t="s">
        <v>3</v>
      </c>
      <c r="DG166" t="s">
        <v>3</v>
      </c>
      <c r="DH166" t="s">
        <v>3</v>
      </c>
      <c r="DI166" t="s">
        <v>3</v>
      </c>
      <c r="DJ166" t="s">
        <v>3</v>
      </c>
      <c r="DK166" t="s">
        <v>3</v>
      </c>
      <c r="DL166" t="s">
        <v>3</v>
      </c>
      <c r="DM166" t="s">
        <v>3</v>
      </c>
      <c r="DN166">
        <v>0</v>
      </c>
      <c r="DO166">
        <v>0</v>
      </c>
      <c r="DP166">
        <v>1</v>
      </c>
      <c r="DQ166">
        <v>1</v>
      </c>
      <c r="DU166">
        <v>1013</v>
      </c>
      <c r="DV166" t="s">
        <v>30</v>
      </c>
      <c r="DW166" t="s">
        <v>30</v>
      </c>
      <c r="DX166">
        <v>1</v>
      </c>
      <c r="EE166">
        <v>39174630</v>
      </c>
      <c r="EF166">
        <v>6</v>
      </c>
      <c r="EG166" t="s">
        <v>19</v>
      </c>
      <c r="EH166">
        <v>0</v>
      </c>
      <c r="EI166" t="s">
        <v>3</v>
      </c>
      <c r="EJ166">
        <v>1</v>
      </c>
      <c r="EK166">
        <v>69001</v>
      </c>
      <c r="EL166" t="s">
        <v>246</v>
      </c>
      <c r="EM166" t="s">
        <v>247</v>
      </c>
      <c r="EO166" t="s">
        <v>3</v>
      </c>
      <c r="EQ166">
        <v>0</v>
      </c>
      <c r="ER166">
        <v>666.9</v>
      </c>
      <c r="ES166">
        <v>0</v>
      </c>
      <c r="ET166">
        <v>0</v>
      </c>
      <c r="EU166">
        <v>0</v>
      </c>
      <c r="EV166">
        <v>666.9</v>
      </c>
      <c r="EW166">
        <v>85.5</v>
      </c>
      <c r="EX166">
        <v>0</v>
      </c>
      <c r="EY166">
        <v>0</v>
      </c>
      <c r="FQ166">
        <v>0</v>
      </c>
      <c r="FR166">
        <f t="shared" si="186"/>
        <v>0</v>
      </c>
      <c r="FS166">
        <v>0</v>
      </c>
      <c r="FX166">
        <v>78</v>
      </c>
      <c r="FY166">
        <v>50</v>
      </c>
      <c r="GA166" t="s">
        <v>3</v>
      </c>
      <c r="GD166">
        <v>0</v>
      </c>
      <c r="GF166">
        <v>-1582211729</v>
      </c>
      <c r="GG166">
        <v>1</v>
      </c>
      <c r="GH166">
        <v>1</v>
      </c>
      <c r="GI166">
        <v>4</v>
      </c>
      <c r="GJ166">
        <v>0</v>
      </c>
      <c r="GK166">
        <f>ROUND(R166*(R12)/100,2)</f>
        <v>0</v>
      </c>
      <c r="GL166">
        <f t="shared" si="187"/>
        <v>0</v>
      </c>
      <c r="GM166">
        <f t="shared" si="188"/>
        <v>1390.07</v>
      </c>
      <c r="GN166">
        <f t="shared" si="189"/>
        <v>1390.07</v>
      </c>
      <c r="GO166">
        <f t="shared" si="190"/>
        <v>0</v>
      </c>
      <c r="GP166">
        <f t="shared" si="191"/>
        <v>0</v>
      </c>
      <c r="GR166">
        <v>0</v>
      </c>
      <c r="GS166">
        <v>3</v>
      </c>
      <c r="GT166">
        <v>0</v>
      </c>
      <c r="GU166" t="s">
        <v>3</v>
      </c>
      <c r="GV166">
        <f t="shared" si="192"/>
        <v>0</v>
      </c>
      <c r="GW166">
        <v>1</v>
      </c>
      <c r="GX166">
        <f t="shared" si="193"/>
        <v>0</v>
      </c>
      <c r="HA166">
        <v>0</v>
      </c>
      <c r="HB166">
        <v>0</v>
      </c>
      <c r="IK166">
        <v>0</v>
      </c>
    </row>
    <row r="167" spans="1:245" x14ac:dyDescent="0.2">
      <c r="A167">
        <v>17</v>
      </c>
      <c r="B167">
        <v>1</v>
      </c>
      <c r="C167">
        <f>ROW(SmtRes!A229)</f>
        <v>229</v>
      </c>
      <c r="D167">
        <f>ROW(EtalonRes!A228)</f>
        <v>228</v>
      </c>
      <c r="E167" t="s">
        <v>399</v>
      </c>
      <c r="F167" t="s">
        <v>400</v>
      </c>
      <c r="G167" t="s">
        <v>401</v>
      </c>
      <c r="H167" t="s">
        <v>17</v>
      </c>
      <c r="I167">
        <f>ROUND(9.8/100,9)</f>
        <v>9.8000000000000004E-2</v>
      </c>
      <c r="J167">
        <v>0</v>
      </c>
      <c r="O167">
        <f t="shared" si="161"/>
        <v>160.57</v>
      </c>
      <c r="P167">
        <f t="shared" si="162"/>
        <v>56.15</v>
      </c>
      <c r="Q167">
        <f t="shared" si="163"/>
        <v>12.51</v>
      </c>
      <c r="R167">
        <f t="shared" si="164"/>
        <v>1.77</v>
      </c>
      <c r="S167">
        <f t="shared" si="165"/>
        <v>91.91</v>
      </c>
      <c r="T167">
        <f t="shared" si="166"/>
        <v>0</v>
      </c>
      <c r="U167">
        <f t="shared" si="167"/>
        <v>1.4974400000000001</v>
      </c>
      <c r="V167">
        <f t="shared" si="168"/>
        <v>2.1559999999999999E-2</v>
      </c>
      <c r="W167">
        <f t="shared" si="169"/>
        <v>0</v>
      </c>
      <c r="X167">
        <f t="shared" si="170"/>
        <v>89</v>
      </c>
      <c r="Y167">
        <f t="shared" si="171"/>
        <v>60.89</v>
      </c>
      <c r="AA167">
        <v>39099382</v>
      </c>
      <c r="AB167">
        <f t="shared" si="172"/>
        <v>250.92</v>
      </c>
      <c r="AC167">
        <f t="shared" si="194"/>
        <v>87.74</v>
      </c>
      <c r="AD167">
        <f t="shared" si="195"/>
        <v>19.55</v>
      </c>
      <c r="AE167">
        <f t="shared" si="196"/>
        <v>2.77</v>
      </c>
      <c r="AF167">
        <f t="shared" si="197"/>
        <v>143.63</v>
      </c>
      <c r="AG167">
        <f t="shared" si="173"/>
        <v>0</v>
      </c>
      <c r="AH167">
        <f t="shared" si="198"/>
        <v>15.28</v>
      </c>
      <c r="AI167">
        <f t="shared" si="199"/>
        <v>0.22</v>
      </c>
      <c r="AJ167">
        <f t="shared" si="174"/>
        <v>0</v>
      </c>
      <c r="AK167">
        <v>250.92</v>
      </c>
      <c r="AL167">
        <v>87.74</v>
      </c>
      <c r="AM167">
        <v>19.55</v>
      </c>
      <c r="AN167">
        <v>2.77</v>
      </c>
      <c r="AO167">
        <v>143.63</v>
      </c>
      <c r="AP167">
        <v>0</v>
      </c>
      <c r="AQ167">
        <v>15.28</v>
      </c>
      <c r="AR167">
        <v>0.22</v>
      </c>
      <c r="AS167">
        <v>0</v>
      </c>
      <c r="AT167">
        <v>95</v>
      </c>
      <c r="AU167">
        <v>65</v>
      </c>
      <c r="AV167">
        <v>1</v>
      </c>
      <c r="AW167">
        <v>1</v>
      </c>
      <c r="AZ167">
        <v>6.53</v>
      </c>
      <c r="BA167">
        <v>6.53</v>
      </c>
      <c r="BB167">
        <v>6.53</v>
      </c>
      <c r="BC167">
        <v>6.53</v>
      </c>
      <c r="BD167" t="s">
        <v>3</v>
      </c>
      <c r="BE167" t="s">
        <v>3</v>
      </c>
      <c r="BF167" t="s">
        <v>3</v>
      </c>
      <c r="BG167" t="s">
        <v>3</v>
      </c>
      <c r="BH167">
        <v>0</v>
      </c>
      <c r="BI167">
        <v>2</v>
      </c>
      <c r="BJ167" t="s">
        <v>402</v>
      </c>
      <c r="BM167">
        <v>108001</v>
      </c>
      <c r="BN167">
        <v>0</v>
      </c>
      <c r="BO167" t="s">
        <v>3</v>
      </c>
      <c r="BP167">
        <v>0</v>
      </c>
      <c r="BQ167">
        <v>3</v>
      </c>
      <c r="BR167">
        <v>0</v>
      </c>
      <c r="BS167">
        <v>6.53</v>
      </c>
      <c r="BT167">
        <v>1</v>
      </c>
      <c r="BU167">
        <v>1</v>
      </c>
      <c r="BV167">
        <v>1</v>
      </c>
      <c r="BW167">
        <v>1</v>
      </c>
      <c r="BX167">
        <v>1</v>
      </c>
      <c r="BY167" t="s">
        <v>3</v>
      </c>
      <c r="BZ167">
        <v>95</v>
      </c>
      <c r="CA167">
        <v>65</v>
      </c>
      <c r="CF167">
        <v>0</v>
      </c>
      <c r="CG167">
        <v>0</v>
      </c>
      <c r="CM167">
        <v>0</v>
      </c>
      <c r="CN167" t="s">
        <v>3</v>
      </c>
      <c r="CO167">
        <v>0</v>
      </c>
      <c r="CP167">
        <f t="shared" si="175"/>
        <v>160.57</v>
      </c>
      <c r="CQ167">
        <f t="shared" si="176"/>
        <v>572.94219999999996</v>
      </c>
      <c r="CR167">
        <f t="shared" si="177"/>
        <v>127.6615</v>
      </c>
      <c r="CS167">
        <f t="shared" si="178"/>
        <v>18.088100000000001</v>
      </c>
      <c r="CT167">
        <f t="shared" si="179"/>
        <v>937.90390000000002</v>
      </c>
      <c r="CU167">
        <f t="shared" si="180"/>
        <v>0</v>
      </c>
      <c r="CV167">
        <f t="shared" si="181"/>
        <v>15.28</v>
      </c>
      <c r="CW167">
        <f t="shared" si="182"/>
        <v>0.22</v>
      </c>
      <c r="CX167">
        <f t="shared" si="183"/>
        <v>0</v>
      </c>
      <c r="CY167">
        <f t="shared" si="184"/>
        <v>88.995999999999981</v>
      </c>
      <c r="CZ167">
        <f t="shared" si="185"/>
        <v>60.891999999999996</v>
      </c>
      <c r="DC167" t="s">
        <v>3</v>
      </c>
      <c r="DD167" t="s">
        <v>3</v>
      </c>
      <c r="DE167" t="s">
        <v>3</v>
      </c>
      <c r="DF167" t="s">
        <v>3</v>
      </c>
      <c r="DG167" t="s">
        <v>3</v>
      </c>
      <c r="DH167" t="s">
        <v>3</v>
      </c>
      <c r="DI167" t="s">
        <v>3</v>
      </c>
      <c r="DJ167" t="s">
        <v>3</v>
      </c>
      <c r="DK167" t="s">
        <v>3</v>
      </c>
      <c r="DL167" t="s">
        <v>3</v>
      </c>
      <c r="DM167" t="s">
        <v>3</v>
      </c>
      <c r="DN167">
        <v>0</v>
      </c>
      <c r="DO167">
        <v>0</v>
      </c>
      <c r="DP167">
        <v>1</v>
      </c>
      <c r="DQ167">
        <v>1</v>
      </c>
      <c r="DU167">
        <v>1003</v>
      </c>
      <c r="DV167" t="s">
        <v>17</v>
      </c>
      <c r="DW167" t="s">
        <v>17</v>
      </c>
      <c r="DX167">
        <v>100</v>
      </c>
      <c r="EE167">
        <v>39174386</v>
      </c>
      <c r="EF167">
        <v>3</v>
      </c>
      <c r="EG167" t="s">
        <v>374</v>
      </c>
      <c r="EH167">
        <v>0</v>
      </c>
      <c r="EI167" t="s">
        <v>3</v>
      </c>
      <c r="EJ167">
        <v>2</v>
      </c>
      <c r="EK167">
        <v>108001</v>
      </c>
      <c r="EL167" t="s">
        <v>375</v>
      </c>
      <c r="EM167" t="s">
        <v>376</v>
      </c>
      <c r="EO167" t="s">
        <v>3</v>
      </c>
      <c r="EQ167">
        <v>0</v>
      </c>
      <c r="ER167">
        <v>250.92</v>
      </c>
      <c r="ES167">
        <v>87.74</v>
      </c>
      <c r="ET167">
        <v>19.55</v>
      </c>
      <c r="EU167">
        <v>2.77</v>
      </c>
      <c r="EV167">
        <v>143.63</v>
      </c>
      <c r="EW167">
        <v>15.28</v>
      </c>
      <c r="EX167">
        <v>0.22</v>
      </c>
      <c r="EY167">
        <v>0</v>
      </c>
      <c r="FQ167">
        <v>0</v>
      </c>
      <c r="FR167">
        <f t="shared" si="186"/>
        <v>0</v>
      </c>
      <c r="FS167">
        <v>0</v>
      </c>
      <c r="FX167">
        <v>95</v>
      </c>
      <c r="FY167">
        <v>65</v>
      </c>
      <c r="GA167" t="s">
        <v>3</v>
      </c>
      <c r="GD167">
        <v>0</v>
      </c>
      <c r="GF167">
        <v>-1865097555</v>
      </c>
      <c r="GG167">
        <v>1</v>
      </c>
      <c r="GH167">
        <v>1</v>
      </c>
      <c r="GI167">
        <v>4</v>
      </c>
      <c r="GJ167">
        <v>0</v>
      </c>
      <c r="GK167">
        <f>ROUND(R167*(R12)/100,2)</f>
        <v>0</v>
      </c>
      <c r="GL167">
        <f t="shared" si="187"/>
        <v>0</v>
      </c>
      <c r="GM167">
        <f t="shared" si="188"/>
        <v>310.45999999999998</v>
      </c>
      <c r="GN167">
        <f t="shared" si="189"/>
        <v>0</v>
      </c>
      <c r="GO167">
        <f t="shared" si="190"/>
        <v>310.45999999999998</v>
      </c>
      <c r="GP167">
        <f t="shared" si="191"/>
        <v>0</v>
      </c>
      <c r="GR167">
        <v>0</v>
      </c>
      <c r="GS167">
        <v>3</v>
      </c>
      <c r="GT167">
        <v>0</v>
      </c>
      <c r="GU167" t="s">
        <v>3</v>
      </c>
      <c r="GV167">
        <f t="shared" si="192"/>
        <v>0</v>
      </c>
      <c r="GW167">
        <v>1</v>
      </c>
      <c r="GX167">
        <f t="shared" si="193"/>
        <v>0</v>
      </c>
      <c r="HA167">
        <v>0</v>
      </c>
      <c r="HB167">
        <v>0</v>
      </c>
      <c r="IK167">
        <v>0</v>
      </c>
    </row>
    <row r="168" spans="1:245" x14ac:dyDescent="0.2">
      <c r="A168">
        <v>18</v>
      </c>
      <c r="B168">
        <v>1</v>
      </c>
      <c r="C168">
        <v>228</v>
      </c>
      <c r="E168" t="s">
        <v>403</v>
      </c>
      <c r="F168" t="s">
        <v>404</v>
      </c>
      <c r="G168" t="s">
        <v>405</v>
      </c>
      <c r="H168" t="s">
        <v>406</v>
      </c>
      <c r="I168">
        <f>I167*J168</f>
        <v>0.98</v>
      </c>
      <c r="J168">
        <v>10</v>
      </c>
      <c r="O168">
        <f t="shared" si="161"/>
        <v>636.23</v>
      </c>
      <c r="P168">
        <f t="shared" si="162"/>
        <v>636.23</v>
      </c>
      <c r="Q168">
        <f t="shared" si="163"/>
        <v>0</v>
      </c>
      <c r="R168">
        <f t="shared" si="164"/>
        <v>0</v>
      </c>
      <c r="S168">
        <f t="shared" si="165"/>
        <v>0</v>
      </c>
      <c r="T168">
        <f t="shared" si="166"/>
        <v>0</v>
      </c>
      <c r="U168">
        <f t="shared" si="167"/>
        <v>0</v>
      </c>
      <c r="V168">
        <f t="shared" si="168"/>
        <v>0</v>
      </c>
      <c r="W168">
        <f t="shared" si="169"/>
        <v>0</v>
      </c>
      <c r="X168">
        <f t="shared" si="170"/>
        <v>0</v>
      </c>
      <c r="Y168">
        <f t="shared" si="171"/>
        <v>0</v>
      </c>
      <c r="AA168">
        <v>39099382</v>
      </c>
      <c r="AB168">
        <f t="shared" si="172"/>
        <v>99.42</v>
      </c>
      <c r="AC168">
        <f t="shared" si="194"/>
        <v>99.42</v>
      </c>
      <c r="AD168">
        <f t="shared" si="195"/>
        <v>0</v>
      </c>
      <c r="AE168">
        <f t="shared" si="196"/>
        <v>0</v>
      </c>
      <c r="AF168">
        <f t="shared" si="197"/>
        <v>0</v>
      </c>
      <c r="AG168">
        <f t="shared" si="173"/>
        <v>0</v>
      </c>
      <c r="AH168">
        <f t="shared" si="198"/>
        <v>0</v>
      </c>
      <c r="AI168">
        <f t="shared" si="199"/>
        <v>0</v>
      </c>
      <c r="AJ168">
        <f t="shared" si="174"/>
        <v>0</v>
      </c>
      <c r="AK168">
        <v>99.42</v>
      </c>
      <c r="AL168">
        <v>99.42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95</v>
      </c>
      <c r="AU168">
        <v>65</v>
      </c>
      <c r="AV168">
        <v>1</v>
      </c>
      <c r="AW168">
        <v>1</v>
      </c>
      <c r="AZ168">
        <v>6.53</v>
      </c>
      <c r="BA168">
        <v>1</v>
      </c>
      <c r="BB168">
        <v>1</v>
      </c>
      <c r="BC168">
        <v>6.53</v>
      </c>
      <c r="BD168" t="s">
        <v>3</v>
      </c>
      <c r="BE168" t="s">
        <v>3</v>
      </c>
      <c r="BF168" t="s">
        <v>3</v>
      </c>
      <c r="BG168" t="s">
        <v>3</v>
      </c>
      <c r="BH168">
        <v>3</v>
      </c>
      <c r="BI168">
        <v>2</v>
      </c>
      <c r="BJ168" t="s">
        <v>407</v>
      </c>
      <c r="BM168">
        <v>108001</v>
      </c>
      <c r="BN168">
        <v>0</v>
      </c>
      <c r="BO168" t="s">
        <v>3</v>
      </c>
      <c r="BP168">
        <v>0</v>
      </c>
      <c r="BQ168">
        <v>3</v>
      </c>
      <c r="BR168">
        <v>0</v>
      </c>
      <c r="BS168">
        <v>1</v>
      </c>
      <c r="BT168">
        <v>1</v>
      </c>
      <c r="BU168">
        <v>1</v>
      </c>
      <c r="BV168">
        <v>1</v>
      </c>
      <c r="BW168">
        <v>1</v>
      </c>
      <c r="BX168">
        <v>1</v>
      </c>
      <c r="BY168" t="s">
        <v>3</v>
      </c>
      <c r="BZ168">
        <v>95</v>
      </c>
      <c r="CA168">
        <v>65</v>
      </c>
      <c r="CF168">
        <v>0</v>
      </c>
      <c r="CG168">
        <v>0</v>
      </c>
      <c r="CM168">
        <v>0</v>
      </c>
      <c r="CN168" t="s">
        <v>3</v>
      </c>
      <c r="CO168">
        <v>0</v>
      </c>
      <c r="CP168">
        <f t="shared" si="175"/>
        <v>636.23</v>
      </c>
      <c r="CQ168">
        <f t="shared" si="176"/>
        <v>649.21260000000007</v>
      </c>
      <c r="CR168">
        <f t="shared" si="177"/>
        <v>0</v>
      </c>
      <c r="CS168">
        <f t="shared" si="178"/>
        <v>0</v>
      </c>
      <c r="CT168">
        <f t="shared" si="179"/>
        <v>0</v>
      </c>
      <c r="CU168">
        <f t="shared" si="180"/>
        <v>0</v>
      </c>
      <c r="CV168">
        <f t="shared" si="181"/>
        <v>0</v>
      </c>
      <c r="CW168">
        <f t="shared" si="182"/>
        <v>0</v>
      </c>
      <c r="CX168">
        <f t="shared" si="183"/>
        <v>0</v>
      </c>
      <c r="CY168">
        <f t="shared" si="184"/>
        <v>0</v>
      </c>
      <c r="CZ168">
        <f t="shared" si="185"/>
        <v>0</v>
      </c>
      <c r="DC168" t="s">
        <v>3</v>
      </c>
      <c r="DD168" t="s">
        <v>3</v>
      </c>
      <c r="DE168" t="s">
        <v>3</v>
      </c>
      <c r="DF168" t="s">
        <v>3</v>
      </c>
      <c r="DG168" t="s">
        <v>3</v>
      </c>
      <c r="DH168" t="s">
        <v>3</v>
      </c>
      <c r="DI168" t="s">
        <v>3</v>
      </c>
      <c r="DJ168" t="s">
        <v>3</v>
      </c>
      <c r="DK168" t="s">
        <v>3</v>
      </c>
      <c r="DL168" t="s">
        <v>3</v>
      </c>
      <c r="DM168" t="s">
        <v>3</v>
      </c>
      <c r="DN168">
        <v>0</v>
      </c>
      <c r="DO168">
        <v>0</v>
      </c>
      <c r="DP168">
        <v>1</v>
      </c>
      <c r="DQ168">
        <v>1</v>
      </c>
      <c r="DU168">
        <v>1003</v>
      </c>
      <c r="DV168" t="s">
        <v>406</v>
      </c>
      <c r="DW168" t="s">
        <v>406</v>
      </c>
      <c r="DX168">
        <v>10</v>
      </c>
      <c r="EE168">
        <v>39174386</v>
      </c>
      <c r="EF168">
        <v>3</v>
      </c>
      <c r="EG168" t="s">
        <v>374</v>
      </c>
      <c r="EH168">
        <v>0</v>
      </c>
      <c r="EI168" t="s">
        <v>3</v>
      </c>
      <c r="EJ168">
        <v>2</v>
      </c>
      <c r="EK168">
        <v>108001</v>
      </c>
      <c r="EL168" t="s">
        <v>375</v>
      </c>
      <c r="EM168" t="s">
        <v>376</v>
      </c>
      <c r="EO168" t="s">
        <v>3</v>
      </c>
      <c r="EQ168">
        <v>0</v>
      </c>
      <c r="ER168">
        <v>99.42</v>
      </c>
      <c r="ES168">
        <v>99.42</v>
      </c>
      <c r="ET168">
        <v>0</v>
      </c>
      <c r="EU168">
        <v>0</v>
      </c>
      <c r="EV168">
        <v>0</v>
      </c>
      <c r="EW168">
        <v>0</v>
      </c>
      <c r="EX168">
        <v>0</v>
      </c>
      <c r="FQ168">
        <v>0</v>
      </c>
      <c r="FR168">
        <f t="shared" si="186"/>
        <v>0</v>
      </c>
      <c r="FS168">
        <v>0</v>
      </c>
      <c r="FX168">
        <v>95</v>
      </c>
      <c r="FY168">
        <v>65</v>
      </c>
      <c r="GA168" t="s">
        <v>3</v>
      </c>
      <c r="GD168">
        <v>0</v>
      </c>
      <c r="GF168">
        <v>-835976676</v>
      </c>
      <c r="GG168">
        <v>1</v>
      </c>
      <c r="GH168">
        <v>1</v>
      </c>
      <c r="GI168">
        <v>4</v>
      </c>
      <c r="GJ168">
        <v>0</v>
      </c>
      <c r="GK168">
        <f>ROUND(R168*(R12)/100,2)</f>
        <v>0</v>
      </c>
      <c r="GL168">
        <f t="shared" si="187"/>
        <v>0</v>
      </c>
      <c r="GM168">
        <f t="shared" si="188"/>
        <v>636.23</v>
      </c>
      <c r="GN168">
        <f t="shared" si="189"/>
        <v>0</v>
      </c>
      <c r="GO168">
        <f t="shared" si="190"/>
        <v>636.23</v>
      </c>
      <c r="GP168">
        <f t="shared" si="191"/>
        <v>0</v>
      </c>
      <c r="GR168">
        <v>0</v>
      </c>
      <c r="GS168">
        <v>3</v>
      </c>
      <c r="GT168">
        <v>0</v>
      </c>
      <c r="GU168" t="s">
        <v>3</v>
      </c>
      <c r="GV168">
        <f t="shared" si="192"/>
        <v>0</v>
      </c>
      <c r="GW168">
        <v>1</v>
      </c>
      <c r="GX168">
        <f t="shared" si="193"/>
        <v>0</v>
      </c>
      <c r="HA168">
        <v>0</v>
      </c>
      <c r="HB168">
        <v>0</v>
      </c>
      <c r="IK168">
        <v>0</v>
      </c>
    </row>
    <row r="169" spans="1:245" x14ac:dyDescent="0.2">
      <c r="A169">
        <v>17</v>
      </c>
      <c r="B169">
        <v>1</v>
      </c>
      <c r="C169">
        <f>ROW(SmtRes!A235)</f>
        <v>235</v>
      </c>
      <c r="D169">
        <f>ROW(EtalonRes!A233)</f>
        <v>233</v>
      </c>
      <c r="E169" t="s">
        <v>408</v>
      </c>
      <c r="F169" t="s">
        <v>409</v>
      </c>
      <c r="G169" t="s">
        <v>410</v>
      </c>
      <c r="H169" t="s">
        <v>350</v>
      </c>
      <c r="I169">
        <v>110</v>
      </c>
      <c r="J169">
        <v>0</v>
      </c>
      <c r="O169">
        <f t="shared" si="161"/>
        <v>3799.8</v>
      </c>
      <c r="P169">
        <f t="shared" si="162"/>
        <v>294.5</v>
      </c>
      <c r="Q169">
        <f t="shared" si="163"/>
        <v>0</v>
      </c>
      <c r="R169">
        <f t="shared" si="164"/>
        <v>0</v>
      </c>
      <c r="S169">
        <f t="shared" si="165"/>
        <v>3505.3</v>
      </c>
      <c r="T169">
        <f t="shared" si="166"/>
        <v>0</v>
      </c>
      <c r="U169">
        <f t="shared" si="167"/>
        <v>55</v>
      </c>
      <c r="V169">
        <f t="shared" si="168"/>
        <v>0</v>
      </c>
      <c r="W169">
        <f t="shared" si="169"/>
        <v>0</v>
      </c>
      <c r="X169">
        <f t="shared" si="170"/>
        <v>2804.24</v>
      </c>
      <c r="Y169">
        <f t="shared" si="171"/>
        <v>2103.1799999999998</v>
      </c>
      <c r="AA169">
        <v>39099382</v>
      </c>
      <c r="AB169">
        <f t="shared" si="172"/>
        <v>5.29</v>
      </c>
      <c r="AC169">
        <f t="shared" si="194"/>
        <v>0.41</v>
      </c>
      <c r="AD169">
        <f t="shared" si="195"/>
        <v>0</v>
      </c>
      <c r="AE169">
        <f t="shared" si="196"/>
        <v>0</v>
      </c>
      <c r="AF169">
        <f t="shared" si="197"/>
        <v>4.88</v>
      </c>
      <c r="AG169">
        <f t="shared" si="173"/>
        <v>0</v>
      </c>
      <c r="AH169">
        <f t="shared" si="198"/>
        <v>0.5</v>
      </c>
      <c r="AI169">
        <f t="shared" si="199"/>
        <v>0</v>
      </c>
      <c r="AJ169">
        <f t="shared" si="174"/>
        <v>0</v>
      </c>
      <c r="AK169">
        <v>5.29</v>
      </c>
      <c r="AL169">
        <v>0.41</v>
      </c>
      <c r="AM169">
        <v>0</v>
      </c>
      <c r="AN169">
        <v>0</v>
      </c>
      <c r="AO169">
        <v>4.88</v>
      </c>
      <c r="AP169">
        <v>0</v>
      </c>
      <c r="AQ169">
        <v>0.5</v>
      </c>
      <c r="AR169">
        <v>0</v>
      </c>
      <c r="AS169">
        <v>0</v>
      </c>
      <c r="AT169">
        <v>80</v>
      </c>
      <c r="AU169">
        <v>60</v>
      </c>
      <c r="AV169">
        <v>1</v>
      </c>
      <c r="AW169">
        <v>1</v>
      </c>
      <c r="AZ169">
        <v>6.53</v>
      </c>
      <c r="BA169">
        <v>6.53</v>
      </c>
      <c r="BB169">
        <v>6.53</v>
      </c>
      <c r="BC169">
        <v>6.53</v>
      </c>
      <c r="BD169" t="s">
        <v>3</v>
      </c>
      <c r="BE169" t="s">
        <v>3</v>
      </c>
      <c r="BF169" t="s">
        <v>3</v>
      </c>
      <c r="BG169" t="s">
        <v>3</v>
      </c>
      <c r="BH169">
        <v>0</v>
      </c>
      <c r="BI169">
        <v>2</v>
      </c>
      <c r="BJ169" t="s">
        <v>411</v>
      </c>
      <c r="BM169">
        <v>110011</v>
      </c>
      <c r="BN169">
        <v>0</v>
      </c>
      <c r="BO169" t="s">
        <v>3</v>
      </c>
      <c r="BP169">
        <v>0</v>
      </c>
      <c r="BQ169">
        <v>3</v>
      </c>
      <c r="BR169">
        <v>0</v>
      </c>
      <c r="BS169">
        <v>6.53</v>
      </c>
      <c r="BT169">
        <v>1</v>
      </c>
      <c r="BU169">
        <v>1</v>
      </c>
      <c r="BV169">
        <v>1</v>
      </c>
      <c r="BW169">
        <v>1</v>
      </c>
      <c r="BX169">
        <v>1</v>
      </c>
      <c r="BY169" t="s">
        <v>3</v>
      </c>
      <c r="BZ169">
        <v>80</v>
      </c>
      <c r="CA169">
        <v>60</v>
      </c>
      <c r="CF169">
        <v>0</v>
      </c>
      <c r="CG169">
        <v>0</v>
      </c>
      <c r="CM169">
        <v>0</v>
      </c>
      <c r="CN169" t="s">
        <v>3</v>
      </c>
      <c r="CO169">
        <v>0</v>
      </c>
      <c r="CP169">
        <f t="shared" si="175"/>
        <v>3799.8</v>
      </c>
      <c r="CQ169">
        <f t="shared" si="176"/>
        <v>2.6772999999999998</v>
      </c>
      <c r="CR169">
        <f t="shared" si="177"/>
        <v>0</v>
      </c>
      <c r="CS169">
        <f t="shared" si="178"/>
        <v>0</v>
      </c>
      <c r="CT169">
        <f t="shared" si="179"/>
        <v>31.866400000000002</v>
      </c>
      <c r="CU169">
        <f t="shared" si="180"/>
        <v>0</v>
      </c>
      <c r="CV169">
        <f t="shared" si="181"/>
        <v>0.5</v>
      </c>
      <c r="CW169">
        <f t="shared" si="182"/>
        <v>0</v>
      </c>
      <c r="CX169">
        <f t="shared" si="183"/>
        <v>0</v>
      </c>
      <c r="CY169">
        <f t="shared" si="184"/>
        <v>2804.24</v>
      </c>
      <c r="CZ169">
        <f t="shared" si="185"/>
        <v>2103.1799999999998</v>
      </c>
      <c r="DC169" t="s">
        <v>3</v>
      </c>
      <c r="DD169" t="s">
        <v>3</v>
      </c>
      <c r="DE169" t="s">
        <v>3</v>
      </c>
      <c r="DF169" t="s">
        <v>3</v>
      </c>
      <c r="DG169" t="s">
        <v>3</v>
      </c>
      <c r="DH169" t="s">
        <v>3</v>
      </c>
      <c r="DI169" t="s">
        <v>3</v>
      </c>
      <c r="DJ169" t="s">
        <v>3</v>
      </c>
      <c r="DK169" t="s">
        <v>3</v>
      </c>
      <c r="DL169" t="s">
        <v>3</v>
      </c>
      <c r="DM169" t="s">
        <v>3</v>
      </c>
      <c r="DN169">
        <v>0</v>
      </c>
      <c r="DO169">
        <v>0</v>
      </c>
      <c r="DP169">
        <v>1</v>
      </c>
      <c r="DQ169">
        <v>1</v>
      </c>
      <c r="DU169">
        <v>1013</v>
      </c>
      <c r="DV169" t="s">
        <v>350</v>
      </c>
      <c r="DW169" t="s">
        <v>350</v>
      </c>
      <c r="DX169">
        <v>1</v>
      </c>
      <c r="EE169">
        <v>39174433</v>
      </c>
      <c r="EF169">
        <v>3</v>
      </c>
      <c r="EG169" t="s">
        <v>374</v>
      </c>
      <c r="EH169">
        <v>0</v>
      </c>
      <c r="EI169" t="s">
        <v>3</v>
      </c>
      <c r="EJ169">
        <v>2</v>
      </c>
      <c r="EK169">
        <v>110011</v>
      </c>
      <c r="EL169" t="s">
        <v>412</v>
      </c>
      <c r="EM169" t="s">
        <v>413</v>
      </c>
      <c r="EO169" t="s">
        <v>3</v>
      </c>
      <c r="EQ169">
        <v>0</v>
      </c>
      <c r="ER169">
        <v>5.29</v>
      </c>
      <c r="ES169">
        <v>0.41</v>
      </c>
      <c r="ET169">
        <v>0</v>
      </c>
      <c r="EU169">
        <v>0</v>
      </c>
      <c r="EV169">
        <v>4.88</v>
      </c>
      <c r="EW169">
        <v>0.5</v>
      </c>
      <c r="EX169">
        <v>0</v>
      </c>
      <c r="EY169">
        <v>0</v>
      </c>
      <c r="FQ169">
        <v>0</v>
      </c>
      <c r="FR169">
        <f t="shared" si="186"/>
        <v>0</v>
      </c>
      <c r="FS169">
        <v>0</v>
      </c>
      <c r="FX169">
        <v>80</v>
      </c>
      <c r="FY169">
        <v>60</v>
      </c>
      <c r="GA169" t="s">
        <v>3</v>
      </c>
      <c r="GD169">
        <v>0</v>
      </c>
      <c r="GF169">
        <v>287023441</v>
      </c>
      <c r="GG169">
        <v>1</v>
      </c>
      <c r="GH169">
        <v>1</v>
      </c>
      <c r="GI169">
        <v>4</v>
      </c>
      <c r="GJ169">
        <v>0</v>
      </c>
      <c r="GK169">
        <f>ROUND(R169*(R12)/100,2)</f>
        <v>0</v>
      </c>
      <c r="GL169">
        <f t="shared" si="187"/>
        <v>0</v>
      </c>
      <c r="GM169">
        <f t="shared" si="188"/>
        <v>8707.2199999999993</v>
      </c>
      <c r="GN169">
        <f t="shared" si="189"/>
        <v>0</v>
      </c>
      <c r="GO169">
        <f t="shared" si="190"/>
        <v>8707.2199999999993</v>
      </c>
      <c r="GP169">
        <f t="shared" si="191"/>
        <v>0</v>
      </c>
      <c r="GR169">
        <v>0</v>
      </c>
      <c r="GS169">
        <v>3</v>
      </c>
      <c r="GT169">
        <v>0</v>
      </c>
      <c r="GU169" t="s">
        <v>3</v>
      </c>
      <c r="GV169">
        <f t="shared" si="192"/>
        <v>0</v>
      </c>
      <c r="GW169">
        <v>1</v>
      </c>
      <c r="GX169">
        <f t="shared" si="193"/>
        <v>0</v>
      </c>
      <c r="HA169">
        <v>0</v>
      </c>
      <c r="HB169">
        <v>0</v>
      </c>
      <c r="IK169">
        <v>0</v>
      </c>
    </row>
    <row r="170" spans="1:245" x14ac:dyDescent="0.2">
      <c r="A170">
        <v>18</v>
      </c>
      <c r="B170">
        <v>1</v>
      </c>
      <c r="C170">
        <v>234</v>
      </c>
      <c r="E170" t="s">
        <v>414</v>
      </c>
      <c r="F170" t="s">
        <v>415</v>
      </c>
      <c r="G170" t="s">
        <v>416</v>
      </c>
      <c r="H170" t="s">
        <v>417</v>
      </c>
      <c r="I170">
        <f>I169*J170</f>
        <v>11</v>
      </c>
      <c r="J170">
        <v>0.1</v>
      </c>
      <c r="O170">
        <f t="shared" si="161"/>
        <v>4482.1899999999996</v>
      </c>
      <c r="P170">
        <f t="shared" si="162"/>
        <v>4482.1899999999996</v>
      </c>
      <c r="Q170">
        <f t="shared" si="163"/>
        <v>0</v>
      </c>
      <c r="R170">
        <f t="shared" si="164"/>
        <v>0</v>
      </c>
      <c r="S170">
        <f t="shared" si="165"/>
        <v>0</v>
      </c>
      <c r="T170">
        <f t="shared" si="166"/>
        <v>0</v>
      </c>
      <c r="U170">
        <f t="shared" si="167"/>
        <v>0</v>
      </c>
      <c r="V170">
        <f t="shared" si="168"/>
        <v>0</v>
      </c>
      <c r="W170">
        <f t="shared" si="169"/>
        <v>0</v>
      </c>
      <c r="X170">
        <f t="shared" si="170"/>
        <v>0</v>
      </c>
      <c r="Y170">
        <f t="shared" si="171"/>
        <v>0</v>
      </c>
      <c r="AA170">
        <v>39099382</v>
      </c>
      <c r="AB170">
        <f t="shared" si="172"/>
        <v>62.4</v>
      </c>
      <c r="AC170">
        <f t="shared" si="194"/>
        <v>62.4</v>
      </c>
      <c r="AD170">
        <f t="shared" si="195"/>
        <v>0</v>
      </c>
      <c r="AE170">
        <f t="shared" si="196"/>
        <v>0</v>
      </c>
      <c r="AF170">
        <f t="shared" si="197"/>
        <v>0</v>
      </c>
      <c r="AG170">
        <f t="shared" si="173"/>
        <v>0</v>
      </c>
      <c r="AH170">
        <f t="shared" si="198"/>
        <v>0</v>
      </c>
      <c r="AI170">
        <f t="shared" si="199"/>
        <v>0</v>
      </c>
      <c r="AJ170">
        <f t="shared" si="174"/>
        <v>0</v>
      </c>
      <c r="AK170">
        <v>62.4</v>
      </c>
      <c r="AL170">
        <v>62.4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80</v>
      </c>
      <c r="AU170">
        <v>60</v>
      </c>
      <c r="AV170">
        <v>1</v>
      </c>
      <c r="AW170">
        <v>1</v>
      </c>
      <c r="AZ170">
        <v>6.53</v>
      </c>
      <c r="BA170">
        <v>1</v>
      </c>
      <c r="BB170">
        <v>1</v>
      </c>
      <c r="BC170">
        <v>6.53</v>
      </c>
      <c r="BD170" t="s">
        <v>3</v>
      </c>
      <c r="BE170" t="s">
        <v>3</v>
      </c>
      <c r="BF170" t="s">
        <v>3</v>
      </c>
      <c r="BG170" t="s">
        <v>3</v>
      </c>
      <c r="BH170">
        <v>3</v>
      </c>
      <c r="BI170">
        <v>2</v>
      </c>
      <c r="BJ170" t="s">
        <v>418</v>
      </c>
      <c r="BM170">
        <v>110011</v>
      </c>
      <c r="BN170">
        <v>0</v>
      </c>
      <c r="BO170" t="s">
        <v>3</v>
      </c>
      <c r="BP170">
        <v>0</v>
      </c>
      <c r="BQ170">
        <v>3</v>
      </c>
      <c r="BR170">
        <v>0</v>
      </c>
      <c r="BS170">
        <v>1</v>
      </c>
      <c r="BT170">
        <v>1</v>
      </c>
      <c r="BU170">
        <v>1</v>
      </c>
      <c r="BV170">
        <v>1</v>
      </c>
      <c r="BW170">
        <v>1</v>
      </c>
      <c r="BX170">
        <v>1</v>
      </c>
      <c r="BY170" t="s">
        <v>3</v>
      </c>
      <c r="BZ170">
        <v>80</v>
      </c>
      <c r="CA170">
        <v>60</v>
      </c>
      <c r="CF170">
        <v>0</v>
      </c>
      <c r="CG170">
        <v>0</v>
      </c>
      <c r="CM170">
        <v>0</v>
      </c>
      <c r="CN170" t="s">
        <v>3</v>
      </c>
      <c r="CO170">
        <v>0</v>
      </c>
      <c r="CP170">
        <f t="shared" si="175"/>
        <v>4482.1899999999996</v>
      </c>
      <c r="CQ170">
        <f t="shared" si="176"/>
        <v>407.47199999999998</v>
      </c>
      <c r="CR170">
        <f t="shared" si="177"/>
        <v>0</v>
      </c>
      <c r="CS170">
        <f t="shared" si="178"/>
        <v>0</v>
      </c>
      <c r="CT170">
        <f t="shared" si="179"/>
        <v>0</v>
      </c>
      <c r="CU170">
        <f t="shared" si="180"/>
        <v>0</v>
      </c>
      <c r="CV170">
        <f t="shared" si="181"/>
        <v>0</v>
      </c>
      <c r="CW170">
        <f t="shared" si="182"/>
        <v>0</v>
      </c>
      <c r="CX170">
        <f t="shared" si="183"/>
        <v>0</v>
      </c>
      <c r="CY170">
        <f t="shared" si="184"/>
        <v>0</v>
      </c>
      <c r="CZ170">
        <f t="shared" si="185"/>
        <v>0</v>
      </c>
      <c r="DC170" t="s">
        <v>3</v>
      </c>
      <c r="DD170" t="s">
        <v>3</v>
      </c>
      <c r="DE170" t="s">
        <v>3</v>
      </c>
      <c r="DF170" t="s">
        <v>3</v>
      </c>
      <c r="DG170" t="s">
        <v>3</v>
      </c>
      <c r="DH170" t="s">
        <v>3</v>
      </c>
      <c r="DI170" t="s">
        <v>3</v>
      </c>
      <c r="DJ170" t="s">
        <v>3</v>
      </c>
      <c r="DK170" t="s">
        <v>3</v>
      </c>
      <c r="DL170" t="s">
        <v>3</v>
      </c>
      <c r="DM170" t="s">
        <v>3</v>
      </c>
      <c r="DN170">
        <v>0</v>
      </c>
      <c r="DO170">
        <v>0</v>
      </c>
      <c r="DP170">
        <v>1</v>
      </c>
      <c r="DQ170">
        <v>1</v>
      </c>
      <c r="DU170">
        <v>1010</v>
      </c>
      <c r="DV170" t="s">
        <v>417</v>
      </c>
      <c r="DW170" t="s">
        <v>417</v>
      </c>
      <c r="DX170">
        <v>10</v>
      </c>
      <c r="EE170">
        <v>39174433</v>
      </c>
      <c r="EF170">
        <v>3</v>
      </c>
      <c r="EG170" t="s">
        <v>374</v>
      </c>
      <c r="EH170">
        <v>0</v>
      </c>
      <c r="EI170" t="s">
        <v>3</v>
      </c>
      <c r="EJ170">
        <v>2</v>
      </c>
      <c r="EK170">
        <v>110011</v>
      </c>
      <c r="EL170" t="s">
        <v>412</v>
      </c>
      <c r="EM170" t="s">
        <v>413</v>
      </c>
      <c r="EO170" t="s">
        <v>3</v>
      </c>
      <c r="EQ170">
        <v>0</v>
      </c>
      <c r="ER170">
        <v>62.4</v>
      </c>
      <c r="ES170">
        <v>62.4</v>
      </c>
      <c r="ET170">
        <v>0</v>
      </c>
      <c r="EU170">
        <v>0</v>
      </c>
      <c r="EV170">
        <v>0</v>
      </c>
      <c r="EW170">
        <v>0</v>
      </c>
      <c r="EX170">
        <v>0</v>
      </c>
      <c r="FQ170">
        <v>0</v>
      </c>
      <c r="FR170">
        <f t="shared" si="186"/>
        <v>0</v>
      </c>
      <c r="FS170">
        <v>0</v>
      </c>
      <c r="FX170">
        <v>80</v>
      </c>
      <c r="FY170">
        <v>60</v>
      </c>
      <c r="GA170" t="s">
        <v>3</v>
      </c>
      <c r="GD170">
        <v>0</v>
      </c>
      <c r="GF170">
        <v>1303598448</v>
      </c>
      <c r="GG170">
        <v>1</v>
      </c>
      <c r="GH170">
        <v>1</v>
      </c>
      <c r="GI170">
        <v>4</v>
      </c>
      <c r="GJ170">
        <v>0</v>
      </c>
      <c r="GK170">
        <f>ROUND(R170*(R12)/100,2)</f>
        <v>0</v>
      </c>
      <c r="GL170">
        <f t="shared" si="187"/>
        <v>0</v>
      </c>
      <c r="GM170">
        <f t="shared" si="188"/>
        <v>4482.1899999999996</v>
      </c>
      <c r="GN170">
        <f t="shared" si="189"/>
        <v>0</v>
      </c>
      <c r="GO170">
        <f t="shared" si="190"/>
        <v>4482.1899999999996</v>
      </c>
      <c r="GP170">
        <f t="shared" si="191"/>
        <v>0</v>
      </c>
      <c r="GR170">
        <v>0</v>
      </c>
      <c r="GS170">
        <v>3</v>
      </c>
      <c r="GT170">
        <v>0</v>
      </c>
      <c r="GU170" t="s">
        <v>3</v>
      </c>
      <c r="GV170">
        <f t="shared" si="192"/>
        <v>0</v>
      </c>
      <c r="GW170">
        <v>1</v>
      </c>
      <c r="GX170">
        <f t="shared" si="193"/>
        <v>0</v>
      </c>
      <c r="HA170">
        <v>0</v>
      </c>
      <c r="HB170">
        <v>0</v>
      </c>
      <c r="IK170">
        <v>0</v>
      </c>
    </row>
    <row r="171" spans="1:245" x14ac:dyDescent="0.2">
      <c r="A171">
        <v>17</v>
      </c>
      <c r="B171">
        <v>1</v>
      </c>
      <c r="C171">
        <f>ROW(SmtRes!A242)</f>
        <v>242</v>
      </c>
      <c r="D171">
        <f>ROW(EtalonRes!A239)</f>
        <v>239</v>
      </c>
      <c r="E171" t="s">
        <v>419</v>
      </c>
      <c r="F171" t="s">
        <v>420</v>
      </c>
      <c r="G171" t="s">
        <v>421</v>
      </c>
      <c r="H171" t="s">
        <v>17</v>
      </c>
      <c r="I171">
        <f>ROUND(57.5/100,9)</f>
        <v>0.57499999999999996</v>
      </c>
      <c r="J171">
        <v>0</v>
      </c>
      <c r="O171">
        <f t="shared" si="161"/>
        <v>1077.31</v>
      </c>
      <c r="P171">
        <f t="shared" si="162"/>
        <v>350.21</v>
      </c>
      <c r="Q171">
        <f t="shared" si="163"/>
        <v>1.1599999999999999</v>
      </c>
      <c r="R171">
        <f t="shared" si="164"/>
        <v>0.53</v>
      </c>
      <c r="S171">
        <f t="shared" si="165"/>
        <v>725.94</v>
      </c>
      <c r="T171">
        <f t="shared" si="166"/>
        <v>0</v>
      </c>
      <c r="U171">
        <f t="shared" si="167"/>
        <v>11.689749999999998</v>
      </c>
      <c r="V171">
        <f t="shared" si="168"/>
        <v>5.7499999999999999E-3</v>
      </c>
      <c r="W171">
        <f t="shared" si="169"/>
        <v>0</v>
      </c>
      <c r="X171">
        <f t="shared" si="170"/>
        <v>690.15</v>
      </c>
      <c r="Y171">
        <f t="shared" si="171"/>
        <v>472.21</v>
      </c>
      <c r="AA171">
        <v>39099382</v>
      </c>
      <c r="AB171">
        <f t="shared" si="172"/>
        <v>286.92</v>
      </c>
      <c r="AC171">
        <f t="shared" si="194"/>
        <v>93.27</v>
      </c>
      <c r="AD171">
        <f t="shared" si="195"/>
        <v>0.31</v>
      </c>
      <c r="AE171">
        <f t="shared" si="196"/>
        <v>0.14000000000000001</v>
      </c>
      <c r="AF171">
        <f t="shared" si="197"/>
        <v>193.34</v>
      </c>
      <c r="AG171">
        <f t="shared" si="173"/>
        <v>0</v>
      </c>
      <c r="AH171">
        <f t="shared" si="198"/>
        <v>20.329999999999998</v>
      </c>
      <c r="AI171">
        <f t="shared" si="199"/>
        <v>0.01</v>
      </c>
      <c r="AJ171">
        <f t="shared" si="174"/>
        <v>0</v>
      </c>
      <c r="AK171">
        <v>286.92</v>
      </c>
      <c r="AL171">
        <v>93.27</v>
      </c>
      <c r="AM171">
        <v>0.31</v>
      </c>
      <c r="AN171">
        <v>0.14000000000000001</v>
      </c>
      <c r="AO171">
        <v>193.34</v>
      </c>
      <c r="AP171">
        <v>0</v>
      </c>
      <c r="AQ171">
        <v>20.329999999999998</v>
      </c>
      <c r="AR171">
        <v>0.01</v>
      </c>
      <c r="AS171">
        <v>0</v>
      </c>
      <c r="AT171">
        <v>95</v>
      </c>
      <c r="AU171">
        <v>65</v>
      </c>
      <c r="AV171">
        <v>1</v>
      </c>
      <c r="AW171">
        <v>1</v>
      </c>
      <c r="AZ171">
        <v>6.53</v>
      </c>
      <c r="BA171">
        <v>6.53</v>
      </c>
      <c r="BB171">
        <v>6.53</v>
      </c>
      <c r="BC171">
        <v>6.53</v>
      </c>
      <c r="BD171" t="s">
        <v>3</v>
      </c>
      <c r="BE171" t="s">
        <v>3</v>
      </c>
      <c r="BF171" t="s">
        <v>3</v>
      </c>
      <c r="BG171" t="s">
        <v>3</v>
      </c>
      <c r="BH171">
        <v>0</v>
      </c>
      <c r="BI171">
        <v>2</v>
      </c>
      <c r="BJ171" t="s">
        <v>422</v>
      </c>
      <c r="BM171">
        <v>108001</v>
      </c>
      <c r="BN171">
        <v>0</v>
      </c>
      <c r="BO171" t="s">
        <v>3</v>
      </c>
      <c r="BP171">
        <v>0</v>
      </c>
      <c r="BQ171">
        <v>3</v>
      </c>
      <c r="BR171">
        <v>0</v>
      </c>
      <c r="BS171">
        <v>6.53</v>
      </c>
      <c r="BT171">
        <v>1</v>
      </c>
      <c r="BU171">
        <v>1</v>
      </c>
      <c r="BV171">
        <v>1</v>
      </c>
      <c r="BW171">
        <v>1</v>
      </c>
      <c r="BX171">
        <v>1</v>
      </c>
      <c r="BY171" t="s">
        <v>3</v>
      </c>
      <c r="BZ171">
        <v>95</v>
      </c>
      <c r="CA171">
        <v>65</v>
      </c>
      <c r="CF171">
        <v>0</v>
      </c>
      <c r="CG171">
        <v>0</v>
      </c>
      <c r="CM171">
        <v>0</v>
      </c>
      <c r="CN171" t="s">
        <v>3</v>
      </c>
      <c r="CO171">
        <v>0</v>
      </c>
      <c r="CP171">
        <f t="shared" si="175"/>
        <v>1077.31</v>
      </c>
      <c r="CQ171">
        <f t="shared" si="176"/>
        <v>609.05309999999997</v>
      </c>
      <c r="CR171">
        <f t="shared" si="177"/>
        <v>2.0243000000000002</v>
      </c>
      <c r="CS171">
        <f t="shared" si="178"/>
        <v>0.91420000000000012</v>
      </c>
      <c r="CT171">
        <f t="shared" si="179"/>
        <v>1262.5102000000002</v>
      </c>
      <c r="CU171">
        <f t="shared" si="180"/>
        <v>0</v>
      </c>
      <c r="CV171">
        <f t="shared" si="181"/>
        <v>20.329999999999998</v>
      </c>
      <c r="CW171">
        <f t="shared" si="182"/>
        <v>0.01</v>
      </c>
      <c r="CX171">
        <f t="shared" si="183"/>
        <v>0</v>
      </c>
      <c r="CY171">
        <f t="shared" si="184"/>
        <v>690.14650000000006</v>
      </c>
      <c r="CZ171">
        <f t="shared" si="185"/>
        <v>472.20550000000003</v>
      </c>
      <c r="DC171" t="s">
        <v>3</v>
      </c>
      <c r="DD171" t="s">
        <v>3</v>
      </c>
      <c r="DE171" t="s">
        <v>3</v>
      </c>
      <c r="DF171" t="s">
        <v>3</v>
      </c>
      <c r="DG171" t="s">
        <v>3</v>
      </c>
      <c r="DH171" t="s">
        <v>3</v>
      </c>
      <c r="DI171" t="s">
        <v>3</v>
      </c>
      <c r="DJ171" t="s">
        <v>3</v>
      </c>
      <c r="DK171" t="s">
        <v>3</v>
      </c>
      <c r="DL171" t="s">
        <v>3</v>
      </c>
      <c r="DM171" t="s">
        <v>3</v>
      </c>
      <c r="DN171">
        <v>0</v>
      </c>
      <c r="DO171">
        <v>0</v>
      </c>
      <c r="DP171">
        <v>1</v>
      </c>
      <c r="DQ171">
        <v>1</v>
      </c>
      <c r="DU171">
        <v>1003</v>
      </c>
      <c r="DV171" t="s">
        <v>17</v>
      </c>
      <c r="DW171" t="s">
        <v>17</v>
      </c>
      <c r="DX171">
        <v>100</v>
      </c>
      <c r="EE171">
        <v>39174386</v>
      </c>
      <c r="EF171">
        <v>3</v>
      </c>
      <c r="EG171" t="s">
        <v>374</v>
      </c>
      <c r="EH171">
        <v>0</v>
      </c>
      <c r="EI171" t="s">
        <v>3</v>
      </c>
      <c r="EJ171">
        <v>2</v>
      </c>
      <c r="EK171">
        <v>108001</v>
      </c>
      <c r="EL171" t="s">
        <v>375</v>
      </c>
      <c r="EM171" t="s">
        <v>376</v>
      </c>
      <c r="EO171" t="s">
        <v>3</v>
      </c>
      <c r="EQ171">
        <v>0</v>
      </c>
      <c r="ER171">
        <v>286.92</v>
      </c>
      <c r="ES171">
        <v>93.27</v>
      </c>
      <c r="ET171">
        <v>0.31</v>
      </c>
      <c r="EU171">
        <v>0.14000000000000001</v>
      </c>
      <c r="EV171">
        <v>193.34</v>
      </c>
      <c r="EW171">
        <v>20.329999999999998</v>
      </c>
      <c r="EX171">
        <v>0.01</v>
      </c>
      <c r="EY171">
        <v>0</v>
      </c>
      <c r="FQ171">
        <v>0</v>
      </c>
      <c r="FR171">
        <f t="shared" si="186"/>
        <v>0</v>
      </c>
      <c r="FS171">
        <v>0</v>
      </c>
      <c r="FX171">
        <v>95</v>
      </c>
      <c r="FY171">
        <v>65</v>
      </c>
      <c r="GA171" t="s">
        <v>3</v>
      </c>
      <c r="GD171">
        <v>0</v>
      </c>
      <c r="GF171">
        <v>816409345</v>
      </c>
      <c r="GG171">
        <v>1</v>
      </c>
      <c r="GH171">
        <v>1</v>
      </c>
      <c r="GI171">
        <v>4</v>
      </c>
      <c r="GJ171">
        <v>0</v>
      </c>
      <c r="GK171">
        <f>ROUND(R171*(R12)/100,2)</f>
        <v>0</v>
      </c>
      <c r="GL171">
        <f t="shared" si="187"/>
        <v>0</v>
      </c>
      <c r="GM171">
        <f t="shared" si="188"/>
        <v>2239.67</v>
      </c>
      <c r="GN171">
        <f t="shared" si="189"/>
        <v>0</v>
      </c>
      <c r="GO171">
        <f t="shared" si="190"/>
        <v>2239.67</v>
      </c>
      <c r="GP171">
        <f t="shared" si="191"/>
        <v>0</v>
      </c>
      <c r="GR171">
        <v>0</v>
      </c>
      <c r="GS171">
        <v>3</v>
      </c>
      <c r="GT171">
        <v>0</v>
      </c>
      <c r="GU171" t="s">
        <v>3</v>
      </c>
      <c r="GV171">
        <f t="shared" si="192"/>
        <v>0</v>
      </c>
      <c r="GW171">
        <v>1</v>
      </c>
      <c r="GX171">
        <f t="shared" si="193"/>
        <v>0</v>
      </c>
      <c r="HA171">
        <v>0</v>
      </c>
      <c r="HB171">
        <v>0</v>
      </c>
      <c r="IK171">
        <v>0</v>
      </c>
    </row>
    <row r="172" spans="1:245" x14ac:dyDescent="0.2">
      <c r="A172">
        <v>18</v>
      </c>
      <c r="B172">
        <v>1</v>
      </c>
      <c r="C172">
        <v>241</v>
      </c>
      <c r="E172" t="s">
        <v>423</v>
      </c>
      <c r="F172" t="s">
        <v>424</v>
      </c>
      <c r="G172" t="s">
        <v>425</v>
      </c>
      <c r="H172" t="s">
        <v>17</v>
      </c>
      <c r="I172">
        <f>I171*J172</f>
        <v>0.57499999999999996</v>
      </c>
      <c r="J172">
        <v>1</v>
      </c>
      <c r="O172">
        <f t="shared" si="161"/>
        <v>5106.46</v>
      </c>
      <c r="P172">
        <f t="shared" si="162"/>
        <v>5106.46</v>
      </c>
      <c r="Q172">
        <f t="shared" si="163"/>
        <v>0</v>
      </c>
      <c r="R172">
        <f t="shared" si="164"/>
        <v>0</v>
      </c>
      <c r="S172">
        <f t="shared" si="165"/>
        <v>0</v>
      </c>
      <c r="T172">
        <f t="shared" si="166"/>
        <v>0</v>
      </c>
      <c r="U172">
        <f t="shared" si="167"/>
        <v>0</v>
      </c>
      <c r="V172">
        <f t="shared" si="168"/>
        <v>0</v>
      </c>
      <c r="W172">
        <f t="shared" si="169"/>
        <v>0</v>
      </c>
      <c r="X172">
        <f t="shared" si="170"/>
        <v>0</v>
      </c>
      <c r="Y172">
        <f t="shared" si="171"/>
        <v>0</v>
      </c>
      <c r="AA172">
        <v>39099382</v>
      </c>
      <c r="AB172">
        <f t="shared" si="172"/>
        <v>1360</v>
      </c>
      <c r="AC172">
        <f t="shared" si="194"/>
        <v>1360</v>
      </c>
      <c r="AD172">
        <f t="shared" si="195"/>
        <v>0</v>
      </c>
      <c r="AE172">
        <f t="shared" si="196"/>
        <v>0</v>
      </c>
      <c r="AF172">
        <f t="shared" si="197"/>
        <v>0</v>
      </c>
      <c r="AG172">
        <f t="shared" si="173"/>
        <v>0</v>
      </c>
      <c r="AH172">
        <f t="shared" si="198"/>
        <v>0</v>
      </c>
      <c r="AI172">
        <f t="shared" si="199"/>
        <v>0</v>
      </c>
      <c r="AJ172">
        <f t="shared" si="174"/>
        <v>0</v>
      </c>
      <c r="AK172">
        <v>1360</v>
      </c>
      <c r="AL172">
        <v>1360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95</v>
      </c>
      <c r="AU172">
        <v>65</v>
      </c>
      <c r="AV172">
        <v>1</v>
      </c>
      <c r="AW172">
        <v>1</v>
      </c>
      <c r="AZ172">
        <v>6.53</v>
      </c>
      <c r="BA172">
        <v>1</v>
      </c>
      <c r="BB172">
        <v>1</v>
      </c>
      <c r="BC172">
        <v>6.53</v>
      </c>
      <c r="BD172" t="s">
        <v>3</v>
      </c>
      <c r="BE172" t="s">
        <v>3</v>
      </c>
      <c r="BF172" t="s">
        <v>3</v>
      </c>
      <c r="BG172" t="s">
        <v>3</v>
      </c>
      <c r="BH172">
        <v>3</v>
      </c>
      <c r="BI172">
        <v>2</v>
      </c>
      <c r="BJ172" t="s">
        <v>426</v>
      </c>
      <c r="BM172">
        <v>108001</v>
      </c>
      <c r="BN172">
        <v>0</v>
      </c>
      <c r="BO172" t="s">
        <v>3</v>
      </c>
      <c r="BP172">
        <v>0</v>
      </c>
      <c r="BQ172">
        <v>3</v>
      </c>
      <c r="BR172">
        <v>0</v>
      </c>
      <c r="BS172">
        <v>1</v>
      </c>
      <c r="BT172">
        <v>1</v>
      </c>
      <c r="BU172">
        <v>1</v>
      </c>
      <c r="BV172">
        <v>1</v>
      </c>
      <c r="BW172">
        <v>1</v>
      </c>
      <c r="BX172">
        <v>1</v>
      </c>
      <c r="BY172" t="s">
        <v>3</v>
      </c>
      <c r="BZ172">
        <v>95</v>
      </c>
      <c r="CA172">
        <v>65</v>
      </c>
      <c r="CF172">
        <v>0</v>
      </c>
      <c r="CG172">
        <v>0</v>
      </c>
      <c r="CM172">
        <v>0</v>
      </c>
      <c r="CN172" t="s">
        <v>3</v>
      </c>
      <c r="CO172">
        <v>0</v>
      </c>
      <c r="CP172">
        <f t="shared" si="175"/>
        <v>5106.46</v>
      </c>
      <c r="CQ172">
        <f t="shared" si="176"/>
        <v>8880.8000000000011</v>
      </c>
      <c r="CR172">
        <f t="shared" si="177"/>
        <v>0</v>
      </c>
      <c r="CS172">
        <f t="shared" si="178"/>
        <v>0</v>
      </c>
      <c r="CT172">
        <f t="shared" si="179"/>
        <v>0</v>
      </c>
      <c r="CU172">
        <f t="shared" si="180"/>
        <v>0</v>
      </c>
      <c r="CV172">
        <f t="shared" si="181"/>
        <v>0</v>
      </c>
      <c r="CW172">
        <f t="shared" si="182"/>
        <v>0</v>
      </c>
      <c r="CX172">
        <f t="shared" si="183"/>
        <v>0</v>
      </c>
      <c r="CY172">
        <f t="shared" si="184"/>
        <v>0</v>
      </c>
      <c r="CZ172">
        <f t="shared" si="185"/>
        <v>0</v>
      </c>
      <c r="DC172" t="s">
        <v>3</v>
      </c>
      <c r="DD172" t="s">
        <v>3</v>
      </c>
      <c r="DE172" t="s">
        <v>3</v>
      </c>
      <c r="DF172" t="s">
        <v>3</v>
      </c>
      <c r="DG172" t="s">
        <v>3</v>
      </c>
      <c r="DH172" t="s">
        <v>3</v>
      </c>
      <c r="DI172" t="s">
        <v>3</v>
      </c>
      <c r="DJ172" t="s">
        <v>3</v>
      </c>
      <c r="DK172" t="s">
        <v>3</v>
      </c>
      <c r="DL172" t="s">
        <v>3</v>
      </c>
      <c r="DM172" t="s">
        <v>3</v>
      </c>
      <c r="DN172">
        <v>0</v>
      </c>
      <c r="DO172">
        <v>0</v>
      </c>
      <c r="DP172">
        <v>1</v>
      </c>
      <c r="DQ172">
        <v>1</v>
      </c>
      <c r="DU172">
        <v>1003</v>
      </c>
      <c r="DV172" t="s">
        <v>17</v>
      </c>
      <c r="DW172" t="s">
        <v>17</v>
      </c>
      <c r="DX172">
        <v>100</v>
      </c>
      <c r="EE172">
        <v>39174386</v>
      </c>
      <c r="EF172">
        <v>3</v>
      </c>
      <c r="EG172" t="s">
        <v>374</v>
      </c>
      <c r="EH172">
        <v>0</v>
      </c>
      <c r="EI172" t="s">
        <v>3</v>
      </c>
      <c r="EJ172">
        <v>2</v>
      </c>
      <c r="EK172">
        <v>108001</v>
      </c>
      <c r="EL172" t="s">
        <v>375</v>
      </c>
      <c r="EM172" t="s">
        <v>376</v>
      </c>
      <c r="EO172" t="s">
        <v>3</v>
      </c>
      <c r="EQ172">
        <v>0</v>
      </c>
      <c r="ER172">
        <v>1360</v>
      </c>
      <c r="ES172">
        <v>1360</v>
      </c>
      <c r="ET172">
        <v>0</v>
      </c>
      <c r="EU172">
        <v>0</v>
      </c>
      <c r="EV172">
        <v>0</v>
      </c>
      <c r="EW172">
        <v>0</v>
      </c>
      <c r="EX172">
        <v>0</v>
      </c>
      <c r="FQ172">
        <v>0</v>
      </c>
      <c r="FR172">
        <f t="shared" si="186"/>
        <v>0</v>
      </c>
      <c r="FS172">
        <v>0</v>
      </c>
      <c r="FX172">
        <v>95</v>
      </c>
      <c r="FY172">
        <v>65</v>
      </c>
      <c r="GA172" t="s">
        <v>3</v>
      </c>
      <c r="GD172">
        <v>0</v>
      </c>
      <c r="GF172">
        <v>866845708</v>
      </c>
      <c r="GG172">
        <v>1</v>
      </c>
      <c r="GH172">
        <v>1</v>
      </c>
      <c r="GI172">
        <v>4</v>
      </c>
      <c r="GJ172">
        <v>0</v>
      </c>
      <c r="GK172">
        <f>ROUND(R172*(R12)/100,2)</f>
        <v>0</v>
      </c>
      <c r="GL172">
        <f t="shared" si="187"/>
        <v>0</v>
      </c>
      <c r="GM172">
        <f t="shared" si="188"/>
        <v>5106.46</v>
      </c>
      <c r="GN172">
        <f t="shared" si="189"/>
        <v>0</v>
      </c>
      <c r="GO172">
        <f t="shared" si="190"/>
        <v>5106.46</v>
      </c>
      <c r="GP172">
        <f t="shared" si="191"/>
        <v>0</v>
      </c>
      <c r="GR172">
        <v>0</v>
      </c>
      <c r="GS172">
        <v>3</v>
      </c>
      <c r="GT172">
        <v>0</v>
      </c>
      <c r="GU172" t="s">
        <v>3</v>
      </c>
      <c r="GV172">
        <f t="shared" si="192"/>
        <v>0</v>
      </c>
      <c r="GW172">
        <v>1</v>
      </c>
      <c r="GX172">
        <f t="shared" si="193"/>
        <v>0</v>
      </c>
      <c r="HA172">
        <v>0</v>
      </c>
      <c r="HB172">
        <v>0</v>
      </c>
      <c r="IK172">
        <v>0</v>
      </c>
    </row>
    <row r="173" spans="1:245" x14ac:dyDescent="0.2">
      <c r="A173">
        <v>17</v>
      </c>
      <c r="B173">
        <v>1</v>
      </c>
      <c r="C173">
        <f>ROW(SmtRes!A246)</f>
        <v>246</v>
      </c>
      <c r="D173">
        <f>ROW(EtalonRes!A242)</f>
        <v>242</v>
      </c>
      <c r="E173" t="s">
        <v>427</v>
      </c>
      <c r="F173" t="s">
        <v>428</v>
      </c>
      <c r="G173" t="s">
        <v>429</v>
      </c>
      <c r="H173" t="s">
        <v>17</v>
      </c>
      <c r="I173">
        <v>3.76</v>
      </c>
      <c r="J173">
        <v>0</v>
      </c>
      <c r="O173">
        <f t="shared" si="161"/>
        <v>3838.34</v>
      </c>
      <c r="P173">
        <f t="shared" si="162"/>
        <v>412.24</v>
      </c>
      <c r="Q173">
        <f t="shared" si="163"/>
        <v>0</v>
      </c>
      <c r="R173">
        <f t="shared" si="164"/>
        <v>0</v>
      </c>
      <c r="S173">
        <f t="shared" si="165"/>
        <v>3426.1</v>
      </c>
      <c r="T173">
        <f t="shared" si="166"/>
        <v>0</v>
      </c>
      <c r="U173">
        <f t="shared" si="167"/>
        <v>57.151999999999994</v>
      </c>
      <c r="V173">
        <f t="shared" si="168"/>
        <v>0</v>
      </c>
      <c r="W173">
        <f t="shared" si="169"/>
        <v>0</v>
      </c>
      <c r="X173">
        <f t="shared" si="170"/>
        <v>3254.8</v>
      </c>
      <c r="Y173">
        <f t="shared" si="171"/>
        <v>2226.9699999999998</v>
      </c>
      <c r="AA173">
        <v>39099382</v>
      </c>
      <c r="AB173">
        <f t="shared" si="172"/>
        <v>156.33000000000001</v>
      </c>
      <c r="AC173">
        <f t="shared" si="194"/>
        <v>16.79</v>
      </c>
      <c r="AD173">
        <f t="shared" si="195"/>
        <v>0</v>
      </c>
      <c r="AE173">
        <f t="shared" si="196"/>
        <v>0</v>
      </c>
      <c r="AF173">
        <f t="shared" si="197"/>
        <v>139.54</v>
      </c>
      <c r="AG173">
        <f t="shared" si="173"/>
        <v>0</v>
      </c>
      <c r="AH173">
        <f t="shared" si="198"/>
        <v>15.2</v>
      </c>
      <c r="AI173">
        <f t="shared" si="199"/>
        <v>0</v>
      </c>
      <c r="AJ173">
        <f t="shared" si="174"/>
        <v>0</v>
      </c>
      <c r="AK173">
        <v>156.33000000000001</v>
      </c>
      <c r="AL173">
        <v>16.79</v>
      </c>
      <c r="AM173">
        <v>0</v>
      </c>
      <c r="AN173">
        <v>0</v>
      </c>
      <c r="AO173">
        <v>139.54</v>
      </c>
      <c r="AP173">
        <v>0</v>
      </c>
      <c r="AQ173">
        <v>15.2</v>
      </c>
      <c r="AR173">
        <v>0</v>
      </c>
      <c r="AS173">
        <v>0</v>
      </c>
      <c r="AT173">
        <v>95</v>
      </c>
      <c r="AU173">
        <v>65</v>
      </c>
      <c r="AV173">
        <v>1</v>
      </c>
      <c r="AW173">
        <v>1</v>
      </c>
      <c r="AZ173">
        <v>6.53</v>
      </c>
      <c r="BA173">
        <v>6.53</v>
      </c>
      <c r="BB173">
        <v>6.53</v>
      </c>
      <c r="BC173">
        <v>6.53</v>
      </c>
      <c r="BD173" t="s">
        <v>3</v>
      </c>
      <c r="BE173" t="s">
        <v>3</v>
      </c>
      <c r="BF173" t="s">
        <v>3</v>
      </c>
      <c r="BG173" t="s">
        <v>3</v>
      </c>
      <c r="BH173">
        <v>0</v>
      </c>
      <c r="BI173">
        <v>2</v>
      </c>
      <c r="BJ173" t="s">
        <v>430</v>
      </c>
      <c r="BM173">
        <v>108001</v>
      </c>
      <c r="BN173">
        <v>0</v>
      </c>
      <c r="BO173" t="s">
        <v>3</v>
      </c>
      <c r="BP173">
        <v>0</v>
      </c>
      <c r="BQ173">
        <v>3</v>
      </c>
      <c r="BR173">
        <v>0</v>
      </c>
      <c r="BS173">
        <v>6.53</v>
      </c>
      <c r="BT173">
        <v>1</v>
      </c>
      <c r="BU173">
        <v>1</v>
      </c>
      <c r="BV173">
        <v>1</v>
      </c>
      <c r="BW173">
        <v>1</v>
      </c>
      <c r="BX173">
        <v>1</v>
      </c>
      <c r="BY173" t="s">
        <v>3</v>
      </c>
      <c r="BZ173">
        <v>95</v>
      </c>
      <c r="CA173">
        <v>65</v>
      </c>
      <c r="CF173">
        <v>0</v>
      </c>
      <c r="CG173">
        <v>0</v>
      </c>
      <c r="CM173">
        <v>0</v>
      </c>
      <c r="CN173" t="s">
        <v>3</v>
      </c>
      <c r="CO173">
        <v>0</v>
      </c>
      <c r="CP173">
        <f t="shared" si="175"/>
        <v>3838.34</v>
      </c>
      <c r="CQ173">
        <f t="shared" si="176"/>
        <v>109.6387</v>
      </c>
      <c r="CR173">
        <f t="shared" si="177"/>
        <v>0</v>
      </c>
      <c r="CS173">
        <f t="shared" si="178"/>
        <v>0</v>
      </c>
      <c r="CT173">
        <f t="shared" si="179"/>
        <v>911.19619999999998</v>
      </c>
      <c r="CU173">
        <f t="shared" si="180"/>
        <v>0</v>
      </c>
      <c r="CV173">
        <f t="shared" si="181"/>
        <v>15.2</v>
      </c>
      <c r="CW173">
        <f t="shared" si="182"/>
        <v>0</v>
      </c>
      <c r="CX173">
        <f t="shared" si="183"/>
        <v>0</v>
      </c>
      <c r="CY173">
        <f t="shared" si="184"/>
        <v>3254.7950000000001</v>
      </c>
      <c r="CZ173">
        <f t="shared" si="185"/>
        <v>2226.9650000000001</v>
      </c>
      <c r="DC173" t="s">
        <v>3</v>
      </c>
      <c r="DD173" t="s">
        <v>3</v>
      </c>
      <c r="DE173" t="s">
        <v>3</v>
      </c>
      <c r="DF173" t="s">
        <v>3</v>
      </c>
      <c r="DG173" t="s">
        <v>3</v>
      </c>
      <c r="DH173" t="s">
        <v>3</v>
      </c>
      <c r="DI173" t="s">
        <v>3</v>
      </c>
      <c r="DJ173" t="s">
        <v>3</v>
      </c>
      <c r="DK173" t="s">
        <v>3</v>
      </c>
      <c r="DL173" t="s">
        <v>3</v>
      </c>
      <c r="DM173" t="s">
        <v>3</v>
      </c>
      <c r="DN173">
        <v>0</v>
      </c>
      <c r="DO173">
        <v>0</v>
      </c>
      <c r="DP173">
        <v>1</v>
      </c>
      <c r="DQ173">
        <v>1</v>
      </c>
      <c r="DU173">
        <v>1003</v>
      </c>
      <c r="DV173" t="s">
        <v>17</v>
      </c>
      <c r="DW173" t="s">
        <v>17</v>
      </c>
      <c r="DX173">
        <v>100</v>
      </c>
      <c r="EE173">
        <v>39174386</v>
      </c>
      <c r="EF173">
        <v>3</v>
      </c>
      <c r="EG173" t="s">
        <v>374</v>
      </c>
      <c r="EH173">
        <v>0</v>
      </c>
      <c r="EI173" t="s">
        <v>3</v>
      </c>
      <c r="EJ173">
        <v>2</v>
      </c>
      <c r="EK173">
        <v>108001</v>
      </c>
      <c r="EL173" t="s">
        <v>375</v>
      </c>
      <c r="EM173" t="s">
        <v>376</v>
      </c>
      <c r="EO173" t="s">
        <v>3</v>
      </c>
      <c r="EQ173">
        <v>0</v>
      </c>
      <c r="ER173">
        <v>156.33000000000001</v>
      </c>
      <c r="ES173">
        <v>16.79</v>
      </c>
      <c r="ET173">
        <v>0</v>
      </c>
      <c r="EU173">
        <v>0</v>
      </c>
      <c r="EV173">
        <v>139.54</v>
      </c>
      <c r="EW173">
        <v>15.2</v>
      </c>
      <c r="EX173">
        <v>0</v>
      </c>
      <c r="EY173">
        <v>0</v>
      </c>
      <c r="FQ173">
        <v>0</v>
      </c>
      <c r="FR173">
        <f t="shared" si="186"/>
        <v>0</v>
      </c>
      <c r="FS173">
        <v>0</v>
      </c>
      <c r="FX173">
        <v>95</v>
      </c>
      <c r="FY173">
        <v>65</v>
      </c>
      <c r="GA173" t="s">
        <v>3</v>
      </c>
      <c r="GD173">
        <v>0</v>
      </c>
      <c r="GF173">
        <v>-596386547</v>
      </c>
      <c r="GG173">
        <v>1</v>
      </c>
      <c r="GH173">
        <v>1</v>
      </c>
      <c r="GI173">
        <v>4</v>
      </c>
      <c r="GJ173">
        <v>0</v>
      </c>
      <c r="GK173">
        <f>ROUND(R173*(R12)/100,2)</f>
        <v>0</v>
      </c>
      <c r="GL173">
        <f t="shared" si="187"/>
        <v>0</v>
      </c>
      <c r="GM173">
        <f t="shared" si="188"/>
        <v>9320.11</v>
      </c>
      <c r="GN173">
        <f t="shared" si="189"/>
        <v>0</v>
      </c>
      <c r="GO173">
        <f t="shared" si="190"/>
        <v>9320.11</v>
      </c>
      <c r="GP173">
        <f t="shared" si="191"/>
        <v>0</v>
      </c>
      <c r="GR173">
        <v>0</v>
      </c>
      <c r="GS173">
        <v>3</v>
      </c>
      <c r="GT173">
        <v>0</v>
      </c>
      <c r="GU173" t="s">
        <v>3</v>
      </c>
      <c r="GV173">
        <f t="shared" si="192"/>
        <v>0</v>
      </c>
      <c r="GW173">
        <v>1</v>
      </c>
      <c r="GX173">
        <f t="shared" si="193"/>
        <v>0</v>
      </c>
      <c r="HA173">
        <v>0</v>
      </c>
      <c r="HB173">
        <v>0</v>
      </c>
      <c r="IK173">
        <v>0</v>
      </c>
    </row>
    <row r="174" spans="1:245" x14ac:dyDescent="0.2">
      <c r="A174">
        <v>18</v>
      </c>
      <c r="B174">
        <v>1</v>
      </c>
      <c r="C174">
        <v>245</v>
      </c>
      <c r="E174" t="s">
        <v>431</v>
      </c>
      <c r="F174" t="s">
        <v>432</v>
      </c>
      <c r="G174" t="s">
        <v>433</v>
      </c>
      <c r="H174" t="s">
        <v>406</v>
      </c>
      <c r="I174">
        <f>I173*J174</f>
        <v>37.6</v>
      </c>
      <c r="J174">
        <v>10.000000000000002</v>
      </c>
      <c r="O174">
        <f t="shared" si="161"/>
        <v>7758.68</v>
      </c>
      <c r="P174">
        <f t="shared" si="162"/>
        <v>7758.68</v>
      </c>
      <c r="Q174">
        <f t="shared" si="163"/>
        <v>0</v>
      </c>
      <c r="R174">
        <f t="shared" si="164"/>
        <v>0</v>
      </c>
      <c r="S174">
        <f t="shared" si="165"/>
        <v>0</v>
      </c>
      <c r="T174">
        <f t="shared" si="166"/>
        <v>0</v>
      </c>
      <c r="U174">
        <f t="shared" si="167"/>
        <v>0</v>
      </c>
      <c r="V174">
        <f t="shared" si="168"/>
        <v>0</v>
      </c>
      <c r="W174">
        <f t="shared" si="169"/>
        <v>0</v>
      </c>
      <c r="X174">
        <f t="shared" si="170"/>
        <v>0</v>
      </c>
      <c r="Y174">
        <f t="shared" si="171"/>
        <v>0</v>
      </c>
      <c r="AA174">
        <v>39099382</v>
      </c>
      <c r="AB174">
        <f t="shared" si="172"/>
        <v>31.6</v>
      </c>
      <c r="AC174">
        <f t="shared" si="194"/>
        <v>31.6</v>
      </c>
      <c r="AD174">
        <f t="shared" si="195"/>
        <v>0</v>
      </c>
      <c r="AE174">
        <f t="shared" si="196"/>
        <v>0</v>
      </c>
      <c r="AF174">
        <f t="shared" si="197"/>
        <v>0</v>
      </c>
      <c r="AG174">
        <f t="shared" si="173"/>
        <v>0</v>
      </c>
      <c r="AH174">
        <f t="shared" si="198"/>
        <v>0</v>
      </c>
      <c r="AI174">
        <f t="shared" si="199"/>
        <v>0</v>
      </c>
      <c r="AJ174">
        <f t="shared" si="174"/>
        <v>0</v>
      </c>
      <c r="AK174">
        <v>31.6</v>
      </c>
      <c r="AL174">
        <v>31.6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95</v>
      </c>
      <c r="AU174">
        <v>65</v>
      </c>
      <c r="AV174">
        <v>1</v>
      </c>
      <c r="AW174">
        <v>1</v>
      </c>
      <c r="AZ174">
        <v>6.53</v>
      </c>
      <c r="BA174">
        <v>1</v>
      </c>
      <c r="BB174">
        <v>1</v>
      </c>
      <c r="BC174">
        <v>6.53</v>
      </c>
      <c r="BD174" t="s">
        <v>3</v>
      </c>
      <c r="BE174" t="s">
        <v>3</v>
      </c>
      <c r="BF174" t="s">
        <v>3</v>
      </c>
      <c r="BG174" t="s">
        <v>3</v>
      </c>
      <c r="BH174">
        <v>3</v>
      </c>
      <c r="BI174">
        <v>2</v>
      </c>
      <c r="BJ174" t="s">
        <v>434</v>
      </c>
      <c r="BM174">
        <v>108001</v>
      </c>
      <c r="BN174">
        <v>0</v>
      </c>
      <c r="BO174" t="s">
        <v>3</v>
      </c>
      <c r="BP174">
        <v>0</v>
      </c>
      <c r="BQ174">
        <v>3</v>
      </c>
      <c r="BR174">
        <v>0</v>
      </c>
      <c r="BS174">
        <v>1</v>
      </c>
      <c r="BT174">
        <v>1</v>
      </c>
      <c r="BU174">
        <v>1</v>
      </c>
      <c r="BV174">
        <v>1</v>
      </c>
      <c r="BW174">
        <v>1</v>
      </c>
      <c r="BX174">
        <v>1</v>
      </c>
      <c r="BY174" t="s">
        <v>3</v>
      </c>
      <c r="BZ174">
        <v>95</v>
      </c>
      <c r="CA174">
        <v>65</v>
      </c>
      <c r="CF174">
        <v>0</v>
      </c>
      <c r="CG174">
        <v>0</v>
      </c>
      <c r="CM174">
        <v>0</v>
      </c>
      <c r="CN174" t="s">
        <v>3</v>
      </c>
      <c r="CO174">
        <v>0</v>
      </c>
      <c r="CP174">
        <f t="shared" si="175"/>
        <v>7758.68</v>
      </c>
      <c r="CQ174">
        <f t="shared" si="176"/>
        <v>206.34800000000001</v>
      </c>
      <c r="CR174">
        <f t="shared" si="177"/>
        <v>0</v>
      </c>
      <c r="CS174">
        <f t="shared" si="178"/>
        <v>0</v>
      </c>
      <c r="CT174">
        <f t="shared" si="179"/>
        <v>0</v>
      </c>
      <c r="CU174">
        <f t="shared" si="180"/>
        <v>0</v>
      </c>
      <c r="CV174">
        <f t="shared" si="181"/>
        <v>0</v>
      </c>
      <c r="CW174">
        <f t="shared" si="182"/>
        <v>0</v>
      </c>
      <c r="CX174">
        <f t="shared" si="183"/>
        <v>0</v>
      </c>
      <c r="CY174">
        <f t="shared" si="184"/>
        <v>0</v>
      </c>
      <c r="CZ174">
        <f t="shared" si="185"/>
        <v>0</v>
      </c>
      <c r="DC174" t="s">
        <v>3</v>
      </c>
      <c r="DD174" t="s">
        <v>3</v>
      </c>
      <c r="DE174" t="s">
        <v>3</v>
      </c>
      <c r="DF174" t="s">
        <v>3</v>
      </c>
      <c r="DG174" t="s">
        <v>3</v>
      </c>
      <c r="DH174" t="s">
        <v>3</v>
      </c>
      <c r="DI174" t="s">
        <v>3</v>
      </c>
      <c r="DJ174" t="s">
        <v>3</v>
      </c>
      <c r="DK174" t="s">
        <v>3</v>
      </c>
      <c r="DL174" t="s">
        <v>3</v>
      </c>
      <c r="DM174" t="s">
        <v>3</v>
      </c>
      <c r="DN174">
        <v>0</v>
      </c>
      <c r="DO174">
        <v>0</v>
      </c>
      <c r="DP174">
        <v>1</v>
      </c>
      <c r="DQ174">
        <v>1</v>
      </c>
      <c r="DU174">
        <v>1003</v>
      </c>
      <c r="DV174" t="s">
        <v>406</v>
      </c>
      <c r="DW174" t="s">
        <v>406</v>
      </c>
      <c r="DX174">
        <v>10</v>
      </c>
      <c r="EE174">
        <v>39174386</v>
      </c>
      <c r="EF174">
        <v>3</v>
      </c>
      <c r="EG174" t="s">
        <v>374</v>
      </c>
      <c r="EH174">
        <v>0</v>
      </c>
      <c r="EI174" t="s">
        <v>3</v>
      </c>
      <c r="EJ174">
        <v>2</v>
      </c>
      <c r="EK174">
        <v>108001</v>
      </c>
      <c r="EL174" t="s">
        <v>375</v>
      </c>
      <c r="EM174" t="s">
        <v>376</v>
      </c>
      <c r="EO174" t="s">
        <v>3</v>
      </c>
      <c r="EQ174">
        <v>0</v>
      </c>
      <c r="ER174">
        <v>31.6</v>
      </c>
      <c r="ES174">
        <v>31.6</v>
      </c>
      <c r="ET174">
        <v>0</v>
      </c>
      <c r="EU174">
        <v>0</v>
      </c>
      <c r="EV174">
        <v>0</v>
      </c>
      <c r="EW174">
        <v>0</v>
      </c>
      <c r="EX174">
        <v>0</v>
      </c>
      <c r="FQ174">
        <v>0</v>
      </c>
      <c r="FR174">
        <f t="shared" si="186"/>
        <v>0</v>
      </c>
      <c r="FS174">
        <v>0</v>
      </c>
      <c r="FX174">
        <v>95</v>
      </c>
      <c r="FY174">
        <v>65</v>
      </c>
      <c r="GA174" t="s">
        <v>3</v>
      </c>
      <c r="GD174">
        <v>0</v>
      </c>
      <c r="GF174">
        <v>1745554190</v>
      </c>
      <c r="GG174">
        <v>1</v>
      </c>
      <c r="GH174">
        <v>1</v>
      </c>
      <c r="GI174">
        <v>4</v>
      </c>
      <c r="GJ174">
        <v>0</v>
      </c>
      <c r="GK174">
        <f>ROUND(R174*(R12)/100,2)</f>
        <v>0</v>
      </c>
      <c r="GL174">
        <f t="shared" si="187"/>
        <v>0</v>
      </c>
      <c r="GM174">
        <f t="shared" si="188"/>
        <v>7758.68</v>
      </c>
      <c r="GN174">
        <f t="shared" si="189"/>
        <v>0</v>
      </c>
      <c r="GO174">
        <f t="shared" si="190"/>
        <v>7758.68</v>
      </c>
      <c r="GP174">
        <f t="shared" si="191"/>
        <v>0</v>
      </c>
      <c r="GR174">
        <v>0</v>
      </c>
      <c r="GS174">
        <v>3</v>
      </c>
      <c r="GT174">
        <v>0</v>
      </c>
      <c r="GU174" t="s">
        <v>3</v>
      </c>
      <c r="GV174">
        <f t="shared" si="192"/>
        <v>0</v>
      </c>
      <c r="GW174">
        <v>1</v>
      </c>
      <c r="GX174">
        <f t="shared" si="193"/>
        <v>0</v>
      </c>
      <c r="HA174">
        <v>0</v>
      </c>
      <c r="HB174">
        <v>0</v>
      </c>
      <c r="IK174">
        <v>0</v>
      </c>
    </row>
    <row r="175" spans="1:245" x14ac:dyDescent="0.2">
      <c r="A175">
        <v>17</v>
      </c>
      <c r="B175">
        <v>1</v>
      </c>
      <c r="C175">
        <f>ROW(SmtRes!A255)</f>
        <v>255</v>
      </c>
      <c r="D175">
        <f>ROW(EtalonRes!A250)</f>
        <v>250</v>
      </c>
      <c r="E175" t="s">
        <v>435</v>
      </c>
      <c r="F175" t="s">
        <v>436</v>
      </c>
      <c r="G175" t="s">
        <v>437</v>
      </c>
      <c r="H175" t="s">
        <v>17</v>
      </c>
      <c r="I175">
        <v>0.8</v>
      </c>
      <c r="J175">
        <v>0</v>
      </c>
      <c r="O175">
        <f t="shared" si="161"/>
        <v>264.97000000000003</v>
      </c>
      <c r="P175">
        <f t="shared" si="162"/>
        <v>71.05</v>
      </c>
      <c r="Q175">
        <f t="shared" si="163"/>
        <v>9.3000000000000007</v>
      </c>
      <c r="R175">
        <f t="shared" si="164"/>
        <v>1.36</v>
      </c>
      <c r="S175">
        <f t="shared" si="165"/>
        <v>184.62</v>
      </c>
      <c r="T175">
        <f t="shared" si="166"/>
        <v>0</v>
      </c>
      <c r="U175">
        <f t="shared" si="167"/>
        <v>3.008</v>
      </c>
      <c r="V175">
        <f t="shared" si="168"/>
        <v>1.6E-2</v>
      </c>
      <c r="W175">
        <f t="shared" si="169"/>
        <v>0</v>
      </c>
      <c r="X175">
        <f t="shared" si="170"/>
        <v>176.68</v>
      </c>
      <c r="Y175">
        <f t="shared" si="171"/>
        <v>120.89</v>
      </c>
      <c r="AA175">
        <v>39099382</v>
      </c>
      <c r="AB175">
        <f t="shared" si="172"/>
        <v>50.72</v>
      </c>
      <c r="AC175">
        <f t="shared" si="194"/>
        <v>13.6</v>
      </c>
      <c r="AD175">
        <f t="shared" si="195"/>
        <v>1.78</v>
      </c>
      <c r="AE175">
        <f t="shared" si="196"/>
        <v>0.26</v>
      </c>
      <c r="AF175">
        <f t="shared" si="197"/>
        <v>35.340000000000003</v>
      </c>
      <c r="AG175">
        <f t="shared" si="173"/>
        <v>0</v>
      </c>
      <c r="AH175">
        <f t="shared" si="198"/>
        <v>3.76</v>
      </c>
      <c r="AI175">
        <f t="shared" si="199"/>
        <v>0.02</v>
      </c>
      <c r="AJ175">
        <f t="shared" si="174"/>
        <v>0</v>
      </c>
      <c r="AK175">
        <v>50.72</v>
      </c>
      <c r="AL175">
        <v>13.6</v>
      </c>
      <c r="AM175">
        <v>1.78</v>
      </c>
      <c r="AN175">
        <v>0.26</v>
      </c>
      <c r="AO175">
        <v>35.340000000000003</v>
      </c>
      <c r="AP175">
        <v>0</v>
      </c>
      <c r="AQ175">
        <v>3.76</v>
      </c>
      <c r="AR175">
        <v>0.02</v>
      </c>
      <c r="AS175">
        <v>0</v>
      </c>
      <c r="AT175">
        <v>95</v>
      </c>
      <c r="AU175">
        <v>65</v>
      </c>
      <c r="AV175">
        <v>1</v>
      </c>
      <c r="AW175">
        <v>1</v>
      </c>
      <c r="AZ175">
        <v>6.53</v>
      </c>
      <c r="BA175">
        <v>6.53</v>
      </c>
      <c r="BB175">
        <v>6.53</v>
      </c>
      <c r="BC175">
        <v>6.53</v>
      </c>
      <c r="BD175" t="s">
        <v>3</v>
      </c>
      <c r="BE175" t="s">
        <v>3</v>
      </c>
      <c r="BF175" t="s">
        <v>3</v>
      </c>
      <c r="BG175" t="s">
        <v>3</v>
      </c>
      <c r="BH175">
        <v>0</v>
      </c>
      <c r="BI175">
        <v>2</v>
      </c>
      <c r="BJ175" t="s">
        <v>438</v>
      </c>
      <c r="BM175">
        <v>108001</v>
      </c>
      <c r="BN175">
        <v>0</v>
      </c>
      <c r="BO175" t="s">
        <v>3</v>
      </c>
      <c r="BP175">
        <v>0</v>
      </c>
      <c r="BQ175">
        <v>3</v>
      </c>
      <c r="BR175">
        <v>0</v>
      </c>
      <c r="BS175">
        <v>6.53</v>
      </c>
      <c r="BT175">
        <v>1</v>
      </c>
      <c r="BU175">
        <v>1</v>
      </c>
      <c r="BV175">
        <v>1</v>
      </c>
      <c r="BW175">
        <v>1</v>
      </c>
      <c r="BX175">
        <v>1</v>
      </c>
      <c r="BY175" t="s">
        <v>3</v>
      </c>
      <c r="BZ175">
        <v>95</v>
      </c>
      <c r="CA175">
        <v>65</v>
      </c>
      <c r="CF175">
        <v>0</v>
      </c>
      <c r="CG175">
        <v>0</v>
      </c>
      <c r="CM175">
        <v>0</v>
      </c>
      <c r="CN175" t="s">
        <v>3</v>
      </c>
      <c r="CO175">
        <v>0</v>
      </c>
      <c r="CP175">
        <f t="shared" si="175"/>
        <v>264.97000000000003</v>
      </c>
      <c r="CQ175">
        <f t="shared" si="176"/>
        <v>88.808000000000007</v>
      </c>
      <c r="CR175">
        <f t="shared" si="177"/>
        <v>11.6234</v>
      </c>
      <c r="CS175">
        <f t="shared" si="178"/>
        <v>1.6978000000000002</v>
      </c>
      <c r="CT175">
        <f t="shared" si="179"/>
        <v>230.77020000000002</v>
      </c>
      <c r="CU175">
        <f t="shared" si="180"/>
        <v>0</v>
      </c>
      <c r="CV175">
        <f t="shared" si="181"/>
        <v>3.76</v>
      </c>
      <c r="CW175">
        <f t="shared" si="182"/>
        <v>0.02</v>
      </c>
      <c r="CX175">
        <f t="shared" si="183"/>
        <v>0</v>
      </c>
      <c r="CY175">
        <f t="shared" si="184"/>
        <v>176.68100000000001</v>
      </c>
      <c r="CZ175">
        <f t="shared" si="185"/>
        <v>120.887</v>
      </c>
      <c r="DC175" t="s">
        <v>3</v>
      </c>
      <c r="DD175" t="s">
        <v>3</v>
      </c>
      <c r="DE175" t="s">
        <v>3</v>
      </c>
      <c r="DF175" t="s">
        <v>3</v>
      </c>
      <c r="DG175" t="s">
        <v>3</v>
      </c>
      <c r="DH175" t="s">
        <v>3</v>
      </c>
      <c r="DI175" t="s">
        <v>3</v>
      </c>
      <c r="DJ175" t="s">
        <v>3</v>
      </c>
      <c r="DK175" t="s">
        <v>3</v>
      </c>
      <c r="DL175" t="s">
        <v>3</v>
      </c>
      <c r="DM175" t="s">
        <v>3</v>
      </c>
      <c r="DN175">
        <v>0</v>
      </c>
      <c r="DO175">
        <v>0</v>
      </c>
      <c r="DP175">
        <v>1</v>
      </c>
      <c r="DQ175">
        <v>1</v>
      </c>
      <c r="DU175">
        <v>1003</v>
      </c>
      <c r="DV175" t="s">
        <v>17</v>
      </c>
      <c r="DW175" t="s">
        <v>17</v>
      </c>
      <c r="DX175">
        <v>100</v>
      </c>
      <c r="EE175">
        <v>39174386</v>
      </c>
      <c r="EF175">
        <v>3</v>
      </c>
      <c r="EG175" t="s">
        <v>374</v>
      </c>
      <c r="EH175">
        <v>0</v>
      </c>
      <c r="EI175" t="s">
        <v>3</v>
      </c>
      <c r="EJ175">
        <v>2</v>
      </c>
      <c r="EK175">
        <v>108001</v>
      </c>
      <c r="EL175" t="s">
        <v>375</v>
      </c>
      <c r="EM175" t="s">
        <v>376</v>
      </c>
      <c r="EO175" t="s">
        <v>3</v>
      </c>
      <c r="EQ175">
        <v>0</v>
      </c>
      <c r="ER175">
        <v>50.72</v>
      </c>
      <c r="ES175">
        <v>13.6</v>
      </c>
      <c r="ET175">
        <v>1.78</v>
      </c>
      <c r="EU175">
        <v>0.26</v>
      </c>
      <c r="EV175">
        <v>35.340000000000003</v>
      </c>
      <c r="EW175">
        <v>3.76</v>
      </c>
      <c r="EX175">
        <v>0.02</v>
      </c>
      <c r="EY175">
        <v>0</v>
      </c>
      <c r="FQ175">
        <v>0</v>
      </c>
      <c r="FR175">
        <f t="shared" si="186"/>
        <v>0</v>
      </c>
      <c r="FS175">
        <v>0</v>
      </c>
      <c r="FX175">
        <v>95</v>
      </c>
      <c r="FY175">
        <v>65</v>
      </c>
      <c r="GA175" t="s">
        <v>3</v>
      </c>
      <c r="GD175">
        <v>0</v>
      </c>
      <c r="GF175">
        <v>-1593673300</v>
      </c>
      <c r="GG175">
        <v>1</v>
      </c>
      <c r="GH175">
        <v>1</v>
      </c>
      <c r="GI175">
        <v>4</v>
      </c>
      <c r="GJ175">
        <v>0</v>
      </c>
      <c r="GK175">
        <f>ROUND(R175*(R12)/100,2)</f>
        <v>0</v>
      </c>
      <c r="GL175">
        <f t="shared" si="187"/>
        <v>0</v>
      </c>
      <c r="GM175">
        <f t="shared" si="188"/>
        <v>562.54</v>
      </c>
      <c r="GN175">
        <f t="shared" si="189"/>
        <v>0</v>
      </c>
      <c r="GO175">
        <f t="shared" si="190"/>
        <v>562.54</v>
      </c>
      <c r="GP175">
        <f t="shared" si="191"/>
        <v>0</v>
      </c>
      <c r="GR175">
        <v>0</v>
      </c>
      <c r="GS175">
        <v>3</v>
      </c>
      <c r="GT175">
        <v>0</v>
      </c>
      <c r="GU175" t="s">
        <v>3</v>
      </c>
      <c r="GV175">
        <f t="shared" si="192"/>
        <v>0</v>
      </c>
      <c r="GW175">
        <v>1</v>
      </c>
      <c r="GX175">
        <f t="shared" si="193"/>
        <v>0</v>
      </c>
      <c r="HA175">
        <v>0</v>
      </c>
      <c r="HB175">
        <v>0</v>
      </c>
      <c r="IK175">
        <v>0</v>
      </c>
    </row>
    <row r="176" spans="1:245" x14ac:dyDescent="0.2">
      <c r="A176">
        <v>18</v>
      </c>
      <c r="B176">
        <v>1</v>
      </c>
      <c r="C176">
        <v>254</v>
      </c>
      <c r="E176" t="s">
        <v>439</v>
      </c>
      <c r="F176" t="s">
        <v>440</v>
      </c>
      <c r="G176" t="s">
        <v>441</v>
      </c>
      <c r="H176" t="s">
        <v>442</v>
      </c>
      <c r="I176">
        <f>I175*J176</f>
        <v>0.08</v>
      </c>
      <c r="J176">
        <v>9.9999999999999992E-2</v>
      </c>
      <c r="O176">
        <f t="shared" si="161"/>
        <v>3615.22</v>
      </c>
      <c r="P176">
        <f t="shared" si="162"/>
        <v>3615.22</v>
      </c>
      <c r="Q176">
        <f t="shared" si="163"/>
        <v>0</v>
      </c>
      <c r="R176">
        <f t="shared" si="164"/>
        <v>0</v>
      </c>
      <c r="S176">
        <f t="shared" si="165"/>
        <v>0</v>
      </c>
      <c r="T176">
        <f t="shared" si="166"/>
        <v>0</v>
      </c>
      <c r="U176">
        <f t="shared" si="167"/>
        <v>0</v>
      </c>
      <c r="V176">
        <f t="shared" si="168"/>
        <v>0</v>
      </c>
      <c r="W176">
        <f t="shared" si="169"/>
        <v>0</v>
      </c>
      <c r="X176">
        <f t="shared" si="170"/>
        <v>0</v>
      </c>
      <c r="Y176">
        <f t="shared" si="171"/>
        <v>0</v>
      </c>
      <c r="AA176">
        <v>39099382</v>
      </c>
      <c r="AB176">
        <f t="shared" si="172"/>
        <v>6920.41</v>
      </c>
      <c r="AC176">
        <f t="shared" si="194"/>
        <v>6920.41</v>
      </c>
      <c r="AD176">
        <f t="shared" si="195"/>
        <v>0</v>
      </c>
      <c r="AE176">
        <f t="shared" si="196"/>
        <v>0</v>
      </c>
      <c r="AF176">
        <f t="shared" si="197"/>
        <v>0</v>
      </c>
      <c r="AG176">
        <f t="shared" si="173"/>
        <v>0</v>
      </c>
      <c r="AH176">
        <f t="shared" si="198"/>
        <v>0</v>
      </c>
      <c r="AI176">
        <f t="shared" si="199"/>
        <v>0</v>
      </c>
      <c r="AJ176">
        <f t="shared" si="174"/>
        <v>0</v>
      </c>
      <c r="AK176">
        <v>6920.41</v>
      </c>
      <c r="AL176">
        <v>6920.41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95</v>
      </c>
      <c r="AU176">
        <v>65</v>
      </c>
      <c r="AV176">
        <v>1</v>
      </c>
      <c r="AW176">
        <v>1</v>
      </c>
      <c r="AZ176">
        <v>6.53</v>
      </c>
      <c r="BA176">
        <v>1</v>
      </c>
      <c r="BB176">
        <v>1</v>
      </c>
      <c r="BC176">
        <v>6.53</v>
      </c>
      <c r="BD176" t="s">
        <v>3</v>
      </c>
      <c r="BE176" t="s">
        <v>3</v>
      </c>
      <c r="BF176" t="s">
        <v>3</v>
      </c>
      <c r="BG176" t="s">
        <v>3</v>
      </c>
      <c r="BH176">
        <v>3</v>
      </c>
      <c r="BI176">
        <v>2</v>
      </c>
      <c r="BJ176" t="s">
        <v>443</v>
      </c>
      <c r="BM176">
        <v>108001</v>
      </c>
      <c r="BN176">
        <v>0</v>
      </c>
      <c r="BO176" t="s">
        <v>3</v>
      </c>
      <c r="BP176">
        <v>0</v>
      </c>
      <c r="BQ176">
        <v>3</v>
      </c>
      <c r="BR176">
        <v>0</v>
      </c>
      <c r="BS176">
        <v>1</v>
      </c>
      <c r="BT176">
        <v>1</v>
      </c>
      <c r="BU176">
        <v>1</v>
      </c>
      <c r="BV176">
        <v>1</v>
      </c>
      <c r="BW176">
        <v>1</v>
      </c>
      <c r="BX176">
        <v>1</v>
      </c>
      <c r="BY176" t="s">
        <v>3</v>
      </c>
      <c r="BZ176">
        <v>95</v>
      </c>
      <c r="CA176">
        <v>65</v>
      </c>
      <c r="CF176">
        <v>0</v>
      </c>
      <c r="CG176">
        <v>0</v>
      </c>
      <c r="CM176">
        <v>0</v>
      </c>
      <c r="CN176" t="s">
        <v>3</v>
      </c>
      <c r="CO176">
        <v>0</v>
      </c>
      <c r="CP176">
        <f t="shared" si="175"/>
        <v>3615.22</v>
      </c>
      <c r="CQ176">
        <f t="shared" si="176"/>
        <v>45190.277300000002</v>
      </c>
      <c r="CR176">
        <f t="shared" si="177"/>
        <v>0</v>
      </c>
      <c r="CS176">
        <f t="shared" si="178"/>
        <v>0</v>
      </c>
      <c r="CT176">
        <f t="shared" si="179"/>
        <v>0</v>
      </c>
      <c r="CU176">
        <f t="shared" si="180"/>
        <v>0</v>
      </c>
      <c r="CV176">
        <f t="shared" si="181"/>
        <v>0</v>
      </c>
      <c r="CW176">
        <f t="shared" si="182"/>
        <v>0</v>
      </c>
      <c r="CX176">
        <f t="shared" si="183"/>
        <v>0</v>
      </c>
      <c r="CY176">
        <f t="shared" si="184"/>
        <v>0</v>
      </c>
      <c r="CZ176">
        <f t="shared" si="185"/>
        <v>0</v>
      </c>
      <c r="DC176" t="s">
        <v>3</v>
      </c>
      <c r="DD176" t="s">
        <v>3</v>
      </c>
      <c r="DE176" t="s">
        <v>3</v>
      </c>
      <c r="DF176" t="s">
        <v>3</v>
      </c>
      <c r="DG176" t="s">
        <v>3</v>
      </c>
      <c r="DH176" t="s">
        <v>3</v>
      </c>
      <c r="DI176" t="s">
        <v>3</v>
      </c>
      <c r="DJ176" t="s">
        <v>3</v>
      </c>
      <c r="DK176" t="s">
        <v>3</v>
      </c>
      <c r="DL176" t="s">
        <v>3</v>
      </c>
      <c r="DM176" t="s">
        <v>3</v>
      </c>
      <c r="DN176">
        <v>0</v>
      </c>
      <c r="DO176">
        <v>0</v>
      </c>
      <c r="DP176">
        <v>1</v>
      </c>
      <c r="DQ176">
        <v>1</v>
      </c>
      <c r="DU176">
        <v>1013</v>
      </c>
      <c r="DV176" t="s">
        <v>442</v>
      </c>
      <c r="DW176" t="s">
        <v>444</v>
      </c>
      <c r="DX176">
        <v>1</v>
      </c>
      <c r="EE176">
        <v>39174386</v>
      </c>
      <c r="EF176">
        <v>3</v>
      </c>
      <c r="EG176" t="s">
        <v>374</v>
      </c>
      <c r="EH176">
        <v>0</v>
      </c>
      <c r="EI176" t="s">
        <v>3</v>
      </c>
      <c r="EJ176">
        <v>2</v>
      </c>
      <c r="EK176">
        <v>108001</v>
      </c>
      <c r="EL176" t="s">
        <v>375</v>
      </c>
      <c r="EM176" t="s">
        <v>376</v>
      </c>
      <c r="EO176" t="s">
        <v>3</v>
      </c>
      <c r="EQ176">
        <v>0</v>
      </c>
      <c r="ER176">
        <v>6920.41</v>
      </c>
      <c r="ES176">
        <v>6920.41</v>
      </c>
      <c r="ET176">
        <v>0</v>
      </c>
      <c r="EU176">
        <v>0</v>
      </c>
      <c r="EV176">
        <v>0</v>
      </c>
      <c r="EW176">
        <v>0</v>
      </c>
      <c r="EX176">
        <v>0</v>
      </c>
      <c r="FQ176">
        <v>0</v>
      </c>
      <c r="FR176">
        <f t="shared" si="186"/>
        <v>0</v>
      </c>
      <c r="FS176">
        <v>0</v>
      </c>
      <c r="FX176">
        <v>95</v>
      </c>
      <c r="FY176">
        <v>65</v>
      </c>
      <c r="GA176" t="s">
        <v>3</v>
      </c>
      <c r="GD176">
        <v>0</v>
      </c>
      <c r="GF176">
        <v>559331636</v>
      </c>
      <c r="GG176">
        <v>1</v>
      </c>
      <c r="GH176">
        <v>1</v>
      </c>
      <c r="GI176">
        <v>4</v>
      </c>
      <c r="GJ176">
        <v>0</v>
      </c>
      <c r="GK176">
        <f>ROUND(R176*(R12)/100,2)</f>
        <v>0</v>
      </c>
      <c r="GL176">
        <f t="shared" si="187"/>
        <v>0</v>
      </c>
      <c r="GM176">
        <f t="shared" si="188"/>
        <v>3615.22</v>
      </c>
      <c r="GN176">
        <f t="shared" si="189"/>
        <v>0</v>
      </c>
      <c r="GO176">
        <f t="shared" si="190"/>
        <v>3615.22</v>
      </c>
      <c r="GP176">
        <f t="shared" si="191"/>
        <v>0</v>
      </c>
      <c r="GR176">
        <v>0</v>
      </c>
      <c r="GS176">
        <v>3</v>
      </c>
      <c r="GT176">
        <v>0</v>
      </c>
      <c r="GU176" t="s">
        <v>3</v>
      </c>
      <c r="GV176">
        <f t="shared" si="192"/>
        <v>0</v>
      </c>
      <c r="GW176">
        <v>1</v>
      </c>
      <c r="GX176">
        <f t="shared" si="193"/>
        <v>0</v>
      </c>
      <c r="HA176">
        <v>0</v>
      </c>
      <c r="HB176">
        <v>0</v>
      </c>
      <c r="IK176">
        <v>0</v>
      </c>
    </row>
    <row r="177" spans="1:245" x14ac:dyDescent="0.2">
      <c r="A177">
        <v>17</v>
      </c>
      <c r="B177">
        <v>1</v>
      </c>
      <c r="C177">
        <f>ROW(SmtRes!A266)</f>
        <v>266</v>
      </c>
      <c r="D177">
        <f>ROW(EtalonRes!A260)</f>
        <v>260</v>
      </c>
      <c r="E177" t="s">
        <v>445</v>
      </c>
      <c r="F177" t="s">
        <v>446</v>
      </c>
      <c r="G177" t="s">
        <v>447</v>
      </c>
      <c r="H177" t="s">
        <v>17</v>
      </c>
      <c r="I177">
        <v>7.06</v>
      </c>
      <c r="J177">
        <v>0</v>
      </c>
      <c r="O177">
        <f t="shared" si="161"/>
        <v>4017.77</v>
      </c>
      <c r="P177">
        <f t="shared" si="162"/>
        <v>1046.05</v>
      </c>
      <c r="Q177">
        <f t="shared" si="163"/>
        <v>245.72</v>
      </c>
      <c r="R177">
        <f t="shared" si="164"/>
        <v>35.04</v>
      </c>
      <c r="S177">
        <f t="shared" si="165"/>
        <v>2726</v>
      </c>
      <c r="T177">
        <f t="shared" si="166"/>
        <v>0</v>
      </c>
      <c r="U177">
        <f t="shared" si="167"/>
        <v>44.407399999999996</v>
      </c>
      <c r="V177">
        <f t="shared" si="168"/>
        <v>0.42359999999999998</v>
      </c>
      <c r="W177">
        <f t="shared" si="169"/>
        <v>0</v>
      </c>
      <c r="X177">
        <f t="shared" si="170"/>
        <v>2622.99</v>
      </c>
      <c r="Y177">
        <f t="shared" si="171"/>
        <v>1794.68</v>
      </c>
      <c r="AA177">
        <v>39099382</v>
      </c>
      <c r="AB177">
        <f t="shared" si="172"/>
        <v>87.15</v>
      </c>
      <c r="AC177">
        <f t="shared" si="194"/>
        <v>22.69</v>
      </c>
      <c r="AD177">
        <f t="shared" si="195"/>
        <v>5.33</v>
      </c>
      <c r="AE177">
        <f t="shared" si="196"/>
        <v>0.76</v>
      </c>
      <c r="AF177">
        <f t="shared" si="197"/>
        <v>59.13</v>
      </c>
      <c r="AG177">
        <f t="shared" si="173"/>
        <v>0</v>
      </c>
      <c r="AH177">
        <f t="shared" si="198"/>
        <v>6.29</v>
      </c>
      <c r="AI177">
        <f t="shared" si="199"/>
        <v>0.06</v>
      </c>
      <c r="AJ177">
        <f t="shared" si="174"/>
        <v>0</v>
      </c>
      <c r="AK177">
        <v>87.15</v>
      </c>
      <c r="AL177">
        <v>22.69</v>
      </c>
      <c r="AM177">
        <v>5.33</v>
      </c>
      <c r="AN177">
        <v>0.76</v>
      </c>
      <c r="AO177">
        <v>59.13</v>
      </c>
      <c r="AP177">
        <v>0</v>
      </c>
      <c r="AQ177">
        <v>6.29</v>
      </c>
      <c r="AR177">
        <v>0.06</v>
      </c>
      <c r="AS177">
        <v>0</v>
      </c>
      <c r="AT177">
        <v>95</v>
      </c>
      <c r="AU177">
        <v>65</v>
      </c>
      <c r="AV177">
        <v>1</v>
      </c>
      <c r="AW177">
        <v>1</v>
      </c>
      <c r="AZ177">
        <v>6.53</v>
      </c>
      <c r="BA177">
        <v>6.53</v>
      </c>
      <c r="BB177">
        <v>6.53</v>
      </c>
      <c r="BC177">
        <v>6.53</v>
      </c>
      <c r="BD177" t="s">
        <v>3</v>
      </c>
      <c r="BE177" t="s">
        <v>3</v>
      </c>
      <c r="BF177" t="s">
        <v>3</v>
      </c>
      <c r="BG177" t="s">
        <v>3</v>
      </c>
      <c r="BH177">
        <v>0</v>
      </c>
      <c r="BI177">
        <v>2</v>
      </c>
      <c r="BJ177" t="s">
        <v>448</v>
      </c>
      <c r="BM177">
        <v>108001</v>
      </c>
      <c r="BN177">
        <v>0</v>
      </c>
      <c r="BO177" t="s">
        <v>3</v>
      </c>
      <c r="BP177">
        <v>0</v>
      </c>
      <c r="BQ177">
        <v>3</v>
      </c>
      <c r="BR177">
        <v>0</v>
      </c>
      <c r="BS177">
        <v>6.53</v>
      </c>
      <c r="BT177">
        <v>1</v>
      </c>
      <c r="BU177">
        <v>1</v>
      </c>
      <c r="BV177">
        <v>1</v>
      </c>
      <c r="BW177">
        <v>1</v>
      </c>
      <c r="BX177">
        <v>1</v>
      </c>
      <c r="BY177" t="s">
        <v>3</v>
      </c>
      <c r="BZ177">
        <v>95</v>
      </c>
      <c r="CA177">
        <v>65</v>
      </c>
      <c r="CF177">
        <v>0</v>
      </c>
      <c r="CG177">
        <v>0</v>
      </c>
      <c r="CM177">
        <v>0</v>
      </c>
      <c r="CN177" t="s">
        <v>3</v>
      </c>
      <c r="CO177">
        <v>0</v>
      </c>
      <c r="CP177">
        <f t="shared" si="175"/>
        <v>4017.77</v>
      </c>
      <c r="CQ177">
        <f t="shared" si="176"/>
        <v>148.16570000000002</v>
      </c>
      <c r="CR177">
        <f t="shared" si="177"/>
        <v>34.804900000000004</v>
      </c>
      <c r="CS177">
        <f t="shared" si="178"/>
        <v>4.9628000000000005</v>
      </c>
      <c r="CT177">
        <f t="shared" si="179"/>
        <v>386.11890000000005</v>
      </c>
      <c r="CU177">
        <f t="shared" si="180"/>
        <v>0</v>
      </c>
      <c r="CV177">
        <f t="shared" si="181"/>
        <v>6.29</v>
      </c>
      <c r="CW177">
        <f t="shared" si="182"/>
        <v>0.06</v>
      </c>
      <c r="CX177">
        <f t="shared" si="183"/>
        <v>0</v>
      </c>
      <c r="CY177">
        <f t="shared" si="184"/>
        <v>2622.9879999999998</v>
      </c>
      <c r="CZ177">
        <f t="shared" si="185"/>
        <v>1794.6760000000002</v>
      </c>
      <c r="DC177" t="s">
        <v>3</v>
      </c>
      <c r="DD177" t="s">
        <v>3</v>
      </c>
      <c r="DE177" t="s">
        <v>3</v>
      </c>
      <c r="DF177" t="s">
        <v>3</v>
      </c>
      <c r="DG177" t="s">
        <v>3</v>
      </c>
      <c r="DH177" t="s">
        <v>3</v>
      </c>
      <c r="DI177" t="s">
        <v>3</v>
      </c>
      <c r="DJ177" t="s">
        <v>3</v>
      </c>
      <c r="DK177" t="s">
        <v>3</v>
      </c>
      <c r="DL177" t="s">
        <v>3</v>
      </c>
      <c r="DM177" t="s">
        <v>3</v>
      </c>
      <c r="DN177">
        <v>0</v>
      </c>
      <c r="DO177">
        <v>0</v>
      </c>
      <c r="DP177">
        <v>1</v>
      </c>
      <c r="DQ177">
        <v>1</v>
      </c>
      <c r="DU177">
        <v>1003</v>
      </c>
      <c r="DV177" t="s">
        <v>17</v>
      </c>
      <c r="DW177" t="s">
        <v>17</v>
      </c>
      <c r="DX177">
        <v>100</v>
      </c>
      <c r="EE177">
        <v>39174386</v>
      </c>
      <c r="EF177">
        <v>3</v>
      </c>
      <c r="EG177" t="s">
        <v>374</v>
      </c>
      <c r="EH177">
        <v>0</v>
      </c>
      <c r="EI177" t="s">
        <v>3</v>
      </c>
      <c r="EJ177">
        <v>2</v>
      </c>
      <c r="EK177">
        <v>108001</v>
      </c>
      <c r="EL177" t="s">
        <v>375</v>
      </c>
      <c r="EM177" t="s">
        <v>376</v>
      </c>
      <c r="EO177" t="s">
        <v>3</v>
      </c>
      <c r="EQ177">
        <v>0</v>
      </c>
      <c r="ER177">
        <v>87.15</v>
      </c>
      <c r="ES177">
        <v>22.69</v>
      </c>
      <c r="ET177">
        <v>5.33</v>
      </c>
      <c r="EU177">
        <v>0.76</v>
      </c>
      <c r="EV177">
        <v>59.13</v>
      </c>
      <c r="EW177">
        <v>6.29</v>
      </c>
      <c r="EX177">
        <v>0.06</v>
      </c>
      <c r="EY177">
        <v>0</v>
      </c>
      <c r="FQ177">
        <v>0</v>
      </c>
      <c r="FR177">
        <f t="shared" si="186"/>
        <v>0</v>
      </c>
      <c r="FS177">
        <v>0</v>
      </c>
      <c r="FX177">
        <v>95</v>
      </c>
      <c r="FY177">
        <v>65</v>
      </c>
      <c r="GA177" t="s">
        <v>3</v>
      </c>
      <c r="GD177">
        <v>0</v>
      </c>
      <c r="GF177">
        <v>1667817228</v>
      </c>
      <c r="GG177">
        <v>1</v>
      </c>
      <c r="GH177">
        <v>1</v>
      </c>
      <c r="GI177">
        <v>4</v>
      </c>
      <c r="GJ177">
        <v>0</v>
      </c>
      <c r="GK177">
        <f>ROUND(R177*(R12)/100,2)</f>
        <v>0</v>
      </c>
      <c r="GL177">
        <f t="shared" si="187"/>
        <v>0</v>
      </c>
      <c r="GM177">
        <f t="shared" si="188"/>
        <v>8435.44</v>
      </c>
      <c r="GN177">
        <f t="shared" si="189"/>
        <v>0</v>
      </c>
      <c r="GO177">
        <f t="shared" si="190"/>
        <v>8435.44</v>
      </c>
      <c r="GP177">
        <f t="shared" si="191"/>
        <v>0</v>
      </c>
      <c r="GR177">
        <v>0</v>
      </c>
      <c r="GS177">
        <v>3</v>
      </c>
      <c r="GT177">
        <v>0</v>
      </c>
      <c r="GU177" t="s">
        <v>3</v>
      </c>
      <c r="GV177">
        <f t="shared" si="192"/>
        <v>0</v>
      </c>
      <c r="GW177">
        <v>1</v>
      </c>
      <c r="GX177">
        <f t="shared" si="193"/>
        <v>0</v>
      </c>
      <c r="HA177">
        <v>0</v>
      </c>
      <c r="HB177">
        <v>0</v>
      </c>
      <c r="IK177">
        <v>0</v>
      </c>
    </row>
    <row r="178" spans="1:245" x14ac:dyDescent="0.2">
      <c r="A178">
        <v>18</v>
      </c>
      <c r="B178">
        <v>1</v>
      </c>
      <c r="C178">
        <v>265</v>
      </c>
      <c r="E178" t="s">
        <v>449</v>
      </c>
      <c r="F178" t="s">
        <v>440</v>
      </c>
      <c r="G178" t="s">
        <v>441</v>
      </c>
      <c r="H178" t="s">
        <v>442</v>
      </c>
      <c r="I178">
        <f>I177*J178</f>
        <v>0.70599999999999996</v>
      </c>
      <c r="J178">
        <v>0.1</v>
      </c>
      <c r="O178">
        <f t="shared" si="161"/>
        <v>31904.34</v>
      </c>
      <c r="P178">
        <f t="shared" si="162"/>
        <v>31904.34</v>
      </c>
      <c r="Q178">
        <f t="shared" si="163"/>
        <v>0</v>
      </c>
      <c r="R178">
        <f t="shared" si="164"/>
        <v>0</v>
      </c>
      <c r="S178">
        <f t="shared" si="165"/>
        <v>0</v>
      </c>
      <c r="T178">
        <f t="shared" si="166"/>
        <v>0</v>
      </c>
      <c r="U178">
        <f t="shared" si="167"/>
        <v>0</v>
      </c>
      <c r="V178">
        <f t="shared" si="168"/>
        <v>0</v>
      </c>
      <c r="W178">
        <f t="shared" si="169"/>
        <v>0</v>
      </c>
      <c r="X178">
        <f t="shared" si="170"/>
        <v>0</v>
      </c>
      <c r="Y178">
        <f t="shared" si="171"/>
        <v>0</v>
      </c>
      <c r="AA178">
        <v>39099382</v>
      </c>
      <c r="AB178">
        <f t="shared" si="172"/>
        <v>6920.41</v>
      </c>
      <c r="AC178">
        <f t="shared" si="194"/>
        <v>6920.41</v>
      </c>
      <c r="AD178">
        <f t="shared" si="195"/>
        <v>0</v>
      </c>
      <c r="AE178">
        <f t="shared" si="196"/>
        <v>0</v>
      </c>
      <c r="AF178">
        <f t="shared" si="197"/>
        <v>0</v>
      </c>
      <c r="AG178">
        <f t="shared" si="173"/>
        <v>0</v>
      </c>
      <c r="AH178">
        <f t="shared" si="198"/>
        <v>0</v>
      </c>
      <c r="AI178">
        <f t="shared" si="199"/>
        <v>0</v>
      </c>
      <c r="AJ178">
        <f t="shared" si="174"/>
        <v>0</v>
      </c>
      <c r="AK178">
        <v>6920.41</v>
      </c>
      <c r="AL178">
        <v>6920.41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95</v>
      </c>
      <c r="AU178">
        <v>65</v>
      </c>
      <c r="AV178">
        <v>1</v>
      </c>
      <c r="AW178">
        <v>1</v>
      </c>
      <c r="AZ178">
        <v>6.53</v>
      </c>
      <c r="BA178">
        <v>1</v>
      </c>
      <c r="BB178">
        <v>1</v>
      </c>
      <c r="BC178">
        <v>6.53</v>
      </c>
      <c r="BD178" t="s">
        <v>3</v>
      </c>
      <c r="BE178" t="s">
        <v>3</v>
      </c>
      <c r="BF178" t="s">
        <v>3</v>
      </c>
      <c r="BG178" t="s">
        <v>3</v>
      </c>
      <c r="BH178">
        <v>3</v>
      </c>
      <c r="BI178">
        <v>2</v>
      </c>
      <c r="BJ178" t="s">
        <v>443</v>
      </c>
      <c r="BM178">
        <v>108001</v>
      </c>
      <c r="BN178">
        <v>0</v>
      </c>
      <c r="BO178" t="s">
        <v>3</v>
      </c>
      <c r="BP178">
        <v>0</v>
      </c>
      <c r="BQ178">
        <v>3</v>
      </c>
      <c r="BR178">
        <v>0</v>
      </c>
      <c r="BS178">
        <v>1</v>
      </c>
      <c r="BT178">
        <v>1</v>
      </c>
      <c r="BU178">
        <v>1</v>
      </c>
      <c r="BV178">
        <v>1</v>
      </c>
      <c r="BW178">
        <v>1</v>
      </c>
      <c r="BX178">
        <v>1</v>
      </c>
      <c r="BY178" t="s">
        <v>3</v>
      </c>
      <c r="BZ178">
        <v>95</v>
      </c>
      <c r="CA178">
        <v>65</v>
      </c>
      <c r="CF178">
        <v>0</v>
      </c>
      <c r="CG178">
        <v>0</v>
      </c>
      <c r="CM178">
        <v>0</v>
      </c>
      <c r="CN178" t="s">
        <v>3</v>
      </c>
      <c r="CO178">
        <v>0</v>
      </c>
      <c r="CP178">
        <f t="shared" si="175"/>
        <v>31904.34</v>
      </c>
      <c r="CQ178">
        <f t="shared" si="176"/>
        <v>45190.277300000002</v>
      </c>
      <c r="CR178">
        <f t="shared" si="177"/>
        <v>0</v>
      </c>
      <c r="CS178">
        <f t="shared" si="178"/>
        <v>0</v>
      </c>
      <c r="CT178">
        <f t="shared" si="179"/>
        <v>0</v>
      </c>
      <c r="CU178">
        <f t="shared" si="180"/>
        <v>0</v>
      </c>
      <c r="CV178">
        <f t="shared" si="181"/>
        <v>0</v>
      </c>
      <c r="CW178">
        <f t="shared" si="182"/>
        <v>0</v>
      </c>
      <c r="CX178">
        <f t="shared" si="183"/>
        <v>0</v>
      </c>
      <c r="CY178">
        <f t="shared" si="184"/>
        <v>0</v>
      </c>
      <c r="CZ178">
        <f t="shared" si="185"/>
        <v>0</v>
      </c>
      <c r="DC178" t="s">
        <v>3</v>
      </c>
      <c r="DD178" t="s">
        <v>3</v>
      </c>
      <c r="DE178" t="s">
        <v>3</v>
      </c>
      <c r="DF178" t="s">
        <v>3</v>
      </c>
      <c r="DG178" t="s">
        <v>3</v>
      </c>
      <c r="DH178" t="s">
        <v>3</v>
      </c>
      <c r="DI178" t="s">
        <v>3</v>
      </c>
      <c r="DJ178" t="s">
        <v>3</v>
      </c>
      <c r="DK178" t="s">
        <v>3</v>
      </c>
      <c r="DL178" t="s">
        <v>3</v>
      </c>
      <c r="DM178" t="s">
        <v>3</v>
      </c>
      <c r="DN178">
        <v>0</v>
      </c>
      <c r="DO178">
        <v>0</v>
      </c>
      <c r="DP178">
        <v>1</v>
      </c>
      <c r="DQ178">
        <v>1</v>
      </c>
      <c r="DU178">
        <v>1013</v>
      </c>
      <c r="DV178" t="s">
        <v>442</v>
      </c>
      <c r="DW178" t="s">
        <v>444</v>
      </c>
      <c r="DX178">
        <v>1</v>
      </c>
      <c r="EE178">
        <v>39174386</v>
      </c>
      <c r="EF178">
        <v>3</v>
      </c>
      <c r="EG178" t="s">
        <v>374</v>
      </c>
      <c r="EH178">
        <v>0</v>
      </c>
      <c r="EI178" t="s">
        <v>3</v>
      </c>
      <c r="EJ178">
        <v>2</v>
      </c>
      <c r="EK178">
        <v>108001</v>
      </c>
      <c r="EL178" t="s">
        <v>375</v>
      </c>
      <c r="EM178" t="s">
        <v>376</v>
      </c>
      <c r="EO178" t="s">
        <v>3</v>
      </c>
      <c r="EQ178">
        <v>0</v>
      </c>
      <c r="ER178">
        <v>6920.41</v>
      </c>
      <c r="ES178">
        <v>6920.41</v>
      </c>
      <c r="ET178">
        <v>0</v>
      </c>
      <c r="EU178">
        <v>0</v>
      </c>
      <c r="EV178">
        <v>0</v>
      </c>
      <c r="EW178">
        <v>0</v>
      </c>
      <c r="EX178">
        <v>0</v>
      </c>
      <c r="FQ178">
        <v>0</v>
      </c>
      <c r="FR178">
        <f t="shared" si="186"/>
        <v>0</v>
      </c>
      <c r="FS178">
        <v>0</v>
      </c>
      <c r="FX178">
        <v>95</v>
      </c>
      <c r="FY178">
        <v>65</v>
      </c>
      <c r="GA178" t="s">
        <v>3</v>
      </c>
      <c r="GD178">
        <v>0</v>
      </c>
      <c r="GF178">
        <v>559331636</v>
      </c>
      <c r="GG178">
        <v>1</v>
      </c>
      <c r="GH178">
        <v>1</v>
      </c>
      <c r="GI178">
        <v>4</v>
      </c>
      <c r="GJ178">
        <v>0</v>
      </c>
      <c r="GK178">
        <f>ROUND(R178*(R12)/100,2)</f>
        <v>0</v>
      </c>
      <c r="GL178">
        <f t="shared" si="187"/>
        <v>0</v>
      </c>
      <c r="GM178">
        <f t="shared" si="188"/>
        <v>31904.34</v>
      </c>
      <c r="GN178">
        <f t="shared" si="189"/>
        <v>0</v>
      </c>
      <c r="GO178">
        <f t="shared" si="190"/>
        <v>31904.34</v>
      </c>
      <c r="GP178">
        <f t="shared" si="191"/>
        <v>0</v>
      </c>
      <c r="GR178">
        <v>0</v>
      </c>
      <c r="GS178">
        <v>3</v>
      </c>
      <c r="GT178">
        <v>0</v>
      </c>
      <c r="GU178" t="s">
        <v>3</v>
      </c>
      <c r="GV178">
        <f t="shared" si="192"/>
        <v>0</v>
      </c>
      <c r="GW178">
        <v>1</v>
      </c>
      <c r="GX178">
        <f t="shared" si="193"/>
        <v>0</v>
      </c>
      <c r="HA178">
        <v>0</v>
      </c>
      <c r="HB178">
        <v>0</v>
      </c>
      <c r="IK178">
        <v>0</v>
      </c>
    </row>
    <row r="179" spans="1:245" x14ac:dyDescent="0.2">
      <c r="A179">
        <v>17</v>
      </c>
      <c r="B179">
        <v>1</v>
      </c>
      <c r="C179">
        <f>ROW(SmtRes!A275)</f>
        <v>275</v>
      </c>
      <c r="D179">
        <f>ROW(EtalonRes!A268)</f>
        <v>268</v>
      </c>
      <c r="E179" t="s">
        <v>450</v>
      </c>
      <c r="F179" t="s">
        <v>451</v>
      </c>
      <c r="G179" t="s">
        <v>452</v>
      </c>
      <c r="H179" t="s">
        <v>30</v>
      </c>
      <c r="I179">
        <f>ROUND(7/100,9)</f>
        <v>7.0000000000000007E-2</v>
      </c>
      <c r="J179">
        <v>0</v>
      </c>
      <c r="O179">
        <f t="shared" si="161"/>
        <v>208.59</v>
      </c>
      <c r="P179">
        <f t="shared" si="162"/>
        <v>47.17</v>
      </c>
      <c r="Q179">
        <f t="shared" si="163"/>
        <v>2.13</v>
      </c>
      <c r="R179">
        <f t="shared" si="164"/>
        <v>0.28999999999999998</v>
      </c>
      <c r="S179">
        <f t="shared" si="165"/>
        <v>159.29</v>
      </c>
      <c r="T179">
        <f t="shared" si="166"/>
        <v>0</v>
      </c>
      <c r="U179">
        <f t="shared" si="167"/>
        <v>2.4591000000000003</v>
      </c>
      <c r="V179">
        <f t="shared" si="168"/>
        <v>3.5000000000000005E-3</v>
      </c>
      <c r="W179">
        <f t="shared" si="169"/>
        <v>0</v>
      </c>
      <c r="X179">
        <f t="shared" si="170"/>
        <v>151.6</v>
      </c>
      <c r="Y179">
        <f t="shared" si="171"/>
        <v>103.73</v>
      </c>
      <c r="AA179">
        <v>39099382</v>
      </c>
      <c r="AB179">
        <f t="shared" si="172"/>
        <v>456.35</v>
      </c>
      <c r="AC179">
        <f t="shared" si="194"/>
        <v>103.19</v>
      </c>
      <c r="AD179">
        <f t="shared" si="195"/>
        <v>4.67</v>
      </c>
      <c r="AE179">
        <f t="shared" si="196"/>
        <v>0.64</v>
      </c>
      <c r="AF179">
        <f t="shared" si="197"/>
        <v>348.49</v>
      </c>
      <c r="AG179">
        <f t="shared" si="173"/>
        <v>0</v>
      </c>
      <c r="AH179">
        <f t="shared" si="198"/>
        <v>35.130000000000003</v>
      </c>
      <c r="AI179">
        <f t="shared" si="199"/>
        <v>0.05</v>
      </c>
      <c r="AJ179">
        <f t="shared" si="174"/>
        <v>0</v>
      </c>
      <c r="AK179">
        <v>456.35</v>
      </c>
      <c r="AL179">
        <v>103.19</v>
      </c>
      <c r="AM179">
        <v>4.67</v>
      </c>
      <c r="AN179">
        <v>0.64</v>
      </c>
      <c r="AO179">
        <v>348.49</v>
      </c>
      <c r="AP179">
        <v>0</v>
      </c>
      <c r="AQ179">
        <v>35.130000000000003</v>
      </c>
      <c r="AR179">
        <v>0.05</v>
      </c>
      <c r="AS179">
        <v>0</v>
      </c>
      <c r="AT179">
        <v>95</v>
      </c>
      <c r="AU179">
        <v>65</v>
      </c>
      <c r="AV179">
        <v>1</v>
      </c>
      <c r="AW179">
        <v>1</v>
      </c>
      <c r="AZ179">
        <v>6.53</v>
      </c>
      <c r="BA179">
        <v>6.53</v>
      </c>
      <c r="BB179">
        <v>6.53</v>
      </c>
      <c r="BC179">
        <v>6.53</v>
      </c>
      <c r="BD179" t="s">
        <v>3</v>
      </c>
      <c r="BE179" t="s">
        <v>3</v>
      </c>
      <c r="BF179" t="s">
        <v>3</v>
      </c>
      <c r="BG179" t="s">
        <v>3</v>
      </c>
      <c r="BH179">
        <v>0</v>
      </c>
      <c r="BI179">
        <v>2</v>
      </c>
      <c r="BJ179" t="s">
        <v>453</v>
      </c>
      <c r="BM179">
        <v>108001</v>
      </c>
      <c r="BN179">
        <v>0</v>
      </c>
      <c r="BO179" t="s">
        <v>3</v>
      </c>
      <c r="BP179">
        <v>0</v>
      </c>
      <c r="BQ179">
        <v>3</v>
      </c>
      <c r="BR179">
        <v>0</v>
      </c>
      <c r="BS179">
        <v>6.53</v>
      </c>
      <c r="BT179">
        <v>1</v>
      </c>
      <c r="BU179">
        <v>1</v>
      </c>
      <c r="BV179">
        <v>1</v>
      </c>
      <c r="BW179">
        <v>1</v>
      </c>
      <c r="BX179">
        <v>1</v>
      </c>
      <c r="BY179" t="s">
        <v>3</v>
      </c>
      <c r="BZ179">
        <v>95</v>
      </c>
      <c r="CA179">
        <v>65</v>
      </c>
      <c r="CF179">
        <v>0</v>
      </c>
      <c r="CG179">
        <v>0</v>
      </c>
      <c r="CM179">
        <v>0</v>
      </c>
      <c r="CN179" t="s">
        <v>3</v>
      </c>
      <c r="CO179">
        <v>0</v>
      </c>
      <c r="CP179">
        <f t="shared" si="175"/>
        <v>208.59</v>
      </c>
      <c r="CQ179">
        <f t="shared" si="176"/>
        <v>673.83069999999998</v>
      </c>
      <c r="CR179">
        <f t="shared" si="177"/>
        <v>30.495100000000001</v>
      </c>
      <c r="CS179">
        <f t="shared" si="178"/>
        <v>4.1791999999999998</v>
      </c>
      <c r="CT179">
        <f t="shared" si="179"/>
        <v>2275.6397000000002</v>
      </c>
      <c r="CU179">
        <f t="shared" si="180"/>
        <v>0</v>
      </c>
      <c r="CV179">
        <f t="shared" si="181"/>
        <v>35.130000000000003</v>
      </c>
      <c r="CW179">
        <f t="shared" si="182"/>
        <v>0.05</v>
      </c>
      <c r="CX179">
        <f t="shared" si="183"/>
        <v>0</v>
      </c>
      <c r="CY179">
        <f t="shared" si="184"/>
        <v>151.601</v>
      </c>
      <c r="CZ179">
        <f t="shared" si="185"/>
        <v>103.72699999999999</v>
      </c>
      <c r="DC179" t="s">
        <v>3</v>
      </c>
      <c r="DD179" t="s">
        <v>3</v>
      </c>
      <c r="DE179" t="s">
        <v>3</v>
      </c>
      <c r="DF179" t="s">
        <v>3</v>
      </c>
      <c r="DG179" t="s">
        <v>3</v>
      </c>
      <c r="DH179" t="s">
        <v>3</v>
      </c>
      <c r="DI179" t="s">
        <v>3</v>
      </c>
      <c r="DJ179" t="s">
        <v>3</v>
      </c>
      <c r="DK179" t="s">
        <v>3</v>
      </c>
      <c r="DL179" t="s">
        <v>3</v>
      </c>
      <c r="DM179" t="s">
        <v>3</v>
      </c>
      <c r="DN179">
        <v>0</v>
      </c>
      <c r="DO179">
        <v>0</v>
      </c>
      <c r="DP179">
        <v>1</v>
      </c>
      <c r="DQ179">
        <v>1</v>
      </c>
      <c r="DU179">
        <v>1013</v>
      </c>
      <c r="DV179" t="s">
        <v>30</v>
      </c>
      <c r="DW179" t="s">
        <v>30</v>
      </c>
      <c r="DX179">
        <v>1</v>
      </c>
      <c r="EE179">
        <v>39174386</v>
      </c>
      <c r="EF179">
        <v>3</v>
      </c>
      <c r="EG179" t="s">
        <v>374</v>
      </c>
      <c r="EH179">
        <v>0</v>
      </c>
      <c r="EI179" t="s">
        <v>3</v>
      </c>
      <c r="EJ179">
        <v>2</v>
      </c>
      <c r="EK179">
        <v>108001</v>
      </c>
      <c r="EL179" t="s">
        <v>375</v>
      </c>
      <c r="EM179" t="s">
        <v>376</v>
      </c>
      <c r="EO179" t="s">
        <v>3</v>
      </c>
      <c r="EQ179">
        <v>0</v>
      </c>
      <c r="ER179">
        <v>456.35</v>
      </c>
      <c r="ES179">
        <v>103.19</v>
      </c>
      <c r="ET179">
        <v>4.67</v>
      </c>
      <c r="EU179">
        <v>0.64</v>
      </c>
      <c r="EV179">
        <v>348.49</v>
      </c>
      <c r="EW179">
        <v>35.130000000000003</v>
      </c>
      <c r="EX179">
        <v>0.05</v>
      </c>
      <c r="EY179">
        <v>0</v>
      </c>
      <c r="FQ179">
        <v>0</v>
      </c>
      <c r="FR179">
        <f t="shared" si="186"/>
        <v>0</v>
      </c>
      <c r="FS179">
        <v>0</v>
      </c>
      <c r="FX179">
        <v>95</v>
      </c>
      <c r="FY179">
        <v>65</v>
      </c>
      <c r="GA179" t="s">
        <v>3</v>
      </c>
      <c r="GD179">
        <v>0</v>
      </c>
      <c r="GF179">
        <v>-991288307</v>
      </c>
      <c r="GG179">
        <v>1</v>
      </c>
      <c r="GH179">
        <v>1</v>
      </c>
      <c r="GI179">
        <v>4</v>
      </c>
      <c r="GJ179">
        <v>0</v>
      </c>
      <c r="GK179">
        <f>ROUND(R179*(R12)/100,2)</f>
        <v>0</v>
      </c>
      <c r="GL179">
        <f t="shared" si="187"/>
        <v>0</v>
      </c>
      <c r="GM179">
        <f t="shared" si="188"/>
        <v>463.92</v>
      </c>
      <c r="GN179">
        <f t="shared" si="189"/>
        <v>0</v>
      </c>
      <c r="GO179">
        <f t="shared" si="190"/>
        <v>463.92</v>
      </c>
      <c r="GP179">
        <f t="shared" si="191"/>
        <v>0</v>
      </c>
      <c r="GR179">
        <v>0</v>
      </c>
      <c r="GS179">
        <v>3</v>
      </c>
      <c r="GT179">
        <v>0</v>
      </c>
      <c r="GU179" t="s">
        <v>3</v>
      </c>
      <c r="GV179">
        <f t="shared" si="192"/>
        <v>0</v>
      </c>
      <c r="GW179">
        <v>1</v>
      </c>
      <c r="GX179">
        <f t="shared" si="193"/>
        <v>0</v>
      </c>
      <c r="HA179">
        <v>0</v>
      </c>
      <c r="HB179">
        <v>0</v>
      </c>
      <c r="IK179">
        <v>0</v>
      </c>
    </row>
    <row r="180" spans="1:245" x14ac:dyDescent="0.2">
      <c r="A180">
        <v>18</v>
      </c>
      <c r="B180">
        <v>1</v>
      </c>
      <c r="C180">
        <v>274</v>
      </c>
      <c r="E180" t="s">
        <v>454</v>
      </c>
      <c r="F180" t="s">
        <v>455</v>
      </c>
      <c r="G180" t="s">
        <v>456</v>
      </c>
      <c r="H180" t="s">
        <v>417</v>
      </c>
      <c r="I180">
        <f>I179*J180</f>
        <v>0.7</v>
      </c>
      <c r="J180">
        <v>9.9999999999999982</v>
      </c>
      <c r="O180">
        <f t="shared" si="161"/>
        <v>391.28</v>
      </c>
      <c r="P180">
        <f t="shared" si="162"/>
        <v>391.28</v>
      </c>
      <c r="Q180">
        <f t="shared" si="163"/>
        <v>0</v>
      </c>
      <c r="R180">
        <f t="shared" si="164"/>
        <v>0</v>
      </c>
      <c r="S180">
        <f t="shared" si="165"/>
        <v>0</v>
      </c>
      <c r="T180">
        <f t="shared" si="166"/>
        <v>0</v>
      </c>
      <c r="U180">
        <f t="shared" si="167"/>
        <v>0</v>
      </c>
      <c r="V180">
        <f t="shared" si="168"/>
        <v>0</v>
      </c>
      <c r="W180">
        <f t="shared" si="169"/>
        <v>0</v>
      </c>
      <c r="X180">
        <f t="shared" si="170"/>
        <v>0</v>
      </c>
      <c r="Y180">
        <f t="shared" si="171"/>
        <v>0</v>
      </c>
      <c r="AA180">
        <v>39099382</v>
      </c>
      <c r="AB180">
        <f t="shared" si="172"/>
        <v>85.6</v>
      </c>
      <c r="AC180">
        <f t="shared" si="194"/>
        <v>85.6</v>
      </c>
      <c r="AD180">
        <f t="shared" si="195"/>
        <v>0</v>
      </c>
      <c r="AE180">
        <f t="shared" si="196"/>
        <v>0</v>
      </c>
      <c r="AF180">
        <f t="shared" si="197"/>
        <v>0</v>
      </c>
      <c r="AG180">
        <f t="shared" si="173"/>
        <v>0</v>
      </c>
      <c r="AH180">
        <f t="shared" si="198"/>
        <v>0</v>
      </c>
      <c r="AI180">
        <f t="shared" si="199"/>
        <v>0</v>
      </c>
      <c r="AJ180">
        <f t="shared" si="174"/>
        <v>0</v>
      </c>
      <c r="AK180">
        <v>85.6</v>
      </c>
      <c r="AL180">
        <v>85.6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95</v>
      </c>
      <c r="AU180">
        <v>65</v>
      </c>
      <c r="AV180">
        <v>1</v>
      </c>
      <c r="AW180">
        <v>1</v>
      </c>
      <c r="AZ180">
        <v>6.53</v>
      </c>
      <c r="BA180">
        <v>1</v>
      </c>
      <c r="BB180">
        <v>1</v>
      </c>
      <c r="BC180">
        <v>6.53</v>
      </c>
      <c r="BD180" t="s">
        <v>3</v>
      </c>
      <c r="BE180" t="s">
        <v>3</v>
      </c>
      <c r="BF180" t="s">
        <v>3</v>
      </c>
      <c r="BG180" t="s">
        <v>3</v>
      </c>
      <c r="BH180">
        <v>3</v>
      </c>
      <c r="BI180">
        <v>2</v>
      </c>
      <c r="BJ180" t="s">
        <v>457</v>
      </c>
      <c r="BM180">
        <v>108001</v>
      </c>
      <c r="BN180">
        <v>0</v>
      </c>
      <c r="BO180" t="s">
        <v>3</v>
      </c>
      <c r="BP180">
        <v>0</v>
      </c>
      <c r="BQ180">
        <v>3</v>
      </c>
      <c r="BR180">
        <v>0</v>
      </c>
      <c r="BS180">
        <v>1</v>
      </c>
      <c r="BT180">
        <v>1</v>
      </c>
      <c r="BU180">
        <v>1</v>
      </c>
      <c r="BV180">
        <v>1</v>
      </c>
      <c r="BW180">
        <v>1</v>
      </c>
      <c r="BX180">
        <v>1</v>
      </c>
      <c r="BY180" t="s">
        <v>3</v>
      </c>
      <c r="BZ180">
        <v>95</v>
      </c>
      <c r="CA180">
        <v>65</v>
      </c>
      <c r="CF180">
        <v>0</v>
      </c>
      <c r="CG180">
        <v>0</v>
      </c>
      <c r="CM180">
        <v>0</v>
      </c>
      <c r="CN180" t="s">
        <v>3</v>
      </c>
      <c r="CO180">
        <v>0</v>
      </c>
      <c r="CP180">
        <f t="shared" si="175"/>
        <v>391.28</v>
      </c>
      <c r="CQ180">
        <f t="shared" si="176"/>
        <v>558.96799999999996</v>
      </c>
      <c r="CR180">
        <f t="shared" si="177"/>
        <v>0</v>
      </c>
      <c r="CS180">
        <f t="shared" si="178"/>
        <v>0</v>
      </c>
      <c r="CT180">
        <f t="shared" si="179"/>
        <v>0</v>
      </c>
      <c r="CU180">
        <f t="shared" si="180"/>
        <v>0</v>
      </c>
      <c r="CV180">
        <f t="shared" si="181"/>
        <v>0</v>
      </c>
      <c r="CW180">
        <f t="shared" si="182"/>
        <v>0</v>
      </c>
      <c r="CX180">
        <f t="shared" si="183"/>
        <v>0</v>
      </c>
      <c r="CY180">
        <f t="shared" si="184"/>
        <v>0</v>
      </c>
      <c r="CZ180">
        <f t="shared" si="185"/>
        <v>0</v>
      </c>
      <c r="DC180" t="s">
        <v>3</v>
      </c>
      <c r="DD180" t="s">
        <v>3</v>
      </c>
      <c r="DE180" t="s">
        <v>3</v>
      </c>
      <c r="DF180" t="s">
        <v>3</v>
      </c>
      <c r="DG180" t="s">
        <v>3</v>
      </c>
      <c r="DH180" t="s">
        <v>3</v>
      </c>
      <c r="DI180" t="s">
        <v>3</v>
      </c>
      <c r="DJ180" t="s">
        <v>3</v>
      </c>
      <c r="DK180" t="s">
        <v>3</v>
      </c>
      <c r="DL180" t="s">
        <v>3</v>
      </c>
      <c r="DM180" t="s">
        <v>3</v>
      </c>
      <c r="DN180">
        <v>0</v>
      </c>
      <c r="DO180">
        <v>0</v>
      </c>
      <c r="DP180">
        <v>1</v>
      </c>
      <c r="DQ180">
        <v>1</v>
      </c>
      <c r="DU180">
        <v>1010</v>
      </c>
      <c r="DV180" t="s">
        <v>417</v>
      </c>
      <c r="DW180" t="s">
        <v>417</v>
      </c>
      <c r="DX180">
        <v>10</v>
      </c>
      <c r="EE180">
        <v>39174386</v>
      </c>
      <c r="EF180">
        <v>3</v>
      </c>
      <c r="EG180" t="s">
        <v>374</v>
      </c>
      <c r="EH180">
        <v>0</v>
      </c>
      <c r="EI180" t="s">
        <v>3</v>
      </c>
      <c r="EJ180">
        <v>2</v>
      </c>
      <c r="EK180">
        <v>108001</v>
      </c>
      <c r="EL180" t="s">
        <v>375</v>
      </c>
      <c r="EM180" t="s">
        <v>376</v>
      </c>
      <c r="EO180" t="s">
        <v>3</v>
      </c>
      <c r="EQ180">
        <v>0</v>
      </c>
      <c r="ER180">
        <v>85.6</v>
      </c>
      <c r="ES180">
        <v>85.6</v>
      </c>
      <c r="ET180">
        <v>0</v>
      </c>
      <c r="EU180">
        <v>0</v>
      </c>
      <c r="EV180">
        <v>0</v>
      </c>
      <c r="EW180">
        <v>0</v>
      </c>
      <c r="EX180">
        <v>0</v>
      </c>
      <c r="FQ180">
        <v>0</v>
      </c>
      <c r="FR180">
        <f t="shared" si="186"/>
        <v>0</v>
      </c>
      <c r="FS180">
        <v>0</v>
      </c>
      <c r="FX180">
        <v>95</v>
      </c>
      <c r="FY180">
        <v>65</v>
      </c>
      <c r="GA180" t="s">
        <v>3</v>
      </c>
      <c r="GD180">
        <v>0</v>
      </c>
      <c r="GF180">
        <v>-265205787</v>
      </c>
      <c r="GG180">
        <v>1</v>
      </c>
      <c r="GH180">
        <v>1</v>
      </c>
      <c r="GI180">
        <v>4</v>
      </c>
      <c r="GJ180">
        <v>0</v>
      </c>
      <c r="GK180">
        <f>ROUND(R180*(R12)/100,2)</f>
        <v>0</v>
      </c>
      <c r="GL180">
        <f t="shared" si="187"/>
        <v>0</v>
      </c>
      <c r="GM180">
        <f t="shared" si="188"/>
        <v>391.28</v>
      </c>
      <c r="GN180">
        <f t="shared" si="189"/>
        <v>0</v>
      </c>
      <c r="GO180">
        <f t="shared" si="190"/>
        <v>391.28</v>
      </c>
      <c r="GP180">
        <f t="shared" si="191"/>
        <v>0</v>
      </c>
      <c r="GR180">
        <v>0</v>
      </c>
      <c r="GS180">
        <v>3</v>
      </c>
      <c r="GT180">
        <v>0</v>
      </c>
      <c r="GU180" t="s">
        <v>3</v>
      </c>
      <c r="GV180">
        <f t="shared" si="192"/>
        <v>0</v>
      </c>
      <c r="GW180">
        <v>1</v>
      </c>
      <c r="GX180">
        <f t="shared" si="193"/>
        <v>0</v>
      </c>
      <c r="HA180">
        <v>0</v>
      </c>
      <c r="HB180">
        <v>0</v>
      </c>
      <c r="IK180">
        <v>0</v>
      </c>
    </row>
    <row r="181" spans="1:245" x14ac:dyDescent="0.2">
      <c r="A181">
        <v>17</v>
      </c>
      <c r="B181">
        <v>1</v>
      </c>
      <c r="C181">
        <f>ROW(SmtRes!A286)</f>
        <v>286</v>
      </c>
      <c r="D181">
        <f>ROW(EtalonRes!A277)</f>
        <v>277</v>
      </c>
      <c r="E181" t="s">
        <v>458</v>
      </c>
      <c r="F181" t="s">
        <v>459</v>
      </c>
      <c r="G181" t="s">
        <v>460</v>
      </c>
      <c r="H181" t="s">
        <v>30</v>
      </c>
      <c r="I181">
        <f>ROUND(39/100,9)</f>
        <v>0.39</v>
      </c>
      <c r="J181">
        <v>0</v>
      </c>
      <c r="O181">
        <f t="shared" si="161"/>
        <v>1156.02</v>
      </c>
      <c r="P181">
        <f t="shared" si="162"/>
        <v>271.02</v>
      </c>
      <c r="Q181">
        <f t="shared" si="163"/>
        <v>11.89</v>
      </c>
      <c r="R181">
        <f t="shared" si="164"/>
        <v>1.63</v>
      </c>
      <c r="S181">
        <f t="shared" si="165"/>
        <v>873.11</v>
      </c>
      <c r="T181">
        <f t="shared" si="166"/>
        <v>0</v>
      </c>
      <c r="U181">
        <f t="shared" si="167"/>
        <v>13.478400000000001</v>
      </c>
      <c r="V181">
        <f t="shared" si="168"/>
        <v>1.9500000000000003E-2</v>
      </c>
      <c r="W181">
        <f t="shared" si="169"/>
        <v>0</v>
      </c>
      <c r="X181">
        <f t="shared" si="170"/>
        <v>831</v>
      </c>
      <c r="Y181">
        <f t="shared" si="171"/>
        <v>568.58000000000004</v>
      </c>
      <c r="AA181">
        <v>39099382</v>
      </c>
      <c r="AB181">
        <f t="shared" si="172"/>
        <v>453.93</v>
      </c>
      <c r="AC181">
        <f t="shared" si="194"/>
        <v>106.42</v>
      </c>
      <c r="AD181">
        <f t="shared" si="195"/>
        <v>4.67</v>
      </c>
      <c r="AE181">
        <f t="shared" si="196"/>
        <v>0.64</v>
      </c>
      <c r="AF181">
        <f t="shared" si="197"/>
        <v>342.84</v>
      </c>
      <c r="AG181">
        <f t="shared" si="173"/>
        <v>0</v>
      </c>
      <c r="AH181">
        <f t="shared" si="198"/>
        <v>34.56</v>
      </c>
      <c r="AI181">
        <f t="shared" si="199"/>
        <v>0.05</v>
      </c>
      <c r="AJ181">
        <f t="shared" si="174"/>
        <v>0</v>
      </c>
      <c r="AK181">
        <v>453.93</v>
      </c>
      <c r="AL181">
        <v>106.42</v>
      </c>
      <c r="AM181">
        <v>4.67</v>
      </c>
      <c r="AN181">
        <v>0.64</v>
      </c>
      <c r="AO181">
        <v>342.84</v>
      </c>
      <c r="AP181">
        <v>0</v>
      </c>
      <c r="AQ181">
        <v>34.56</v>
      </c>
      <c r="AR181">
        <v>0.05</v>
      </c>
      <c r="AS181">
        <v>0</v>
      </c>
      <c r="AT181">
        <v>95</v>
      </c>
      <c r="AU181">
        <v>65</v>
      </c>
      <c r="AV181">
        <v>1</v>
      </c>
      <c r="AW181">
        <v>1</v>
      </c>
      <c r="AZ181">
        <v>6.53</v>
      </c>
      <c r="BA181">
        <v>6.53</v>
      </c>
      <c r="BB181">
        <v>6.53</v>
      </c>
      <c r="BC181">
        <v>6.53</v>
      </c>
      <c r="BD181" t="s">
        <v>3</v>
      </c>
      <c r="BE181" t="s">
        <v>3</v>
      </c>
      <c r="BF181" t="s">
        <v>3</v>
      </c>
      <c r="BG181" t="s">
        <v>3</v>
      </c>
      <c r="BH181">
        <v>0</v>
      </c>
      <c r="BI181">
        <v>2</v>
      </c>
      <c r="BJ181" t="s">
        <v>461</v>
      </c>
      <c r="BM181">
        <v>108001</v>
      </c>
      <c r="BN181">
        <v>0</v>
      </c>
      <c r="BO181" t="s">
        <v>3</v>
      </c>
      <c r="BP181">
        <v>0</v>
      </c>
      <c r="BQ181">
        <v>3</v>
      </c>
      <c r="BR181">
        <v>0</v>
      </c>
      <c r="BS181">
        <v>6.53</v>
      </c>
      <c r="BT181">
        <v>1</v>
      </c>
      <c r="BU181">
        <v>1</v>
      </c>
      <c r="BV181">
        <v>1</v>
      </c>
      <c r="BW181">
        <v>1</v>
      </c>
      <c r="BX181">
        <v>1</v>
      </c>
      <c r="BY181" t="s">
        <v>3</v>
      </c>
      <c r="BZ181">
        <v>95</v>
      </c>
      <c r="CA181">
        <v>65</v>
      </c>
      <c r="CF181">
        <v>0</v>
      </c>
      <c r="CG181">
        <v>0</v>
      </c>
      <c r="CM181">
        <v>0</v>
      </c>
      <c r="CN181" t="s">
        <v>3</v>
      </c>
      <c r="CO181">
        <v>0</v>
      </c>
      <c r="CP181">
        <f t="shared" si="175"/>
        <v>1156.02</v>
      </c>
      <c r="CQ181">
        <f t="shared" si="176"/>
        <v>694.92259999999999</v>
      </c>
      <c r="CR181">
        <f t="shared" si="177"/>
        <v>30.495100000000001</v>
      </c>
      <c r="CS181">
        <f t="shared" si="178"/>
        <v>4.1791999999999998</v>
      </c>
      <c r="CT181">
        <f t="shared" si="179"/>
        <v>2238.7451999999998</v>
      </c>
      <c r="CU181">
        <f t="shared" si="180"/>
        <v>0</v>
      </c>
      <c r="CV181">
        <f t="shared" si="181"/>
        <v>34.56</v>
      </c>
      <c r="CW181">
        <f t="shared" si="182"/>
        <v>0.05</v>
      </c>
      <c r="CX181">
        <f t="shared" si="183"/>
        <v>0</v>
      </c>
      <c r="CY181">
        <f t="shared" si="184"/>
        <v>831.00300000000004</v>
      </c>
      <c r="CZ181">
        <f t="shared" si="185"/>
        <v>568.58100000000002</v>
      </c>
      <c r="DC181" t="s">
        <v>3</v>
      </c>
      <c r="DD181" t="s">
        <v>3</v>
      </c>
      <c r="DE181" t="s">
        <v>3</v>
      </c>
      <c r="DF181" t="s">
        <v>3</v>
      </c>
      <c r="DG181" t="s">
        <v>3</v>
      </c>
      <c r="DH181" t="s">
        <v>3</v>
      </c>
      <c r="DI181" t="s">
        <v>3</v>
      </c>
      <c r="DJ181" t="s">
        <v>3</v>
      </c>
      <c r="DK181" t="s">
        <v>3</v>
      </c>
      <c r="DL181" t="s">
        <v>3</v>
      </c>
      <c r="DM181" t="s">
        <v>3</v>
      </c>
      <c r="DN181">
        <v>0</v>
      </c>
      <c r="DO181">
        <v>0</v>
      </c>
      <c r="DP181">
        <v>1</v>
      </c>
      <c r="DQ181">
        <v>1</v>
      </c>
      <c r="DU181">
        <v>1013</v>
      </c>
      <c r="DV181" t="s">
        <v>30</v>
      </c>
      <c r="DW181" t="s">
        <v>30</v>
      </c>
      <c r="DX181">
        <v>1</v>
      </c>
      <c r="EE181">
        <v>39174386</v>
      </c>
      <c r="EF181">
        <v>3</v>
      </c>
      <c r="EG181" t="s">
        <v>374</v>
      </c>
      <c r="EH181">
        <v>0</v>
      </c>
      <c r="EI181" t="s">
        <v>3</v>
      </c>
      <c r="EJ181">
        <v>2</v>
      </c>
      <c r="EK181">
        <v>108001</v>
      </c>
      <c r="EL181" t="s">
        <v>375</v>
      </c>
      <c r="EM181" t="s">
        <v>376</v>
      </c>
      <c r="EO181" t="s">
        <v>3</v>
      </c>
      <c r="EQ181">
        <v>0</v>
      </c>
      <c r="ER181">
        <v>453.93</v>
      </c>
      <c r="ES181">
        <v>106.42</v>
      </c>
      <c r="ET181">
        <v>4.67</v>
      </c>
      <c r="EU181">
        <v>0.64</v>
      </c>
      <c r="EV181">
        <v>342.84</v>
      </c>
      <c r="EW181">
        <v>34.56</v>
      </c>
      <c r="EX181">
        <v>0.05</v>
      </c>
      <c r="EY181">
        <v>0</v>
      </c>
      <c r="FQ181">
        <v>0</v>
      </c>
      <c r="FR181">
        <f t="shared" si="186"/>
        <v>0</v>
      </c>
      <c r="FS181">
        <v>0</v>
      </c>
      <c r="FX181">
        <v>95</v>
      </c>
      <c r="FY181">
        <v>65</v>
      </c>
      <c r="GA181" t="s">
        <v>3</v>
      </c>
      <c r="GD181">
        <v>0</v>
      </c>
      <c r="GF181">
        <v>1188648583</v>
      </c>
      <c r="GG181">
        <v>1</v>
      </c>
      <c r="GH181">
        <v>1</v>
      </c>
      <c r="GI181">
        <v>4</v>
      </c>
      <c r="GJ181">
        <v>0</v>
      </c>
      <c r="GK181">
        <f>ROUND(R181*(R12)/100,2)</f>
        <v>0</v>
      </c>
      <c r="GL181">
        <f t="shared" si="187"/>
        <v>0</v>
      </c>
      <c r="GM181">
        <f t="shared" si="188"/>
        <v>2555.6</v>
      </c>
      <c r="GN181">
        <f t="shared" si="189"/>
        <v>0</v>
      </c>
      <c r="GO181">
        <f t="shared" si="190"/>
        <v>2555.6</v>
      </c>
      <c r="GP181">
        <f t="shared" si="191"/>
        <v>0</v>
      </c>
      <c r="GR181">
        <v>0</v>
      </c>
      <c r="GS181">
        <v>3</v>
      </c>
      <c r="GT181">
        <v>0</v>
      </c>
      <c r="GU181" t="s">
        <v>3</v>
      </c>
      <c r="GV181">
        <f t="shared" si="192"/>
        <v>0</v>
      </c>
      <c r="GW181">
        <v>1</v>
      </c>
      <c r="GX181">
        <f t="shared" si="193"/>
        <v>0</v>
      </c>
      <c r="HA181">
        <v>0</v>
      </c>
      <c r="HB181">
        <v>0</v>
      </c>
      <c r="IK181">
        <v>0</v>
      </c>
    </row>
    <row r="182" spans="1:245" x14ac:dyDescent="0.2">
      <c r="A182">
        <v>18</v>
      </c>
      <c r="B182">
        <v>1</v>
      </c>
      <c r="C182">
        <v>284</v>
      </c>
      <c r="E182" t="s">
        <v>462</v>
      </c>
      <c r="F182" t="s">
        <v>463</v>
      </c>
      <c r="G182" t="s">
        <v>464</v>
      </c>
      <c r="H182" t="s">
        <v>120</v>
      </c>
      <c r="I182">
        <f>I181*J182</f>
        <v>0.32</v>
      </c>
      <c r="J182">
        <v>0.82051282051282048</v>
      </c>
      <c r="O182">
        <f t="shared" si="161"/>
        <v>1878.55</v>
      </c>
      <c r="P182">
        <f t="shared" si="162"/>
        <v>1878.55</v>
      </c>
      <c r="Q182">
        <f t="shared" si="163"/>
        <v>0</v>
      </c>
      <c r="R182">
        <f t="shared" si="164"/>
        <v>0</v>
      </c>
      <c r="S182">
        <f t="shared" si="165"/>
        <v>0</v>
      </c>
      <c r="T182">
        <f t="shared" si="166"/>
        <v>0</v>
      </c>
      <c r="U182">
        <f t="shared" si="167"/>
        <v>0</v>
      </c>
      <c r="V182">
        <f t="shared" si="168"/>
        <v>0</v>
      </c>
      <c r="W182">
        <f t="shared" si="169"/>
        <v>0</v>
      </c>
      <c r="X182">
        <f t="shared" si="170"/>
        <v>0</v>
      </c>
      <c r="Y182">
        <f t="shared" si="171"/>
        <v>0</v>
      </c>
      <c r="AA182">
        <v>39099382</v>
      </c>
      <c r="AB182">
        <f t="shared" si="172"/>
        <v>899</v>
      </c>
      <c r="AC182">
        <f t="shared" si="194"/>
        <v>899</v>
      </c>
      <c r="AD182">
        <f t="shared" si="195"/>
        <v>0</v>
      </c>
      <c r="AE182">
        <f t="shared" si="196"/>
        <v>0</v>
      </c>
      <c r="AF182">
        <f t="shared" si="197"/>
        <v>0</v>
      </c>
      <c r="AG182">
        <f t="shared" si="173"/>
        <v>0</v>
      </c>
      <c r="AH182">
        <f t="shared" si="198"/>
        <v>0</v>
      </c>
      <c r="AI182">
        <f t="shared" si="199"/>
        <v>0</v>
      </c>
      <c r="AJ182">
        <f t="shared" si="174"/>
        <v>0</v>
      </c>
      <c r="AK182">
        <v>899</v>
      </c>
      <c r="AL182">
        <v>899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95</v>
      </c>
      <c r="AU182">
        <v>65</v>
      </c>
      <c r="AV182">
        <v>1</v>
      </c>
      <c r="AW182">
        <v>1</v>
      </c>
      <c r="AZ182">
        <v>6.53</v>
      </c>
      <c r="BA182">
        <v>1</v>
      </c>
      <c r="BB182">
        <v>1</v>
      </c>
      <c r="BC182">
        <v>6.53</v>
      </c>
      <c r="BD182" t="s">
        <v>3</v>
      </c>
      <c r="BE182" t="s">
        <v>3</v>
      </c>
      <c r="BF182" t="s">
        <v>3</v>
      </c>
      <c r="BG182" t="s">
        <v>3</v>
      </c>
      <c r="BH182">
        <v>3</v>
      </c>
      <c r="BI182">
        <v>2</v>
      </c>
      <c r="BJ182" t="s">
        <v>465</v>
      </c>
      <c r="BM182">
        <v>108001</v>
      </c>
      <c r="BN182">
        <v>0</v>
      </c>
      <c r="BO182" t="s">
        <v>3</v>
      </c>
      <c r="BP182">
        <v>0</v>
      </c>
      <c r="BQ182">
        <v>3</v>
      </c>
      <c r="BR182">
        <v>0</v>
      </c>
      <c r="BS182">
        <v>1</v>
      </c>
      <c r="BT182">
        <v>1</v>
      </c>
      <c r="BU182">
        <v>1</v>
      </c>
      <c r="BV182">
        <v>1</v>
      </c>
      <c r="BW182">
        <v>1</v>
      </c>
      <c r="BX182">
        <v>1</v>
      </c>
      <c r="BY182" t="s">
        <v>3</v>
      </c>
      <c r="BZ182">
        <v>95</v>
      </c>
      <c r="CA182">
        <v>65</v>
      </c>
      <c r="CF182">
        <v>0</v>
      </c>
      <c r="CG182">
        <v>0</v>
      </c>
      <c r="CM182">
        <v>0</v>
      </c>
      <c r="CN182" t="s">
        <v>3</v>
      </c>
      <c r="CO182">
        <v>0</v>
      </c>
      <c r="CP182">
        <f t="shared" si="175"/>
        <v>1878.55</v>
      </c>
      <c r="CQ182">
        <f t="shared" si="176"/>
        <v>5870.47</v>
      </c>
      <c r="CR182">
        <f t="shared" si="177"/>
        <v>0</v>
      </c>
      <c r="CS182">
        <f t="shared" si="178"/>
        <v>0</v>
      </c>
      <c r="CT182">
        <f t="shared" si="179"/>
        <v>0</v>
      </c>
      <c r="CU182">
        <f t="shared" si="180"/>
        <v>0</v>
      </c>
      <c r="CV182">
        <f t="shared" si="181"/>
        <v>0</v>
      </c>
      <c r="CW182">
        <f t="shared" si="182"/>
        <v>0</v>
      </c>
      <c r="CX182">
        <f t="shared" si="183"/>
        <v>0</v>
      </c>
      <c r="CY182">
        <f t="shared" si="184"/>
        <v>0</v>
      </c>
      <c r="CZ182">
        <f t="shared" si="185"/>
        <v>0</v>
      </c>
      <c r="DC182" t="s">
        <v>3</v>
      </c>
      <c r="DD182" t="s">
        <v>3</v>
      </c>
      <c r="DE182" t="s">
        <v>3</v>
      </c>
      <c r="DF182" t="s">
        <v>3</v>
      </c>
      <c r="DG182" t="s">
        <v>3</v>
      </c>
      <c r="DH182" t="s">
        <v>3</v>
      </c>
      <c r="DI182" t="s">
        <v>3</v>
      </c>
      <c r="DJ182" t="s">
        <v>3</v>
      </c>
      <c r="DK182" t="s">
        <v>3</v>
      </c>
      <c r="DL182" t="s">
        <v>3</v>
      </c>
      <c r="DM182" t="s">
        <v>3</v>
      </c>
      <c r="DN182">
        <v>0</v>
      </c>
      <c r="DO182">
        <v>0</v>
      </c>
      <c r="DP182">
        <v>1</v>
      </c>
      <c r="DQ182">
        <v>1</v>
      </c>
      <c r="DU182">
        <v>1010</v>
      </c>
      <c r="DV182" t="s">
        <v>120</v>
      </c>
      <c r="DW182" t="s">
        <v>120</v>
      </c>
      <c r="DX182">
        <v>100</v>
      </c>
      <c r="EE182">
        <v>39174386</v>
      </c>
      <c r="EF182">
        <v>3</v>
      </c>
      <c r="EG182" t="s">
        <v>374</v>
      </c>
      <c r="EH182">
        <v>0</v>
      </c>
      <c r="EI182" t="s">
        <v>3</v>
      </c>
      <c r="EJ182">
        <v>2</v>
      </c>
      <c r="EK182">
        <v>108001</v>
      </c>
      <c r="EL182" t="s">
        <v>375</v>
      </c>
      <c r="EM182" t="s">
        <v>376</v>
      </c>
      <c r="EO182" t="s">
        <v>3</v>
      </c>
      <c r="EQ182">
        <v>0</v>
      </c>
      <c r="ER182">
        <v>899</v>
      </c>
      <c r="ES182">
        <v>899</v>
      </c>
      <c r="ET182">
        <v>0</v>
      </c>
      <c r="EU182">
        <v>0</v>
      </c>
      <c r="EV182">
        <v>0</v>
      </c>
      <c r="EW182">
        <v>0</v>
      </c>
      <c r="EX182">
        <v>0</v>
      </c>
      <c r="FQ182">
        <v>0</v>
      </c>
      <c r="FR182">
        <f t="shared" si="186"/>
        <v>0</v>
      </c>
      <c r="FS182">
        <v>0</v>
      </c>
      <c r="FX182">
        <v>95</v>
      </c>
      <c r="FY182">
        <v>65</v>
      </c>
      <c r="GA182" t="s">
        <v>3</v>
      </c>
      <c r="GD182">
        <v>0</v>
      </c>
      <c r="GF182">
        <v>-2051776460</v>
      </c>
      <c r="GG182">
        <v>1</v>
      </c>
      <c r="GH182">
        <v>1</v>
      </c>
      <c r="GI182">
        <v>4</v>
      </c>
      <c r="GJ182">
        <v>0</v>
      </c>
      <c r="GK182">
        <f>ROUND(R182*(R12)/100,2)</f>
        <v>0</v>
      </c>
      <c r="GL182">
        <f t="shared" si="187"/>
        <v>0</v>
      </c>
      <c r="GM182">
        <f t="shared" si="188"/>
        <v>1878.55</v>
      </c>
      <c r="GN182">
        <f t="shared" si="189"/>
        <v>0</v>
      </c>
      <c r="GO182">
        <f t="shared" si="190"/>
        <v>1878.55</v>
      </c>
      <c r="GP182">
        <f t="shared" si="191"/>
        <v>0</v>
      </c>
      <c r="GR182">
        <v>0</v>
      </c>
      <c r="GS182">
        <v>3</v>
      </c>
      <c r="GT182">
        <v>0</v>
      </c>
      <c r="GU182" t="s">
        <v>3</v>
      </c>
      <c r="GV182">
        <f t="shared" si="192"/>
        <v>0</v>
      </c>
      <c r="GW182">
        <v>1</v>
      </c>
      <c r="GX182">
        <f t="shared" si="193"/>
        <v>0</v>
      </c>
      <c r="HA182">
        <v>0</v>
      </c>
      <c r="HB182">
        <v>0</v>
      </c>
      <c r="IK182">
        <v>0</v>
      </c>
    </row>
    <row r="183" spans="1:245" x14ac:dyDescent="0.2">
      <c r="A183">
        <v>18</v>
      </c>
      <c r="B183">
        <v>1</v>
      </c>
      <c r="C183">
        <v>285</v>
      </c>
      <c r="E183" t="s">
        <v>466</v>
      </c>
      <c r="F183" t="s">
        <v>467</v>
      </c>
      <c r="G183" t="s">
        <v>468</v>
      </c>
      <c r="H183" t="s">
        <v>120</v>
      </c>
      <c r="I183">
        <f>I181*J183</f>
        <v>7.0000000000000007E-2</v>
      </c>
      <c r="J183">
        <v>0.17948717948717949</v>
      </c>
      <c r="O183">
        <f t="shared" si="161"/>
        <v>335.51</v>
      </c>
      <c r="P183">
        <f t="shared" si="162"/>
        <v>335.51</v>
      </c>
      <c r="Q183">
        <f t="shared" si="163"/>
        <v>0</v>
      </c>
      <c r="R183">
        <f t="shared" si="164"/>
        <v>0</v>
      </c>
      <c r="S183">
        <f t="shared" si="165"/>
        <v>0</v>
      </c>
      <c r="T183">
        <f t="shared" si="166"/>
        <v>0</v>
      </c>
      <c r="U183">
        <f t="shared" si="167"/>
        <v>0</v>
      </c>
      <c r="V183">
        <f t="shared" si="168"/>
        <v>0</v>
      </c>
      <c r="W183">
        <f t="shared" si="169"/>
        <v>0</v>
      </c>
      <c r="X183">
        <f t="shared" si="170"/>
        <v>0</v>
      </c>
      <c r="Y183">
        <f t="shared" si="171"/>
        <v>0</v>
      </c>
      <c r="AA183">
        <v>39099382</v>
      </c>
      <c r="AB183">
        <f t="shared" si="172"/>
        <v>734</v>
      </c>
      <c r="AC183">
        <f t="shared" si="194"/>
        <v>734</v>
      </c>
      <c r="AD183">
        <f t="shared" si="195"/>
        <v>0</v>
      </c>
      <c r="AE183">
        <f t="shared" si="196"/>
        <v>0</v>
      </c>
      <c r="AF183">
        <f t="shared" si="197"/>
        <v>0</v>
      </c>
      <c r="AG183">
        <f t="shared" si="173"/>
        <v>0</v>
      </c>
      <c r="AH183">
        <f t="shared" si="198"/>
        <v>0</v>
      </c>
      <c r="AI183">
        <f t="shared" si="199"/>
        <v>0</v>
      </c>
      <c r="AJ183">
        <f t="shared" si="174"/>
        <v>0</v>
      </c>
      <c r="AK183">
        <v>734</v>
      </c>
      <c r="AL183">
        <v>734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95</v>
      </c>
      <c r="AU183">
        <v>65</v>
      </c>
      <c r="AV183">
        <v>1</v>
      </c>
      <c r="AW183">
        <v>1</v>
      </c>
      <c r="AZ183">
        <v>6.53</v>
      </c>
      <c r="BA183">
        <v>1</v>
      </c>
      <c r="BB183">
        <v>1</v>
      </c>
      <c r="BC183">
        <v>6.53</v>
      </c>
      <c r="BD183" t="s">
        <v>3</v>
      </c>
      <c r="BE183" t="s">
        <v>3</v>
      </c>
      <c r="BF183" t="s">
        <v>3</v>
      </c>
      <c r="BG183" t="s">
        <v>3</v>
      </c>
      <c r="BH183">
        <v>3</v>
      </c>
      <c r="BI183">
        <v>2</v>
      </c>
      <c r="BJ183" t="s">
        <v>469</v>
      </c>
      <c r="BM183">
        <v>108001</v>
      </c>
      <c r="BN183">
        <v>0</v>
      </c>
      <c r="BO183" t="s">
        <v>3</v>
      </c>
      <c r="BP183">
        <v>0</v>
      </c>
      <c r="BQ183">
        <v>3</v>
      </c>
      <c r="BR183">
        <v>0</v>
      </c>
      <c r="BS183">
        <v>1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3</v>
      </c>
      <c r="BZ183">
        <v>95</v>
      </c>
      <c r="CA183">
        <v>65</v>
      </c>
      <c r="CF183">
        <v>0</v>
      </c>
      <c r="CG183">
        <v>0</v>
      </c>
      <c r="CM183">
        <v>0</v>
      </c>
      <c r="CN183" t="s">
        <v>3</v>
      </c>
      <c r="CO183">
        <v>0</v>
      </c>
      <c r="CP183">
        <f t="shared" si="175"/>
        <v>335.51</v>
      </c>
      <c r="CQ183">
        <f t="shared" si="176"/>
        <v>4793.0200000000004</v>
      </c>
      <c r="CR183">
        <f t="shared" si="177"/>
        <v>0</v>
      </c>
      <c r="CS183">
        <f t="shared" si="178"/>
        <v>0</v>
      </c>
      <c r="CT183">
        <f t="shared" si="179"/>
        <v>0</v>
      </c>
      <c r="CU183">
        <f t="shared" si="180"/>
        <v>0</v>
      </c>
      <c r="CV183">
        <f t="shared" si="181"/>
        <v>0</v>
      </c>
      <c r="CW183">
        <f t="shared" si="182"/>
        <v>0</v>
      </c>
      <c r="CX183">
        <f t="shared" si="183"/>
        <v>0</v>
      </c>
      <c r="CY183">
        <f t="shared" si="184"/>
        <v>0</v>
      </c>
      <c r="CZ183">
        <f t="shared" si="185"/>
        <v>0</v>
      </c>
      <c r="DC183" t="s">
        <v>3</v>
      </c>
      <c r="DD183" t="s">
        <v>3</v>
      </c>
      <c r="DE183" t="s">
        <v>3</v>
      </c>
      <c r="DF183" t="s">
        <v>3</v>
      </c>
      <c r="DG183" t="s">
        <v>3</v>
      </c>
      <c r="DH183" t="s">
        <v>3</v>
      </c>
      <c r="DI183" t="s">
        <v>3</v>
      </c>
      <c r="DJ183" t="s">
        <v>3</v>
      </c>
      <c r="DK183" t="s">
        <v>3</v>
      </c>
      <c r="DL183" t="s">
        <v>3</v>
      </c>
      <c r="DM183" t="s">
        <v>3</v>
      </c>
      <c r="DN183">
        <v>0</v>
      </c>
      <c r="DO183">
        <v>0</v>
      </c>
      <c r="DP183">
        <v>1</v>
      </c>
      <c r="DQ183">
        <v>1</v>
      </c>
      <c r="DU183">
        <v>1010</v>
      </c>
      <c r="DV183" t="s">
        <v>120</v>
      </c>
      <c r="DW183" t="s">
        <v>120</v>
      </c>
      <c r="DX183">
        <v>100</v>
      </c>
      <c r="EE183">
        <v>39174386</v>
      </c>
      <c r="EF183">
        <v>3</v>
      </c>
      <c r="EG183" t="s">
        <v>374</v>
      </c>
      <c r="EH183">
        <v>0</v>
      </c>
      <c r="EI183" t="s">
        <v>3</v>
      </c>
      <c r="EJ183">
        <v>2</v>
      </c>
      <c r="EK183">
        <v>108001</v>
      </c>
      <c r="EL183" t="s">
        <v>375</v>
      </c>
      <c r="EM183" t="s">
        <v>376</v>
      </c>
      <c r="EO183" t="s">
        <v>3</v>
      </c>
      <c r="EQ183">
        <v>0</v>
      </c>
      <c r="ER183">
        <v>734</v>
      </c>
      <c r="ES183">
        <v>734</v>
      </c>
      <c r="ET183">
        <v>0</v>
      </c>
      <c r="EU183">
        <v>0</v>
      </c>
      <c r="EV183">
        <v>0</v>
      </c>
      <c r="EW183">
        <v>0</v>
      </c>
      <c r="EX183">
        <v>0</v>
      </c>
      <c r="FQ183">
        <v>0</v>
      </c>
      <c r="FR183">
        <f t="shared" si="186"/>
        <v>0</v>
      </c>
      <c r="FS183">
        <v>0</v>
      </c>
      <c r="FX183">
        <v>95</v>
      </c>
      <c r="FY183">
        <v>65</v>
      </c>
      <c r="GA183" t="s">
        <v>3</v>
      </c>
      <c r="GD183">
        <v>0</v>
      </c>
      <c r="GF183">
        <v>375004976</v>
      </c>
      <c r="GG183">
        <v>1</v>
      </c>
      <c r="GH183">
        <v>1</v>
      </c>
      <c r="GI183">
        <v>4</v>
      </c>
      <c r="GJ183">
        <v>0</v>
      </c>
      <c r="GK183">
        <f>ROUND(R183*(R12)/100,2)</f>
        <v>0</v>
      </c>
      <c r="GL183">
        <f t="shared" si="187"/>
        <v>0</v>
      </c>
      <c r="GM183">
        <f t="shared" si="188"/>
        <v>335.51</v>
      </c>
      <c r="GN183">
        <f t="shared" si="189"/>
        <v>0</v>
      </c>
      <c r="GO183">
        <f t="shared" si="190"/>
        <v>335.51</v>
      </c>
      <c r="GP183">
        <f t="shared" si="191"/>
        <v>0</v>
      </c>
      <c r="GR183">
        <v>0</v>
      </c>
      <c r="GS183">
        <v>3</v>
      </c>
      <c r="GT183">
        <v>0</v>
      </c>
      <c r="GU183" t="s">
        <v>3</v>
      </c>
      <c r="GV183">
        <f t="shared" si="192"/>
        <v>0</v>
      </c>
      <c r="GW183">
        <v>1</v>
      </c>
      <c r="GX183">
        <f t="shared" si="193"/>
        <v>0</v>
      </c>
      <c r="HA183">
        <v>0</v>
      </c>
      <c r="HB183">
        <v>0</v>
      </c>
      <c r="IK183">
        <v>0</v>
      </c>
    </row>
    <row r="184" spans="1:245" x14ac:dyDescent="0.2">
      <c r="A184">
        <v>17</v>
      </c>
      <c r="B184">
        <v>1</v>
      </c>
      <c r="C184">
        <f>ROW(SmtRes!A295)</f>
        <v>295</v>
      </c>
      <c r="D184">
        <f>ROW(EtalonRes!A285)</f>
        <v>285</v>
      </c>
      <c r="E184" t="s">
        <v>470</v>
      </c>
      <c r="F184" t="s">
        <v>471</v>
      </c>
      <c r="G184" t="s">
        <v>472</v>
      </c>
      <c r="H184" t="s">
        <v>350</v>
      </c>
      <c r="I184">
        <v>7</v>
      </c>
      <c r="J184">
        <v>0</v>
      </c>
      <c r="O184">
        <f t="shared" si="161"/>
        <v>1527.63</v>
      </c>
      <c r="P184">
        <f t="shared" si="162"/>
        <v>283.39999999999998</v>
      </c>
      <c r="Q184">
        <f t="shared" si="163"/>
        <v>812.27</v>
      </c>
      <c r="R184">
        <f t="shared" si="164"/>
        <v>114.73</v>
      </c>
      <c r="S184">
        <f t="shared" si="165"/>
        <v>431.96</v>
      </c>
      <c r="T184">
        <f t="shared" si="166"/>
        <v>0</v>
      </c>
      <c r="U184">
        <f t="shared" si="167"/>
        <v>6.3</v>
      </c>
      <c r="V184">
        <f t="shared" si="168"/>
        <v>1.4000000000000001</v>
      </c>
      <c r="W184">
        <f t="shared" si="169"/>
        <v>0</v>
      </c>
      <c r="X184">
        <f t="shared" si="170"/>
        <v>519.36</v>
      </c>
      <c r="Y184">
        <f t="shared" si="171"/>
        <v>355.35</v>
      </c>
      <c r="AA184">
        <v>39099382</v>
      </c>
      <c r="AB184">
        <f t="shared" si="172"/>
        <v>33.42</v>
      </c>
      <c r="AC184">
        <f t="shared" si="194"/>
        <v>6.2</v>
      </c>
      <c r="AD184">
        <f t="shared" si="195"/>
        <v>17.77</v>
      </c>
      <c r="AE184">
        <f t="shared" si="196"/>
        <v>2.5099999999999998</v>
      </c>
      <c r="AF184">
        <f t="shared" si="197"/>
        <v>9.4499999999999993</v>
      </c>
      <c r="AG184">
        <f t="shared" si="173"/>
        <v>0</v>
      </c>
      <c r="AH184">
        <f t="shared" si="198"/>
        <v>0.9</v>
      </c>
      <c r="AI184">
        <f t="shared" si="199"/>
        <v>0.2</v>
      </c>
      <c r="AJ184">
        <f t="shared" si="174"/>
        <v>0</v>
      </c>
      <c r="AK184">
        <v>33.42</v>
      </c>
      <c r="AL184">
        <v>6.2</v>
      </c>
      <c r="AM184">
        <v>17.77</v>
      </c>
      <c r="AN184">
        <v>2.5099999999999998</v>
      </c>
      <c r="AO184">
        <v>9.4499999999999993</v>
      </c>
      <c r="AP184">
        <v>0</v>
      </c>
      <c r="AQ184">
        <v>0.9</v>
      </c>
      <c r="AR184">
        <v>0.2</v>
      </c>
      <c r="AS184">
        <v>0</v>
      </c>
      <c r="AT184">
        <v>95</v>
      </c>
      <c r="AU184">
        <v>65</v>
      </c>
      <c r="AV184">
        <v>1</v>
      </c>
      <c r="AW184">
        <v>1</v>
      </c>
      <c r="AZ184">
        <v>6.53</v>
      </c>
      <c r="BA184">
        <v>6.53</v>
      </c>
      <c r="BB184">
        <v>6.53</v>
      </c>
      <c r="BC184">
        <v>6.53</v>
      </c>
      <c r="BD184" t="s">
        <v>3</v>
      </c>
      <c r="BE184" t="s">
        <v>3</v>
      </c>
      <c r="BF184" t="s">
        <v>3</v>
      </c>
      <c r="BG184" t="s">
        <v>3</v>
      </c>
      <c r="BH184">
        <v>0</v>
      </c>
      <c r="BI184">
        <v>2</v>
      </c>
      <c r="BJ184" t="s">
        <v>473</v>
      </c>
      <c r="BM184">
        <v>108001</v>
      </c>
      <c r="BN184">
        <v>0</v>
      </c>
      <c r="BO184" t="s">
        <v>3</v>
      </c>
      <c r="BP184">
        <v>0</v>
      </c>
      <c r="BQ184">
        <v>3</v>
      </c>
      <c r="BR184">
        <v>0</v>
      </c>
      <c r="BS184">
        <v>6.53</v>
      </c>
      <c r="BT184">
        <v>1</v>
      </c>
      <c r="BU184">
        <v>1</v>
      </c>
      <c r="BV184">
        <v>1</v>
      </c>
      <c r="BW184">
        <v>1</v>
      </c>
      <c r="BX184">
        <v>1</v>
      </c>
      <c r="BY184" t="s">
        <v>3</v>
      </c>
      <c r="BZ184">
        <v>95</v>
      </c>
      <c r="CA184">
        <v>65</v>
      </c>
      <c r="CF184">
        <v>0</v>
      </c>
      <c r="CG184">
        <v>0</v>
      </c>
      <c r="CM184">
        <v>0</v>
      </c>
      <c r="CN184" t="s">
        <v>3</v>
      </c>
      <c r="CO184">
        <v>0</v>
      </c>
      <c r="CP184">
        <f t="shared" si="175"/>
        <v>1527.63</v>
      </c>
      <c r="CQ184">
        <f t="shared" si="176"/>
        <v>40.486000000000004</v>
      </c>
      <c r="CR184">
        <f t="shared" si="177"/>
        <v>116.0381</v>
      </c>
      <c r="CS184">
        <f t="shared" si="178"/>
        <v>16.3903</v>
      </c>
      <c r="CT184">
        <f t="shared" si="179"/>
        <v>61.708500000000001</v>
      </c>
      <c r="CU184">
        <f t="shared" si="180"/>
        <v>0</v>
      </c>
      <c r="CV184">
        <f t="shared" si="181"/>
        <v>0.9</v>
      </c>
      <c r="CW184">
        <f t="shared" si="182"/>
        <v>0.2</v>
      </c>
      <c r="CX184">
        <f t="shared" si="183"/>
        <v>0</v>
      </c>
      <c r="CY184">
        <f t="shared" si="184"/>
        <v>519.35550000000001</v>
      </c>
      <c r="CZ184">
        <f t="shared" si="185"/>
        <v>355.3485</v>
      </c>
      <c r="DC184" t="s">
        <v>3</v>
      </c>
      <c r="DD184" t="s">
        <v>3</v>
      </c>
      <c r="DE184" t="s">
        <v>3</v>
      </c>
      <c r="DF184" t="s">
        <v>3</v>
      </c>
      <c r="DG184" t="s">
        <v>3</v>
      </c>
      <c r="DH184" t="s">
        <v>3</v>
      </c>
      <c r="DI184" t="s">
        <v>3</v>
      </c>
      <c r="DJ184" t="s">
        <v>3</v>
      </c>
      <c r="DK184" t="s">
        <v>3</v>
      </c>
      <c r="DL184" t="s">
        <v>3</v>
      </c>
      <c r="DM184" t="s">
        <v>3</v>
      </c>
      <c r="DN184">
        <v>0</v>
      </c>
      <c r="DO184">
        <v>0</v>
      </c>
      <c r="DP184">
        <v>1</v>
      </c>
      <c r="DQ184">
        <v>1</v>
      </c>
      <c r="DU184">
        <v>1013</v>
      </c>
      <c r="DV184" t="s">
        <v>350</v>
      </c>
      <c r="DW184" t="s">
        <v>350</v>
      </c>
      <c r="DX184">
        <v>1</v>
      </c>
      <c r="EE184">
        <v>39174386</v>
      </c>
      <c r="EF184">
        <v>3</v>
      </c>
      <c r="EG184" t="s">
        <v>374</v>
      </c>
      <c r="EH184">
        <v>0</v>
      </c>
      <c r="EI184" t="s">
        <v>3</v>
      </c>
      <c r="EJ184">
        <v>2</v>
      </c>
      <c r="EK184">
        <v>108001</v>
      </c>
      <c r="EL184" t="s">
        <v>375</v>
      </c>
      <c r="EM184" t="s">
        <v>376</v>
      </c>
      <c r="EO184" t="s">
        <v>3</v>
      </c>
      <c r="EQ184">
        <v>0</v>
      </c>
      <c r="ER184">
        <v>33.42</v>
      </c>
      <c r="ES184">
        <v>6.2</v>
      </c>
      <c r="ET184">
        <v>17.77</v>
      </c>
      <c r="EU184">
        <v>2.5099999999999998</v>
      </c>
      <c r="EV184">
        <v>9.4499999999999993</v>
      </c>
      <c r="EW184">
        <v>0.9</v>
      </c>
      <c r="EX184">
        <v>0.2</v>
      </c>
      <c r="EY184">
        <v>0</v>
      </c>
      <c r="FQ184">
        <v>0</v>
      </c>
      <c r="FR184">
        <f t="shared" si="186"/>
        <v>0</v>
      </c>
      <c r="FS184">
        <v>0</v>
      </c>
      <c r="FX184">
        <v>95</v>
      </c>
      <c r="FY184">
        <v>65</v>
      </c>
      <c r="GA184" t="s">
        <v>3</v>
      </c>
      <c r="GD184">
        <v>0</v>
      </c>
      <c r="GF184">
        <v>-1815094428</v>
      </c>
      <c r="GG184">
        <v>1</v>
      </c>
      <c r="GH184">
        <v>1</v>
      </c>
      <c r="GI184">
        <v>4</v>
      </c>
      <c r="GJ184">
        <v>0</v>
      </c>
      <c r="GK184">
        <f>ROUND(R184*(R12)/100,2)</f>
        <v>0</v>
      </c>
      <c r="GL184">
        <f t="shared" si="187"/>
        <v>0</v>
      </c>
      <c r="GM184">
        <f t="shared" si="188"/>
        <v>2402.34</v>
      </c>
      <c r="GN184">
        <f t="shared" si="189"/>
        <v>0</v>
      </c>
      <c r="GO184">
        <f t="shared" si="190"/>
        <v>2402.34</v>
      </c>
      <c r="GP184">
        <f t="shared" si="191"/>
        <v>0</v>
      </c>
      <c r="GR184">
        <v>0</v>
      </c>
      <c r="GS184">
        <v>3</v>
      </c>
      <c r="GT184">
        <v>0</v>
      </c>
      <c r="GU184" t="s">
        <v>3</v>
      </c>
      <c r="GV184">
        <f t="shared" si="192"/>
        <v>0</v>
      </c>
      <c r="GW184">
        <v>1</v>
      </c>
      <c r="GX184">
        <f t="shared" si="193"/>
        <v>0</v>
      </c>
      <c r="HA184">
        <v>0</v>
      </c>
      <c r="HB184">
        <v>0</v>
      </c>
      <c r="IK184">
        <v>0</v>
      </c>
    </row>
    <row r="185" spans="1:245" x14ac:dyDescent="0.2">
      <c r="A185">
        <v>18</v>
      </c>
      <c r="B185">
        <v>1</v>
      </c>
      <c r="C185">
        <v>294</v>
      </c>
      <c r="E185" t="s">
        <v>474</v>
      </c>
      <c r="F185" t="s">
        <v>475</v>
      </c>
      <c r="G185" t="s">
        <v>476</v>
      </c>
      <c r="H185" t="s">
        <v>417</v>
      </c>
      <c r="I185">
        <f>I184*J185</f>
        <v>0.7</v>
      </c>
      <c r="J185">
        <v>9.9999999999999992E-2</v>
      </c>
      <c r="O185">
        <f t="shared" si="161"/>
        <v>861.63</v>
      </c>
      <c r="P185">
        <f t="shared" si="162"/>
        <v>861.63</v>
      </c>
      <c r="Q185">
        <f t="shared" si="163"/>
        <v>0</v>
      </c>
      <c r="R185">
        <f t="shared" si="164"/>
        <v>0</v>
      </c>
      <c r="S185">
        <f t="shared" si="165"/>
        <v>0</v>
      </c>
      <c r="T185">
        <f t="shared" si="166"/>
        <v>0</v>
      </c>
      <c r="U185">
        <f t="shared" si="167"/>
        <v>0</v>
      </c>
      <c r="V185">
        <f t="shared" si="168"/>
        <v>0</v>
      </c>
      <c r="W185">
        <f t="shared" si="169"/>
        <v>0</v>
      </c>
      <c r="X185">
        <f t="shared" si="170"/>
        <v>0</v>
      </c>
      <c r="Y185">
        <f t="shared" si="171"/>
        <v>0</v>
      </c>
      <c r="AA185">
        <v>39099382</v>
      </c>
      <c r="AB185">
        <f t="shared" si="172"/>
        <v>188.5</v>
      </c>
      <c r="AC185">
        <f t="shared" si="194"/>
        <v>188.5</v>
      </c>
      <c r="AD185">
        <f t="shared" si="195"/>
        <v>0</v>
      </c>
      <c r="AE185">
        <f t="shared" si="196"/>
        <v>0</v>
      </c>
      <c r="AF185">
        <f t="shared" si="197"/>
        <v>0</v>
      </c>
      <c r="AG185">
        <f t="shared" si="173"/>
        <v>0</v>
      </c>
      <c r="AH185">
        <f t="shared" si="198"/>
        <v>0</v>
      </c>
      <c r="AI185">
        <f t="shared" si="199"/>
        <v>0</v>
      </c>
      <c r="AJ185">
        <f t="shared" si="174"/>
        <v>0</v>
      </c>
      <c r="AK185">
        <v>188.5</v>
      </c>
      <c r="AL185">
        <v>188.5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95</v>
      </c>
      <c r="AU185">
        <v>65</v>
      </c>
      <c r="AV185">
        <v>1</v>
      </c>
      <c r="AW185">
        <v>1</v>
      </c>
      <c r="AZ185">
        <v>6.53</v>
      </c>
      <c r="BA185">
        <v>1</v>
      </c>
      <c r="BB185">
        <v>1</v>
      </c>
      <c r="BC185">
        <v>6.53</v>
      </c>
      <c r="BD185" t="s">
        <v>3</v>
      </c>
      <c r="BE185" t="s">
        <v>3</v>
      </c>
      <c r="BF185" t="s">
        <v>3</v>
      </c>
      <c r="BG185" t="s">
        <v>3</v>
      </c>
      <c r="BH185">
        <v>3</v>
      </c>
      <c r="BI185">
        <v>2</v>
      </c>
      <c r="BJ185" t="s">
        <v>477</v>
      </c>
      <c r="BM185">
        <v>108001</v>
      </c>
      <c r="BN185">
        <v>0</v>
      </c>
      <c r="BO185" t="s">
        <v>3</v>
      </c>
      <c r="BP185">
        <v>0</v>
      </c>
      <c r="BQ185">
        <v>3</v>
      </c>
      <c r="BR185">
        <v>0</v>
      </c>
      <c r="BS185">
        <v>1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3</v>
      </c>
      <c r="BZ185">
        <v>95</v>
      </c>
      <c r="CA185">
        <v>65</v>
      </c>
      <c r="CF185">
        <v>0</v>
      </c>
      <c r="CG185">
        <v>0</v>
      </c>
      <c r="CM185">
        <v>0</v>
      </c>
      <c r="CN185" t="s">
        <v>3</v>
      </c>
      <c r="CO185">
        <v>0</v>
      </c>
      <c r="CP185">
        <f t="shared" si="175"/>
        <v>861.63</v>
      </c>
      <c r="CQ185">
        <f t="shared" si="176"/>
        <v>1230.905</v>
      </c>
      <c r="CR185">
        <f t="shared" si="177"/>
        <v>0</v>
      </c>
      <c r="CS185">
        <f t="shared" si="178"/>
        <v>0</v>
      </c>
      <c r="CT185">
        <f t="shared" si="179"/>
        <v>0</v>
      </c>
      <c r="CU185">
        <f t="shared" si="180"/>
        <v>0</v>
      </c>
      <c r="CV185">
        <f t="shared" si="181"/>
        <v>0</v>
      </c>
      <c r="CW185">
        <f t="shared" si="182"/>
        <v>0</v>
      </c>
      <c r="CX185">
        <f t="shared" si="183"/>
        <v>0</v>
      </c>
      <c r="CY185">
        <f t="shared" si="184"/>
        <v>0</v>
      </c>
      <c r="CZ185">
        <f t="shared" si="185"/>
        <v>0</v>
      </c>
      <c r="DC185" t="s">
        <v>3</v>
      </c>
      <c r="DD185" t="s">
        <v>3</v>
      </c>
      <c r="DE185" t="s">
        <v>3</v>
      </c>
      <c r="DF185" t="s">
        <v>3</v>
      </c>
      <c r="DG185" t="s">
        <v>3</v>
      </c>
      <c r="DH185" t="s">
        <v>3</v>
      </c>
      <c r="DI185" t="s">
        <v>3</v>
      </c>
      <c r="DJ185" t="s">
        <v>3</v>
      </c>
      <c r="DK185" t="s">
        <v>3</v>
      </c>
      <c r="DL185" t="s">
        <v>3</v>
      </c>
      <c r="DM185" t="s">
        <v>3</v>
      </c>
      <c r="DN185">
        <v>0</v>
      </c>
      <c r="DO185">
        <v>0</v>
      </c>
      <c r="DP185">
        <v>1</v>
      </c>
      <c r="DQ185">
        <v>1</v>
      </c>
      <c r="DU185">
        <v>1010</v>
      </c>
      <c r="DV185" t="s">
        <v>417</v>
      </c>
      <c r="DW185" t="s">
        <v>417</v>
      </c>
      <c r="DX185">
        <v>10</v>
      </c>
      <c r="EE185">
        <v>39174386</v>
      </c>
      <c r="EF185">
        <v>3</v>
      </c>
      <c r="EG185" t="s">
        <v>374</v>
      </c>
      <c r="EH185">
        <v>0</v>
      </c>
      <c r="EI185" t="s">
        <v>3</v>
      </c>
      <c r="EJ185">
        <v>2</v>
      </c>
      <c r="EK185">
        <v>108001</v>
      </c>
      <c r="EL185" t="s">
        <v>375</v>
      </c>
      <c r="EM185" t="s">
        <v>376</v>
      </c>
      <c r="EO185" t="s">
        <v>3</v>
      </c>
      <c r="EQ185">
        <v>0</v>
      </c>
      <c r="ER185">
        <v>188.5</v>
      </c>
      <c r="ES185">
        <v>188.5</v>
      </c>
      <c r="ET185">
        <v>0</v>
      </c>
      <c r="EU185">
        <v>0</v>
      </c>
      <c r="EV185">
        <v>0</v>
      </c>
      <c r="EW185">
        <v>0</v>
      </c>
      <c r="EX185">
        <v>0</v>
      </c>
      <c r="FQ185">
        <v>0</v>
      </c>
      <c r="FR185">
        <f t="shared" si="186"/>
        <v>0</v>
      </c>
      <c r="FS185">
        <v>0</v>
      </c>
      <c r="FX185">
        <v>95</v>
      </c>
      <c r="FY185">
        <v>65</v>
      </c>
      <c r="GA185" t="s">
        <v>3</v>
      </c>
      <c r="GD185">
        <v>0</v>
      </c>
      <c r="GF185">
        <v>-1428264759</v>
      </c>
      <c r="GG185">
        <v>1</v>
      </c>
      <c r="GH185">
        <v>1</v>
      </c>
      <c r="GI185">
        <v>4</v>
      </c>
      <c r="GJ185">
        <v>0</v>
      </c>
      <c r="GK185">
        <f>ROUND(R185*(R12)/100,2)</f>
        <v>0</v>
      </c>
      <c r="GL185">
        <f t="shared" si="187"/>
        <v>0</v>
      </c>
      <c r="GM185">
        <f t="shared" si="188"/>
        <v>861.63</v>
      </c>
      <c r="GN185">
        <f t="shared" si="189"/>
        <v>0</v>
      </c>
      <c r="GO185">
        <f t="shared" si="190"/>
        <v>861.63</v>
      </c>
      <c r="GP185">
        <f t="shared" si="191"/>
        <v>0</v>
      </c>
      <c r="GR185">
        <v>0</v>
      </c>
      <c r="GS185">
        <v>3</v>
      </c>
      <c r="GT185">
        <v>0</v>
      </c>
      <c r="GU185" t="s">
        <v>3</v>
      </c>
      <c r="GV185">
        <f t="shared" si="192"/>
        <v>0</v>
      </c>
      <c r="GW185">
        <v>1</v>
      </c>
      <c r="GX185">
        <f t="shared" si="193"/>
        <v>0</v>
      </c>
      <c r="HA185">
        <v>0</v>
      </c>
      <c r="HB185">
        <v>0</v>
      </c>
      <c r="IK185">
        <v>0</v>
      </c>
    </row>
    <row r="186" spans="1:245" x14ac:dyDescent="0.2">
      <c r="A186">
        <v>17</v>
      </c>
      <c r="B186">
        <v>1</v>
      </c>
      <c r="C186">
        <f>ROW(SmtRes!A314)</f>
        <v>314</v>
      </c>
      <c r="D186">
        <f>ROW(EtalonRes!A299)</f>
        <v>299</v>
      </c>
      <c r="E186" t="s">
        <v>478</v>
      </c>
      <c r="F186" t="s">
        <v>479</v>
      </c>
      <c r="G186" t="s">
        <v>480</v>
      </c>
      <c r="H186" t="s">
        <v>350</v>
      </c>
      <c r="I186">
        <v>44</v>
      </c>
      <c r="J186">
        <v>0</v>
      </c>
      <c r="O186">
        <f t="shared" si="161"/>
        <v>10337.780000000001</v>
      </c>
      <c r="P186">
        <f t="shared" si="162"/>
        <v>5772.26</v>
      </c>
      <c r="Q186">
        <f t="shared" si="163"/>
        <v>301.69</v>
      </c>
      <c r="R186">
        <f t="shared" si="164"/>
        <v>0</v>
      </c>
      <c r="S186">
        <f t="shared" si="165"/>
        <v>4263.83</v>
      </c>
      <c r="T186">
        <f t="shared" si="166"/>
        <v>0</v>
      </c>
      <c r="U186">
        <f t="shared" si="167"/>
        <v>68.64</v>
      </c>
      <c r="V186">
        <f t="shared" si="168"/>
        <v>0</v>
      </c>
      <c r="W186">
        <f t="shared" si="169"/>
        <v>0</v>
      </c>
      <c r="X186">
        <f t="shared" si="170"/>
        <v>4050.64</v>
      </c>
      <c r="Y186">
        <f t="shared" si="171"/>
        <v>2771.49</v>
      </c>
      <c r="AA186">
        <v>39099382</v>
      </c>
      <c r="AB186">
        <f t="shared" si="172"/>
        <v>35.979999999999997</v>
      </c>
      <c r="AC186">
        <f t="shared" si="194"/>
        <v>20.09</v>
      </c>
      <c r="AD186">
        <f t="shared" si="195"/>
        <v>1.05</v>
      </c>
      <c r="AE186">
        <f t="shared" si="196"/>
        <v>0</v>
      </c>
      <c r="AF186">
        <f t="shared" si="197"/>
        <v>14.84</v>
      </c>
      <c r="AG186">
        <f t="shared" si="173"/>
        <v>0</v>
      </c>
      <c r="AH186">
        <f t="shared" si="198"/>
        <v>1.56</v>
      </c>
      <c r="AI186">
        <f t="shared" si="199"/>
        <v>0</v>
      </c>
      <c r="AJ186">
        <f t="shared" si="174"/>
        <v>0</v>
      </c>
      <c r="AK186">
        <v>35.979999999999997</v>
      </c>
      <c r="AL186">
        <v>20.09</v>
      </c>
      <c r="AM186">
        <v>1.05</v>
      </c>
      <c r="AN186">
        <v>0</v>
      </c>
      <c r="AO186">
        <v>14.84</v>
      </c>
      <c r="AP186">
        <v>0</v>
      </c>
      <c r="AQ186">
        <v>1.56</v>
      </c>
      <c r="AR186">
        <v>0</v>
      </c>
      <c r="AS186">
        <v>0</v>
      </c>
      <c r="AT186">
        <v>95</v>
      </c>
      <c r="AU186">
        <v>65</v>
      </c>
      <c r="AV186">
        <v>1</v>
      </c>
      <c r="AW186">
        <v>1</v>
      </c>
      <c r="AZ186">
        <v>6.53</v>
      </c>
      <c r="BA186">
        <v>6.53</v>
      </c>
      <c r="BB186">
        <v>6.53</v>
      </c>
      <c r="BC186">
        <v>6.53</v>
      </c>
      <c r="BD186" t="s">
        <v>3</v>
      </c>
      <c r="BE186" t="s">
        <v>3</v>
      </c>
      <c r="BF186" t="s">
        <v>3</v>
      </c>
      <c r="BG186" t="s">
        <v>3</v>
      </c>
      <c r="BH186">
        <v>0</v>
      </c>
      <c r="BI186">
        <v>2</v>
      </c>
      <c r="BJ186" t="s">
        <v>481</v>
      </c>
      <c r="BM186">
        <v>108001</v>
      </c>
      <c r="BN186">
        <v>0</v>
      </c>
      <c r="BO186" t="s">
        <v>3</v>
      </c>
      <c r="BP186">
        <v>0</v>
      </c>
      <c r="BQ186">
        <v>3</v>
      </c>
      <c r="BR186">
        <v>0</v>
      </c>
      <c r="BS186">
        <v>6.53</v>
      </c>
      <c r="BT186">
        <v>1</v>
      </c>
      <c r="BU186">
        <v>1</v>
      </c>
      <c r="BV186">
        <v>1</v>
      </c>
      <c r="BW186">
        <v>1</v>
      </c>
      <c r="BX186">
        <v>1</v>
      </c>
      <c r="BY186" t="s">
        <v>3</v>
      </c>
      <c r="BZ186">
        <v>95</v>
      </c>
      <c r="CA186">
        <v>65</v>
      </c>
      <c r="CF186">
        <v>0</v>
      </c>
      <c r="CG186">
        <v>0</v>
      </c>
      <c r="CM186">
        <v>0</v>
      </c>
      <c r="CN186" t="s">
        <v>3</v>
      </c>
      <c r="CO186">
        <v>0</v>
      </c>
      <c r="CP186">
        <f t="shared" si="175"/>
        <v>10337.779999999999</v>
      </c>
      <c r="CQ186">
        <f t="shared" si="176"/>
        <v>131.18770000000001</v>
      </c>
      <c r="CR186">
        <f t="shared" si="177"/>
        <v>6.8565000000000005</v>
      </c>
      <c r="CS186">
        <f t="shared" si="178"/>
        <v>0</v>
      </c>
      <c r="CT186">
        <f t="shared" si="179"/>
        <v>96.905200000000008</v>
      </c>
      <c r="CU186">
        <f t="shared" si="180"/>
        <v>0</v>
      </c>
      <c r="CV186">
        <f t="shared" si="181"/>
        <v>1.56</v>
      </c>
      <c r="CW186">
        <f t="shared" si="182"/>
        <v>0</v>
      </c>
      <c r="CX186">
        <f t="shared" si="183"/>
        <v>0</v>
      </c>
      <c r="CY186">
        <f t="shared" si="184"/>
        <v>4050.6384999999996</v>
      </c>
      <c r="CZ186">
        <f t="shared" si="185"/>
        <v>2771.4895000000001</v>
      </c>
      <c r="DC186" t="s">
        <v>3</v>
      </c>
      <c r="DD186" t="s">
        <v>3</v>
      </c>
      <c r="DE186" t="s">
        <v>3</v>
      </c>
      <c r="DF186" t="s">
        <v>3</v>
      </c>
      <c r="DG186" t="s">
        <v>3</v>
      </c>
      <c r="DH186" t="s">
        <v>3</v>
      </c>
      <c r="DI186" t="s">
        <v>3</v>
      </c>
      <c r="DJ186" t="s">
        <v>3</v>
      </c>
      <c r="DK186" t="s">
        <v>3</v>
      </c>
      <c r="DL186" t="s">
        <v>3</v>
      </c>
      <c r="DM186" t="s">
        <v>3</v>
      </c>
      <c r="DN186">
        <v>0</v>
      </c>
      <c r="DO186">
        <v>0</v>
      </c>
      <c r="DP186">
        <v>1</v>
      </c>
      <c r="DQ186">
        <v>1</v>
      </c>
      <c r="DU186">
        <v>1013</v>
      </c>
      <c r="DV186" t="s">
        <v>350</v>
      </c>
      <c r="DW186" t="s">
        <v>350</v>
      </c>
      <c r="DX186">
        <v>1</v>
      </c>
      <c r="EE186">
        <v>39174386</v>
      </c>
      <c r="EF186">
        <v>3</v>
      </c>
      <c r="EG186" t="s">
        <v>374</v>
      </c>
      <c r="EH186">
        <v>0</v>
      </c>
      <c r="EI186" t="s">
        <v>3</v>
      </c>
      <c r="EJ186">
        <v>2</v>
      </c>
      <c r="EK186">
        <v>108001</v>
      </c>
      <c r="EL186" t="s">
        <v>375</v>
      </c>
      <c r="EM186" t="s">
        <v>376</v>
      </c>
      <c r="EO186" t="s">
        <v>3</v>
      </c>
      <c r="EQ186">
        <v>0</v>
      </c>
      <c r="ER186">
        <v>35.979999999999997</v>
      </c>
      <c r="ES186">
        <v>20.09</v>
      </c>
      <c r="ET186">
        <v>1.05</v>
      </c>
      <c r="EU186">
        <v>0</v>
      </c>
      <c r="EV186">
        <v>14.84</v>
      </c>
      <c r="EW186">
        <v>1.56</v>
      </c>
      <c r="EX186">
        <v>0</v>
      </c>
      <c r="EY186">
        <v>0</v>
      </c>
      <c r="FQ186">
        <v>0</v>
      </c>
      <c r="FR186">
        <f t="shared" si="186"/>
        <v>0</v>
      </c>
      <c r="FS186">
        <v>0</v>
      </c>
      <c r="FX186">
        <v>95</v>
      </c>
      <c r="FY186">
        <v>65</v>
      </c>
      <c r="GA186" t="s">
        <v>3</v>
      </c>
      <c r="GD186">
        <v>0</v>
      </c>
      <c r="GF186">
        <v>942868882</v>
      </c>
      <c r="GG186">
        <v>1</v>
      </c>
      <c r="GH186">
        <v>1</v>
      </c>
      <c r="GI186">
        <v>4</v>
      </c>
      <c r="GJ186">
        <v>0</v>
      </c>
      <c r="GK186">
        <f>ROUND(R186*(R12)/100,2)</f>
        <v>0</v>
      </c>
      <c r="GL186">
        <f t="shared" si="187"/>
        <v>0</v>
      </c>
      <c r="GM186">
        <f t="shared" si="188"/>
        <v>17159.91</v>
      </c>
      <c r="GN186">
        <f t="shared" si="189"/>
        <v>0</v>
      </c>
      <c r="GO186">
        <f t="shared" si="190"/>
        <v>17159.91</v>
      </c>
      <c r="GP186">
        <f t="shared" si="191"/>
        <v>0</v>
      </c>
      <c r="GR186">
        <v>0</v>
      </c>
      <c r="GS186">
        <v>3</v>
      </c>
      <c r="GT186">
        <v>0</v>
      </c>
      <c r="GU186" t="s">
        <v>3</v>
      </c>
      <c r="GV186">
        <f t="shared" si="192"/>
        <v>0</v>
      </c>
      <c r="GW186">
        <v>1</v>
      </c>
      <c r="GX186">
        <f t="shared" si="193"/>
        <v>0</v>
      </c>
      <c r="HA186">
        <v>0</v>
      </c>
      <c r="HB186">
        <v>0</v>
      </c>
      <c r="IK186">
        <v>0</v>
      </c>
    </row>
    <row r="187" spans="1:245" x14ac:dyDescent="0.2">
      <c r="A187">
        <v>18</v>
      </c>
      <c r="B187">
        <v>1</v>
      </c>
      <c r="C187">
        <v>310</v>
      </c>
      <c r="E187" t="s">
        <v>482</v>
      </c>
      <c r="F187" t="s">
        <v>483</v>
      </c>
      <c r="G187" t="s">
        <v>484</v>
      </c>
      <c r="H187" t="s">
        <v>37</v>
      </c>
      <c r="I187">
        <f>I186*J187</f>
        <v>16</v>
      </c>
      <c r="J187">
        <v>0.36363636363636365</v>
      </c>
      <c r="O187">
        <f t="shared" si="161"/>
        <v>6945.83</v>
      </c>
      <c r="P187">
        <f t="shared" si="162"/>
        <v>6945.83</v>
      </c>
      <c r="Q187">
        <f t="shared" si="163"/>
        <v>0</v>
      </c>
      <c r="R187">
        <f t="shared" si="164"/>
        <v>0</v>
      </c>
      <c r="S187">
        <f t="shared" si="165"/>
        <v>0</v>
      </c>
      <c r="T187">
        <f t="shared" si="166"/>
        <v>0</v>
      </c>
      <c r="U187">
        <f t="shared" si="167"/>
        <v>0</v>
      </c>
      <c r="V187">
        <f t="shared" si="168"/>
        <v>0</v>
      </c>
      <c r="W187">
        <f t="shared" si="169"/>
        <v>0</v>
      </c>
      <c r="X187">
        <f t="shared" si="170"/>
        <v>0</v>
      </c>
      <c r="Y187">
        <f t="shared" si="171"/>
        <v>0</v>
      </c>
      <c r="AA187">
        <v>39099382</v>
      </c>
      <c r="AB187">
        <f t="shared" si="172"/>
        <v>66.48</v>
      </c>
      <c r="AC187">
        <f t="shared" si="194"/>
        <v>66.48</v>
      </c>
      <c r="AD187">
        <f t="shared" si="195"/>
        <v>0</v>
      </c>
      <c r="AE187">
        <f t="shared" si="196"/>
        <v>0</v>
      </c>
      <c r="AF187">
        <f t="shared" si="197"/>
        <v>0</v>
      </c>
      <c r="AG187">
        <f t="shared" si="173"/>
        <v>0</v>
      </c>
      <c r="AH187">
        <f t="shared" si="198"/>
        <v>0</v>
      </c>
      <c r="AI187">
        <f t="shared" si="199"/>
        <v>0</v>
      </c>
      <c r="AJ187">
        <f t="shared" si="174"/>
        <v>0</v>
      </c>
      <c r="AK187">
        <v>66.48</v>
      </c>
      <c r="AL187">
        <v>66.48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95</v>
      </c>
      <c r="AU187">
        <v>65</v>
      </c>
      <c r="AV187">
        <v>1</v>
      </c>
      <c r="AW187">
        <v>1</v>
      </c>
      <c r="AZ187">
        <v>6.53</v>
      </c>
      <c r="BA187">
        <v>1</v>
      </c>
      <c r="BB187">
        <v>1</v>
      </c>
      <c r="BC187">
        <v>6.53</v>
      </c>
      <c r="BD187" t="s">
        <v>3</v>
      </c>
      <c r="BE187" t="s">
        <v>3</v>
      </c>
      <c r="BF187" t="s">
        <v>3</v>
      </c>
      <c r="BG187" t="s">
        <v>3</v>
      </c>
      <c r="BH187">
        <v>3</v>
      </c>
      <c r="BI187">
        <v>2</v>
      </c>
      <c r="BJ187" t="s">
        <v>485</v>
      </c>
      <c r="BM187">
        <v>108001</v>
      </c>
      <c r="BN187">
        <v>0</v>
      </c>
      <c r="BO187" t="s">
        <v>3</v>
      </c>
      <c r="BP187">
        <v>0</v>
      </c>
      <c r="BQ187">
        <v>3</v>
      </c>
      <c r="BR187">
        <v>0</v>
      </c>
      <c r="BS187">
        <v>1</v>
      </c>
      <c r="BT187">
        <v>1</v>
      </c>
      <c r="BU187">
        <v>1</v>
      </c>
      <c r="BV187">
        <v>1</v>
      </c>
      <c r="BW187">
        <v>1</v>
      </c>
      <c r="BX187">
        <v>1</v>
      </c>
      <c r="BY187" t="s">
        <v>3</v>
      </c>
      <c r="BZ187">
        <v>95</v>
      </c>
      <c r="CA187">
        <v>65</v>
      </c>
      <c r="CF187">
        <v>0</v>
      </c>
      <c r="CG187">
        <v>0</v>
      </c>
      <c r="CM187">
        <v>0</v>
      </c>
      <c r="CN187" t="s">
        <v>3</v>
      </c>
      <c r="CO187">
        <v>0</v>
      </c>
      <c r="CP187">
        <f t="shared" si="175"/>
        <v>6945.83</v>
      </c>
      <c r="CQ187">
        <f t="shared" si="176"/>
        <v>434.11440000000005</v>
      </c>
      <c r="CR187">
        <f t="shared" si="177"/>
        <v>0</v>
      </c>
      <c r="CS187">
        <f t="shared" si="178"/>
        <v>0</v>
      </c>
      <c r="CT187">
        <f t="shared" si="179"/>
        <v>0</v>
      </c>
      <c r="CU187">
        <f t="shared" si="180"/>
        <v>0</v>
      </c>
      <c r="CV187">
        <f t="shared" si="181"/>
        <v>0</v>
      </c>
      <c r="CW187">
        <f t="shared" si="182"/>
        <v>0</v>
      </c>
      <c r="CX187">
        <f t="shared" si="183"/>
        <v>0</v>
      </c>
      <c r="CY187">
        <f t="shared" si="184"/>
        <v>0</v>
      </c>
      <c r="CZ187">
        <f t="shared" si="185"/>
        <v>0</v>
      </c>
      <c r="DC187" t="s">
        <v>3</v>
      </c>
      <c r="DD187" t="s">
        <v>3</v>
      </c>
      <c r="DE187" t="s">
        <v>3</v>
      </c>
      <c r="DF187" t="s">
        <v>3</v>
      </c>
      <c r="DG187" t="s">
        <v>3</v>
      </c>
      <c r="DH187" t="s">
        <v>3</v>
      </c>
      <c r="DI187" t="s">
        <v>3</v>
      </c>
      <c r="DJ187" t="s">
        <v>3</v>
      </c>
      <c r="DK187" t="s">
        <v>3</v>
      </c>
      <c r="DL187" t="s">
        <v>3</v>
      </c>
      <c r="DM187" t="s">
        <v>3</v>
      </c>
      <c r="DN187">
        <v>0</v>
      </c>
      <c r="DO187">
        <v>0</v>
      </c>
      <c r="DP187">
        <v>1</v>
      </c>
      <c r="DQ187">
        <v>1</v>
      </c>
      <c r="DU187">
        <v>1010</v>
      </c>
      <c r="DV187" t="s">
        <v>37</v>
      </c>
      <c r="DW187" t="s">
        <v>37</v>
      </c>
      <c r="DX187">
        <v>1</v>
      </c>
      <c r="EE187">
        <v>39174386</v>
      </c>
      <c r="EF187">
        <v>3</v>
      </c>
      <c r="EG187" t="s">
        <v>374</v>
      </c>
      <c r="EH187">
        <v>0</v>
      </c>
      <c r="EI187" t="s">
        <v>3</v>
      </c>
      <c r="EJ187">
        <v>2</v>
      </c>
      <c r="EK187">
        <v>108001</v>
      </c>
      <c r="EL187" t="s">
        <v>375</v>
      </c>
      <c r="EM187" t="s">
        <v>376</v>
      </c>
      <c r="EO187" t="s">
        <v>3</v>
      </c>
      <c r="EQ187">
        <v>0</v>
      </c>
      <c r="ER187">
        <v>66.48</v>
      </c>
      <c r="ES187">
        <v>66.48</v>
      </c>
      <c r="ET187">
        <v>0</v>
      </c>
      <c r="EU187">
        <v>0</v>
      </c>
      <c r="EV187">
        <v>0</v>
      </c>
      <c r="EW187">
        <v>0</v>
      </c>
      <c r="EX187">
        <v>0</v>
      </c>
      <c r="FQ187">
        <v>0</v>
      </c>
      <c r="FR187">
        <f t="shared" si="186"/>
        <v>0</v>
      </c>
      <c r="FS187">
        <v>0</v>
      </c>
      <c r="FX187">
        <v>95</v>
      </c>
      <c r="FY187">
        <v>65</v>
      </c>
      <c r="GA187" t="s">
        <v>3</v>
      </c>
      <c r="GD187">
        <v>0</v>
      </c>
      <c r="GF187">
        <v>1587256181</v>
      </c>
      <c r="GG187">
        <v>1</v>
      </c>
      <c r="GH187">
        <v>1</v>
      </c>
      <c r="GI187">
        <v>4</v>
      </c>
      <c r="GJ187">
        <v>0</v>
      </c>
      <c r="GK187">
        <f>ROUND(R187*(R12)/100,2)</f>
        <v>0</v>
      </c>
      <c r="GL187">
        <f t="shared" si="187"/>
        <v>0</v>
      </c>
      <c r="GM187">
        <f t="shared" si="188"/>
        <v>6945.83</v>
      </c>
      <c r="GN187">
        <f t="shared" si="189"/>
        <v>0</v>
      </c>
      <c r="GO187">
        <f t="shared" si="190"/>
        <v>6945.83</v>
      </c>
      <c r="GP187">
        <f t="shared" si="191"/>
        <v>0</v>
      </c>
      <c r="GR187">
        <v>0</v>
      </c>
      <c r="GS187">
        <v>3</v>
      </c>
      <c r="GT187">
        <v>0</v>
      </c>
      <c r="GU187" t="s">
        <v>3</v>
      </c>
      <c r="GV187">
        <f t="shared" si="192"/>
        <v>0</v>
      </c>
      <c r="GW187">
        <v>1</v>
      </c>
      <c r="GX187">
        <f t="shared" si="193"/>
        <v>0</v>
      </c>
      <c r="HA187">
        <v>0</v>
      </c>
      <c r="HB187">
        <v>0</v>
      </c>
      <c r="IK187">
        <v>0</v>
      </c>
    </row>
    <row r="188" spans="1:245" x14ac:dyDescent="0.2">
      <c r="A188">
        <v>18</v>
      </c>
      <c r="B188">
        <v>1</v>
      </c>
      <c r="C188">
        <v>309</v>
      </c>
      <c r="E188" t="s">
        <v>486</v>
      </c>
      <c r="F188" t="s">
        <v>487</v>
      </c>
      <c r="G188" t="s">
        <v>488</v>
      </c>
      <c r="H188" t="s">
        <v>37</v>
      </c>
      <c r="I188">
        <f>I186*J188</f>
        <v>7</v>
      </c>
      <c r="J188">
        <v>0.15909090909090909</v>
      </c>
      <c r="O188">
        <f t="shared" si="161"/>
        <v>3365.63</v>
      </c>
      <c r="P188">
        <f t="shared" si="162"/>
        <v>3365.63</v>
      </c>
      <c r="Q188">
        <f t="shared" si="163"/>
        <v>0</v>
      </c>
      <c r="R188">
        <f t="shared" si="164"/>
        <v>0</v>
      </c>
      <c r="S188">
        <f t="shared" si="165"/>
        <v>0</v>
      </c>
      <c r="T188">
        <f t="shared" si="166"/>
        <v>0</v>
      </c>
      <c r="U188">
        <f t="shared" si="167"/>
        <v>0</v>
      </c>
      <c r="V188">
        <f t="shared" si="168"/>
        <v>0</v>
      </c>
      <c r="W188">
        <f t="shared" si="169"/>
        <v>0</v>
      </c>
      <c r="X188">
        <f t="shared" si="170"/>
        <v>0</v>
      </c>
      <c r="Y188">
        <f t="shared" si="171"/>
        <v>0</v>
      </c>
      <c r="AA188">
        <v>39099382</v>
      </c>
      <c r="AB188">
        <f t="shared" si="172"/>
        <v>73.63</v>
      </c>
      <c r="AC188">
        <f t="shared" si="194"/>
        <v>73.63</v>
      </c>
      <c r="AD188">
        <f t="shared" si="195"/>
        <v>0</v>
      </c>
      <c r="AE188">
        <f t="shared" si="196"/>
        <v>0</v>
      </c>
      <c r="AF188">
        <f t="shared" si="197"/>
        <v>0</v>
      </c>
      <c r="AG188">
        <f t="shared" si="173"/>
        <v>0</v>
      </c>
      <c r="AH188">
        <f t="shared" si="198"/>
        <v>0</v>
      </c>
      <c r="AI188">
        <f t="shared" si="199"/>
        <v>0</v>
      </c>
      <c r="AJ188">
        <f t="shared" si="174"/>
        <v>0</v>
      </c>
      <c r="AK188">
        <v>73.63</v>
      </c>
      <c r="AL188">
        <v>73.63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95</v>
      </c>
      <c r="AU188">
        <v>65</v>
      </c>
      <c r="AV188">
        <v>1</v>
      </c>
      <c r="AW188">
        <v>1</v>
      </c>
      <c r="AZ188">
        <v>6.53</v>
      </c>
      <c r="BA188">
        <v>1</v>
      </c>
      <c r="BB188">
        <v>1</v>
      </c>
      <c r="BC188">
        <v>6.53</v>
      </c>
      <c r="BD188" t="s">
        <v>3</v>
      </c>
      <c r="BE188" t="s">
        <v>3</v>
      </c>
      <c r="BF188" t="s">
        <v>3</v>
      </c>
      <c r="BG188" t="s">
        <v>3</v>
      </c>
      <c r="BH188">
        <v>3</v>
      </c>
      <c r="BI188">
        <v>2</v>
      </c>
      <c r="BJ188" t="s">
        <v>489</v>
      </c>
      <c r="BM188">
        <v>108001</v>
      </c>
      <c r="BN188">
        <v>0</v>
      </c>
      <c r="BO188" t="s">
        <v>3</v>
      </c>
      <c r="BP188">
        <v>0</v>
      </c>
      <c r="BQ188">
        <v>3</v>
      </c>
      <c r="BR188">
        <v>0</v>
      </c>
      <c r="BS188">
        <v>1</v>
      </c>
      <c r="BT188">
        <v>1</v>
      </c>
      <c r="BU188">
        <v>1</v>
      </c>
      <c r="BV188">
        <v>1</v>
      </c>
      <c r="BW188">
        <v>1</v>
      </c>
      <c r="BX188">
        <v>1</v>
      </c>
      <c r="BY188" t="s">
        <v>3</v>
      </c>
      <c r="BZ188">
        <v>95</v>
      </c>
      <c r="CA188">
        <v>65</v>
      </c>
      <c r="CF188">
        <v>0</v>
      </c>
      <c r="CG188">
        <v>0</v>
      </c>
      <c r="CM188">
        <v>0</v>
      </c>
      <c r="CN188" t="s">
        <v>3</v>
      </c>
      <c r="CO188">
        <v>0</v>
      </c>
      <c r="CP188">
        <f t="shared" si="175"/>
        <v>3365.63</v>
      </c>
      <c r="CQ188">
        <f t="shared" si="176"/>
        <v>480.8039</v>
      </c>
      <c r="CR188">
        <f t="shared" si="177"/>
        <v>0</v>
      </c>
      <c r="CS188">
        <f t="shared" si="178"/>
        <v>0</v>
      </c>
      <c r="CT188">
        <f t="shared" si="179"/>
        <v>0</v>
      </c>
      <c r="CU188">
        <f t="shared" si="180"/>
        <v>0</v>
      </c>
      <c r="CV188">
        <f t="shared" si="181"/>
        <v>0</v>
      </c>
      <c r="CW188">
        <f t="shared" si="182"/>
        <v>0</v>
      </c>
      <c r="CX188">
        <f t="shared" si="183"/>
        <v>0</v>
      </c>
      <c r="CY188">
        <f t="shared" si="184"/>
        <v>0</v>
      </c>
      <c r="CZ188">
        <f t="shared" si="185"/>
        <v>0</v>
      </c>
      <c r="DC188" t="s">
        <v>3</v>
      </c>
      <c r="DD188" t="s">
        <v>3</v>
      </c>
      <c r="DE188" t="s">
        <v>3</v>
      </c>
      <c r="DF188" t="s">
        <v>3</v>
      </c>
      <c r="DG188" t="s">
        <v>3</v>
      </c>
      <c r="DH188" t="s">
        <v>3</v>
      </c>
      <c r="DI188" t="s">
        <v>3</v>
      </c>
      <c r="DJ188" t="s">
        <v>3</v>
      </c>
      <c r="DK188" t="s">
        <v>3</v>
      </c>
      <c r="DL188" t="s">
        <v>3</v>
      </c>
      <c r="DM188" t="s">
        <v>3</v>
      </c>
      <c r="DN188">
        <v>0</v>
      </c>
      <c r="DO188">
        <v>0</v>
      </c>
      <c r="DP188">
        <v>1</v>
      </c>
      <c r="DQ188">
        <v>1</v>
      </c>
      <c r="DU188">
        <v>1010</v>
      </c>
      <c r="DV188" t="s">
        <v>37</v>
      </c>
      <c r="DW188" t="s">
        <v>37</v>
      </c>
      <c r="DX188">
        <v>1</v>
      </c>
      <c r="EE188">
        <v>39174386</v>
      </c>
      <c r="EF188">
        <v>3</v>
      </c>
      <c r="EG188" t="s">
        <v>374</v>
      </c>
      <c r="EH188">
        <v>0</v>
      </c>
      <c r="EI188" t="s">
        <v>3</v>
      </c>
      <c r="EJ188">
        <v>2</v>
      </c>
      <c r="EK188">
        <v>108001</v>
      </c>
      <c r="EL188" t="s">
        <v>375</v>
      </c>
      <c r="EM188" t="s">
        <v>376</v>
      </c>
      <c r="EO188" t="s">
        <v>3</v>
      </c>
      <c r="EQ188">
        <v>0</v>
      </c>
      <c r="ER188">
        <v>73.63</v>
      </c>
      <c r="ES188">
        <v>73.63</v>
      </c>
      <c r="ET188">
        <v>0</v>
      </c>
      <c r="EU188">
        <v>0</v>
      </c>
      <c r="EV188">
        <v>0</v>
      </c>
      <c r="EW188">
        <v>0</v>
      </c>
      <c r="EX188">
        <v>0</v>
      </c>
      <c r="FQ188">
        <v>0</v>
      </c>
      <c r="FR188">
        <f t="shared" si="186"/>
        <v>0</v>
      </c>
      <c r="FS188">
        <v>0</v>
      </c>
      <c r="FX188">
        <v>95</v>
      </c>
      <c r="FY188">
        <v>65</v>
      </c>
      <c r="GA188" t="s">
        <v>3</v>
      </c>
      <c r="GD188">
        <v>0</v>
      </c>
      <c r="GF188">
        <v>1012048153</v>
      </c>
      <c r="GG188">
        <v>1</v>
      </c>
      <c r="GH188">
        <v>1</v>
      </c>
      <c r="GI188">
        <v>4</v>
      </c>
      <c r="GJ188">
        <v>0</v>
      </c>
      <c r="GK188">
        <f>ROUND(R188*(R12)/100,2)</f>
        <v>0</v>
      </c>
      <c r="GL188">
        <f t="shared" si="187"/>
        <v>0</v>
      </c>
      <c r="GM188">
        <f t="shared" si="188"/>
        <v>3365.63</v>
      </c>
      <c r="GN188">
        <f t="shared" si="189"/>
        <v>0</v>
      </c>
      <c r="GO188">
        <f t="shared" si="190"/>
        <v>3365.63</v>
      </c>
      <c r="GP188">
        <f t="shared" si="191"/>
        <v>0</v>
      </c>
      <c r="GR188">
        <v>0</v>
      </c>
      <c r="GS188">
        <v>3</v>
      </c>
      <c r="GT188">
        <v>0</v>
      </c>
      <c r="GU188" t="s">
        <v>3</v>
      </c>
      <c r="GV188">
        <f t="shared" si="192"/>
        <v>0</v>
      </c>
      <c r="GW188">
        <v>1</v>
      </c>
      <c r="GX188">
        <f t="shared" si="193"/>
        <v>0</v>
      </c>
      <c r="HA188">
        <v>0</v>
      </c>
      <c r="HB188">
        <v>0</v>
      </c>
      <c r="IK188">
        <v>0</v>
      </c>
    </row>
    <row r="189" spans="1:245" x14ac:dyDescent="0.2">
      <c r="A189">
        <v>18</v>
      </c>
      <c r="B189">
        <v>1</v>
      </c>
      <c r="C189">
        <v>312</v>
      </c>
      <c r="E189" t="s">
        <v>490</v>
      </c>
      <c r="F189" t="s">
        <v>491</v>
      </c>
      <c r="G189" t="s">
        <v>492</v>
      </c>
      <c r="H189" t="s">
        <v>37</v>
      </c>
      <c r="I189">
        <f>I186*J189</f>
        <v>7</v>
      </c>
      <c r="J189">
        <v>0.15909090909090909</v>
      </c>
      <c r="O189">
        <f t="shared" si="161"/>
        <v>10572.72</v>
      </c>
      <c r="P189">
        <f t="shared" si="162"/>
        <v>10572.72</v>
      </c>
      <c r="Q189">
        <f t="shared" si="163"/>
        <v>0</v>
      </c>
      <c r="R189">
        <f t="shared" si="164"/>
        <v>0</v>
      </c>
      <c r="S189">
        <f t="shared" si="165"/>
        <v>0</v>
      </c>
      <c r="T189">
        <f t="shared" si="166"/>
        <v>0</v>
      </c>
      <c r="U189">
        <f t="shared" si="167"/>
        <v>0</v>
      </c>
      <c r="V189">
        <f t="shared" si="168"/>
        <v>0</v>
      </c>
      <c r="W189">
        <f t="shared" si="169"/>
        <v>0</v>
      </c>
      <c r="X189">
        <f t="shared" si="170"/>
        <v>0</v>
      </c>
      <c r="Y189">
        <f t="shared" si="171"/>
        <v>0</v>
      </c>
      <c r="AA189">
        <v>39099382</v>
      </c>
      <c r="AB189">
        <f t="shared" si="172"/>
        <v>231.3</v>
      </c>
      <c r="AC189">
        <f t="shared" si="194"/>
        <v>231.3</v>
      </c>
      <c r="AD189">
        <f t="shared" si="195"/>
        <v>0</v>
      </c>
      <c r="AE189">
        <f t="shared" si="196"/>
        <v>0</v>
      </c>
      <c r="AF189">
        <f t="shared" si="197"/>
        <v>0</v>
      </c>
      <c r="AG189">
        <f t="shared" si="173"/>
        <v>0</v>
      </c>
      <c r="AH189">
        <f t="shared" si="198"/>
        <v>0</v>
      </c>
      <c r="AI189">
        <f t="shared" si="199"/>
        <v>0</v>
      </c>
      <c r="AJ189">
        <f t="shared" si="174"/>
        <v>0</v>
      </c>
      <c r="AK189">
        <v>231.3</v>
      </c>
      <c r="AL189">
        <v>231.3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95</v>
      </c>
      <c r="AU189">
        <v>65</v>
      </c>
      <c r="AV189">
        <v>1</v>
      </c>
      <c r="AW189">
        <v>1</v>
      </c>
      <c r="AZ189">
        <v>6.53</v>
      </c>
      <c r="BA189">
        <v>1</v>
      </c>
      <c r="BB189">
        <v>1</v>
      </c>
      <c r="BC189">
        <v>6.53</v>
      </c>
      <c r="BD189" t="s">
        <v>3</v>
      </c>
      <c r="BE189" t="s">
        <v>3</v>
      </c>
      <c r="BF189" t="s">
        <v>3</v>
      </c>
      <c r="BG189" t="s">
        <v>3</v>
      </c>
      <c r="BH189">
        <v>3</v>
      </c>
      <c r="BI189">
        <v>2</v>
      </c>
      <c r="BJ189" t="s">
        <v>493</v>
      </c>
      <c r="BM189">
        <v>108001</v>
      </c>
      <c r="BN189">
        <v>0</v>
      </c>
      <c r="BO189" t="s">
        <v>3</v>
      </c>
      <c r="BP189">
        <v>0</v>
      </c>
      <c r="BQ189">
        <v>3</v>
      </c>
      <c r="BR189">
        <v>0</v>
      </c>
      <c r="BS189">
        <v>1</v>
      </c>
      <c r="BT189">
        <v>1</v>
      </c>
      <c r="BU189">
        <v>1</v>
      </c>
      <c r="BV189">
        <v>1</v>
      </c>
      <c r="BW189">
        <v>1</v>
      </c>
      <c r="BX189">
        <v>1</v>
      </c>
      <c r="BY189" t="s">
        <v>3</v>
      </c>
      <c r="BZ189">
        <v>95</v>
      </c>
      <c r="CA189">
        <v>65</v>
      </c>
      <c r="CF189">
        <v>0</v>
      </c>
      <c r="CG189">
        <v>0</v>
      </c>
      <c r="CM189">
        <v>0</v>
      </c>
      <c r="CN189" t="s">
        <v>3</v>
      </c>
      <c r="CO189">
        <v>0</v>
      </c>
      <c r="CP189">
        <f t="shared" si="175"/>
        <v>10572.72</v>
      </c>
      <c r="CQ189">
        <f t="shared" si="176"/>
        <v>1510.3890000000001</v>
      </c>
      <c r="CR189">
        <f t="shared" si="177"/>
        <v>0</v>
      </c>
      <c r="CS189">
        <f t="shared" si="178"/>
        <v>0</v>
      </c>
      <c r="CT189">
        <f t="shared" si="179"/>
        <v>0</v>
      </c>
      <c r="CU189">
        <f t="shared" si="180"/>
        <v>0</v>
      </c>
      <c r="CV189">
        <f t="shared" si="181"/>
        <v>0</v>
      </c>
      <c r="CW189">
        <f t="shared" si="182"/>
        <v>0</v>
      </c>
      <c r="CX189">
        <f t="shared" si="183"/>
        <v>0</v>
      </c>
      <c r="CY189">
        <f t="shared" si="184"/>
        <v>0</v>
      </c>
      <c r="CZ189">
        <f t="shared" si="185"/>
        <v>0</v>
      </c>
      <c r="DC189" t="s">
        <v>3</v>
      </c>
      <c r="DD189" t="s">
        <v>3</v>
      </c>
      <c r="DE189" t="s">
        <v>3</v>
      </c>
      <c r="DF189" t="s">
        <v>3</v>
      </c>
      <c r="DG189" t="s">
        <v>3</v>
      </c>
      <c r="DH189" t="s">
        <v>3</v>
      </c>
      <c r="DI189" t="s">
        <v>3</v>
      </c>
      <c r="DJ189" t="s">
        <v>3</v>
      </c>
      <c r="DK189" t="s">
        <v>3</v>
      </c>
      <c r="DL189" t="s">
        <v>3</v>
      </c>
      <c r="DM189" t="s">
        <v>3</v>
      </c>
      <c r="DN189">
        <v>0</v>
      </c>
      <c r="DO189">
        <v>0</v>
      </c>
      <c r="DP189">
        <v>1</v>
      </c>
      <c r="DQ189">
        <v>1</v>
      </c>
      <c r="DU189">
        <v>1010</v>
      </c>
      <c r="DV189" t="s">
        <v>37</v>
      </c>
      <c r="DW189" t="s">
        <v>37</v>
      </c>
      <c r="DX189">
        <v>1</v>
      </c>
      <c r="EE189">
        <v>39174386</v>
      </c>
      <c r="EF189">
        <v>3</v>
      </c>
      <c r="EG189" t="s">
        <v>374</v>
      </c>
      <c r="EH189">
        <v>0</v>
      </c>
      <c r="EI189" t="s">
        <v>3</v>
      </c>
      <c r="EJ189">
        <v>2</v>
      </c>
      <c r="EK189">
        <v>108001</v>
      </c>
      <c r="EL189" t="s">
        <v>375</v>
      </c>
      <c r="EM189" t="s">
        <v>376</v>
      </c>
      <c r="EO189" t="s">
        <v>3</v>
      </c>
      <c r="EQ189">
        <v>0</v>
      </c>
      <c r="ER189">
        <v>231.3</v>
      </c>
      <c r="ES189">
        <v>231.3</v>
      </c>
      <c r="ET189">
        <v>0</v>
      </c>
      <c r="EU189">
        <v>0</v>
      </c>
      <c r="EV189">
        <v>0</v>
      </c>
      <c r="EW189">
        <v>0</v>
      </c>
      <c r="EX189">
        <v>0</v>
      </c>
      <c r="FQ189">
        <v>0</v>
      </c>
      <c r="FR189">
        <f t="shared" si="186"/>
        <v>0</v>
      </c>
      <c r="FS189">
        <v>0</v>
      </c>
      <c r="FX189">
        <v>95</v>
      </c>
      <c r="FY189">
        <v>65</v>
      </c>
      <c r="GA189" t="s">
        <v>3</v>
      </c>
      <c r="GD189">
        <v>0</v>
      </c>
      <c r="GF189">
        <v>-476651515</v>
      </c>
      <c r="GG189">
        <v>1</v>
      </c>
      <c r="GH189">
        <v>1</v>
      </c>
      <c r="GI189">
        <v>4</v>
      </c>
      <c r="GJ189">
        <v>0</v>
      </c>
      <c r="GK189">
        <f>ROUND(R189*(R12)/100,2)</f>
        <v>0</v>
      </c>
      <c r="GL189">
        <f t="shared" si="187"/>
        <v>0</v>
      </c>
      <c r="GM189">
        <f t="shared" si="188"/>
        <v>10572.72</v>
      </c>
      <c r="GN189">
        <f t="shared" si="189"/>
        <v>0</v>
      </c>
      <c r="GO189">
        <f t="shared" si="190"/>
        <v>10572.72</v>
      </c>
      <c r="GP189">
        <f t="shared" si="191"/>
        <v>0</v>
      </c>
      <c r="GR189">
        <v>0</v>
      </c>
      <c r="GS189">
        <v>3</v>
      </c>
      <c r="GT189">
        <v>0</v>
      </c>
      <c r="GU189" t="s">
        <v>3</v>
      </c>
      <c r="GV189">
        <f t="shared" si="192"/>
        <v>0</v>
      </c>
      <c r="GW189">
        <v>1</v>
      </c>
      <c r="GX189">
        <f t="shared" si="193"/>
        <v>0</v>
      </c>
      <c r="HA189">
        <v>0</v>
      </c>
      <c r="HB189">
        <v>0</v>
      </c>
      <c r="IK189">
        <v>0</v>
      </c>
    </row>
    <row r="190" spans="1:245" x14ac:dyDescent="0.2">
      <c r="A190">
        <v>18</v>
      </c>
      <c r="B190">
        <v>1</v>
      </c>
      <c r="C190">
        <v>313</v>
      </c>
      <c r="E190" t="s">
        <v>494</v>
      </c>
      <c r="F190" t="s">
        <v>495</v>
      </c>
      <c r="G190" t="s">
        <v>496</v>
      </c>
      <c r="H190" t="s">
        <v>37</v>
      </c>
      <c r="I190">
        <f>I186*J190</f>
        <v>7</v>
      </c>
      <c r="J190">
        <v>0.15909090909090909</v>
      </c>
      <c r="O190">
        <f t="shared" si="161"/>
        <v>13811.73</v>
      </c>
      <c r="P190">
        <f t="shared" si="162"/>
        <v>13811.73</v>
      </c>
      <c r="Q190">
        <f t="shared" si="163"/>
        <v>0</v>
      </c>
      <c r="R190">
        <f t="shared" si="164"/>
        <v>0</v>
      </c>
      <c r="S190">
        <f t="shared" si="165"/>
        <v>0</v>
      </c>
      <c r="T190">
        <f t="shared" si="166"/>
        <v>0</v>
      </c>
      <c r="U190">
        <f t="shared" si="167"/>
        <v>0</v>
      </c>
      <c r="V190">
        <f t="shared" si="168"/>
        <v>0</v>
      </c>
      <c r="W190">
        <f t="shared" si="169"/>
        <v>0</v>
      </c>
      <c r="X190">
        <f t="shared" si="170"/>
        <v>0</v>
      </c>
      <c r="Y190">
        <f t="shared" si="171"/>
        <v>0</v>
      </c>
      <c r="AA190">
        <v>39099382</v>
      </c>
      <c r="AB190">
        <f t="shared" si="172"/>
        <v>302.16000000000003</v>
      </c>
      <c r="AC190">
        <f t="shared" si="194"/>
        <v>302.16000000000003</v>
      </c>
      <c r="AD190">
        <f t="shared" si="195"/>
        <v>0</v>
      </c>
      <c r="AE190">
        <f t="shared" si="196"/>
        <v>0</v>
      </c>
      <c r="AF190">
        <f t="shared" si="197"/>
        <v>0</v>
      </c>
      <c r="AG190">
        <f t="shared" si="173"/>
        <v>0</v>
      </c>
      <c r="AH190">
        <f t="shared" si="198"/>
        <v>0</v>
      </c>
      <c r="AI190">
        <f t="shared" si="199"/>
        <v>0</v>
      </c>
      <c r="AJ190">
        <f t="shared" si="174"/>
        <v>0</v>
      </c>
      <c r="AK190">
        <v>302.16000000000003</v>
      </c>
      <c r="AL190">
        <v>302.16000000000003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95</v>
      </c>
      <c r="AU190">
        <v>65</v>
      </c>
      <c r="AV190">
        <v>1</v>
      </c>
      <c r="AW190">
        <v>1</v>
      </c>
      <c r="AZ190">
        <v>6.53</v>
      </c>
      <c r="BA190">
        <v>1</v>
      </c>
      <c r="BB190">
        <v>1</v>
      </c>
      <c r="BC190">
        <v>6.53</v>
      </c>
      <c r="BD190" t="s">
        <v>3</v>
      </c>
      <c r="BE190" t="s">
        <v>3</v>
      </c>
      <c r="BF190" t="s">
        <v>3</v>
      </c>
      <c r="BG190" t="s">
        <v>3</v>
      </c>
      <c r="BH190">
        <v>3</v>
      </c>
      <c r="BI190">
        <v>2</v>
      </c>
      <c r="BJ190" t="s">
        <v>497</v>
      </c>
      <c r="BM190">
        <v>108001</v>
      </c>
      <c r="BN190">
        <v>0</v>
      </c>
      <c r="BO190" t="s">
        <v>3</v>
      </c>
      <c r="BP190">
        <v>0</v>
      </c>
      <c r="BQ190">
        <v>3</v>
      </c>
      <c r="BR190">
        <v>0</v>
      </c>
      <c r="BS190">
        <v>1</v>
      </c>
      <c r="BT190">
        <v>1</v>
      </c>
      <c r="BU190">
        <v>1</v>
      </c>
      <c r="BV190">
        <v>1</v>
      </c>
      <c r="BW190">
        <v>1</v>
      </c>
      <c r="BX190">
        <v>1</v>
      </c>
      <c r="BY190" t="s">
        <v>3</v>
      </c>
      <c r="BZ190">
        <v>95</v>
      </c>
      <c r="CA190">
        <v>65</v>
      </c>
      <c r="CF190">
        <v>0</v>
      </c>
      <c r="CG190">
        <v>0</v>
      </c>
      <c r="CM190">
        <v>0</v>
      </c>
      <c r="CN190" t="s">
        <v>3</v>
      </c>
      <c r="CO190">
        <v>0</v>
      </c>
      <c r="CP190">
        <f t="shared" si="175"/>
        <v>13811.73</v>
      </c>
      <c r="CQ190">
        <f t="shared" si="176"/>
        <v>1973.1048000000003</v>
      </c>
      <c r="CR190">
        <f t="shared" si="177"/>
        <v>0</v>
      </c>
      <c r="CS190">
        <f t="shared" si="178"/>
        <v>0</v>
      </c>
      <c r="CT190">
        <f t="shared" si="179"/>
        <v>0</v>
      </c>
      <c r="CU190">
        <f t="shared" si="180"/>
        <v>0</v>
      </c>
      <c r="CV190">
        <f t="shared" si="181"/>
        <v>0</v>
      </c>
      <c r="CW190">
        <f t="shared" si="182"/>
        <v>0</v>
      </c>
      <c r="CX190">
        <f t="shared" si="183"/>
        <v>0</v>
      </c>
      <c r="CY190">
        <f t="shared" si="184"/>
        <v>0</v>
      </c>
      <c r="CZ190">
        <f t="shared" si="185"/>
        <v>0</v>
      </c>
      <c r="DC190" t="s">
        <v>3</v>
      </c>
      <c r="DD190" t="s">
        <v>3</v>
      </c>
      <c r="DE190" t="s">
        <v>3</v>
      </c>
      <c r="DF190" t="s">
        <v>3</v>
      </c>
      <c r="DG190" t="s">
        <v>3</v>
      </c>
      <c r="DH190" t="s">
        <v>3</v>
      </c>
      <c r="DI190" t="s">
        <v>3</v>
      </c>
      <c r="DJ190" t="s">
        <v>3</v>
      </c>
      <c r="DK190" t="s">
        <v>3</v>
      </c>
      <c r="DL190" t="s">
        <v>3</v>
      </c>
      <c r="DM190" t="s">
        <v>3</v>
      </c>
      <c r="DN190">
        <v>0</v>
      </c>
      <c r="DO190">
        <v>0</v>
      </c>
      <c r="DP190">
        <v>1</v>
      </c>
      <c r="DQ190">
        <v>1</v>
      </c>
      <c r="DU190">
        <v>1010</v>
      </c>
      <c r="DV190" t="s">
        <v>37</v>
      </c>
      <c r="DW190" t="s">
        <v>37</v>
      </c>
      <c r="DX190">
        <v>1</v>
      </c>
      <c r="EE190">
        <v>39174386</v>
      </c>
      <c r="EF190">
        <v>3</v>
      </c>
      <c r="EG190" t="s">
        <v>374</v>
      </c>
      <c r="EH190">
        <v>0</v>
      </c>
      <c r="EI190" t="s">
        <v>3</v>
      </c>
      <c r="EJ190">
        <v>2</v>
      </c>
      <c r="EK190">
        <v>108001</v>
      </c>
      <c r="EL190" t="s">
        <v>375</v>
      </c>
      <c r="EM190" t="s">
        <v>376</v>
      </c>
      <c r="EO190" t="s">
        <v>3</v>
      </c>
      <c r="EQ190">
        <v>0</v>
      </c>
      <c r="ER190">
        <v>302.16000000000003</v>
      </c>
      <c r="ES190">
        <v>302.16000000000003</v>
      </c>
      <c r="ET190">
        <v>0</v>
      </c>
      <c r="EU190">
        <v>0</v>
      </c>
      <c r="EV190">
        <v>0</v>
      </c>
      <c r="EW190">
        <v>0</v>
      </c>
      <c r="EX190">
        <v>0</v>
      </c>
      <c r="FQ190">
        <v>0</v>
      </c>
      <c r="FR190">
        <f t="shared" si="186"/>
        <v>0</v>
      </c>
      <c r="FS190">
        <v>0</v>
      </c>
      <c r="FX190">
        <v>95</v>
      </c>
      <c r="FY190">
        <v>65</v>
      </c>
      <c r="GA190" t="s">
        <v>3</v>
      </c>
      <c r="GD190">
        <v>0</v>
      </c>
      <c r="GF190">
        <v>604629841</v>
      </c>
      <c r="GG190">
        <v>1</v>
      </c>
      <c r="GH190">
        <v>1</v>
      </c>
      <c r="GI190">
        <v>4</v>
      </c>
      <c r="GJ190">
        <v>0</v>
      </c>
      <c r="GK190">
        <f>ROUND(R190*(R12)/100,2)</f>
        <v>0</v>
      </c>
      <c r="GL190">
        <f t="shared" si="187"/>
        <v>0</v>
      </c>
      <c r="GM190">
        <f t="shared" si="188"/>
        <v>13811.73</v>
      </c>
      <c r="GN190">
        <f t="shared" si="189"/>
        <v>0</v>
      </c>
      <c r="GO190">
        <f t="shared" si="190"/>
        <v>13811.73</v>
      </c>
      <c r="GP190">
        <f t="shared" si="191"/>
        <v>0</v>
      </c>
      <c r="GR190">
        <v>0</v>
      </c>
      <c r="GS190">
        <v>3</v>
      </c>
      <c r="GT190">
        <v>0</v>
      </c>
      <c r="GU190" t="s">
        <v>3</v>
      </c>
      <c r="GV190">
        <f t="shared" si="192"/>
        <v>0</v>
      </c>
      <c r="GW190">
        <v>1</v>
      </c>
      <c r="GX190">
        <f t="shared" si="193"/>
        <v>0</v>
      </c>
      <c r="HA190">
        <v>0</v>
      </c>
      <c r="HB190">
        <v>0</v>
      </c>
      <c r="IK190">
        <v>0</v>
      </c>
    </row>
    <row r="191" spans="1:245" x14ac:dyDescent="0.2">
      <c r="A191">
        <v>18</v>
      </c>
      <c r="B191">
        <v>1</v>
      </c>
      <c r="C191">
        <v>311</v>
      </c>
      <c r="E191" t="s">
        <v>498</v>
      </c>
      <c r="F191" t="s">
        <v>499</v>
      </c>
      <c r="G191" t="s">
        <v>500</v>
      </c>
      <c r="H191" t="s">
        <v>37</v>
      </c>
      <c r="I191">
        <f>I186*J191</f>
        <v>7</v>
      </c>
      <c r="J191">
        <v>0.15909090909090909</v>
      </c>
      <c r="O191">
        <f t="shared" si="161"/>
        <v>3350.09</v>
      </c>
      <c r="P191">
        <f t="shared" si="162"/>
        <v>3350.09</v>
      </c>
      <c r="Q191">
        <f t="shared" si="163"/>
        <v>0</v>
      </c>
      <c r="R191">
        <f t="shared" si="164"/>
        <v>0</v>
      </c>
      <c r="S191">
        <f t="shared" si="165"/>
        <v>0</v>
      </c>
      <c r="T191">
        <f t="shared" si="166"/>
        <v>0</v>
      </c>
      <c r="U191">
        <f t="shared" si="167"/>
        <v>0</v>
      </c>
      <c r="V191">
        <f t="shared" si="168"/>
        <v>0</v>
      </c>
      <c r="W191">
        <f t="shared" si="169"/>
        <v>0</v>
      </c>
      <c r="X191">
        <f t="shared" si="170"/>
        <v>0</v>
      </c>
      <c r="Y191">
        <f t="shared" si="171"/>
        <v>0</v>
      </c>
      <c r="AA191">
        <v>39099382</v>
      </c>
      <c r="AB191">
        <f t="shared" si="172"/>
        <v>73.290000000000006</v>
      </c>
      <c r="AC191">
        <f t="shared" si="194"/>
        <v>73.290000000000006</v>
      </c>
      <c r="AD191">
        <f t="shared" si="195"/>
        <v>0</v>
      </c>
      <c r="AE191">
        <f t="shared" si="196"/>
        <v>0</v>
      </c>
      <c r="AF191">
        <f t="shared" si="197"/>
        <v>0</v>
      </c>
      <c r="AG191">
        <f t="shared" si="173"/>
        <v>0</v>
      </c>
      <c r="AH191">
        <f t="shared" si="198"/>
        <v>0</v>
      </c>
      <c r="AI191">
        <f t="shared" si="199"/>
        <v>0</v>
      </c>
      <c r="AJ191">
        <f t="shared" si="174"/>
        <v>0</v>
      </c>
      <c r="AK191">
        <v>73.290000000000006</v>
      </c>
      <c r="AL191">
        <v>73.290000000000006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95</v>
      </c>
      <c r="AU191">
        <v>65</v>
      </c>
      <c r="AV191">
        <v>1</v>
      </c>
      <c r="AW191">
        <v>1</v>
      </c>
      <c r="AZ191">
        <v>6.53</v>
      </c>
      <c r="BA191">
        <v>1</v>
      </c>
      <c r="BB191">
        <v>1</v>
      </c>
      <c r="BC191">
        <v>6.53</v>
      </c>
      <c r="BD191" t="s">
        <v>3</v>
      </c>
      <c r="BE191" t="s">
        <v>3</v>
      </c>
      <c r="BF191" t="s">
        <v>3</v>
      </c>
      <c r="BG191" t="s">
        <v>3</v>
      </c>
      <c r="BH191">
        <v>3</v>
      </c>
      <c r="BI191">
        <v>2</v>
      </c>
      <c r="BJ191" t="s">
        <v>501</v>
      </c>
      <c r="BM191">
        <v>108001</v>
      </c>
      <c r="BN191">
        <v>0</v>
      </c>
      <c r="BO191" t="s">
        <v>3</v>
      </c>
      <c r="BP191">
        <v>0</v>
      </c>
      <c r="BQ191">
        <v>3</v>
      </c>
      <c r="BR191">
        <v>0</v>
      </c>
      <c r="BS191">
        <v>1</v>
      </c>
      <c r="BT191">
        <v>1</v>
      </c>
      <c r="BU191">
        <v>1</v>
      </c>
      <c r="BV191">
        <v>1</v>
      </c>
      <c r="BW191">
        <v>1</v>
      </c>
      <c r="BX191">
        <v>1</v>
      </c>
      <c r="BY191" t="s">
        <v>3</v>
      </c>
      <c r="BZ191">
        <v>95</v>
      </c>
      <c r="CA191">
        <v>65</v>
      </c>
      <c r="CF191">
        <v>0</v>
      </c>
      <c r="CG191">
        <v>0</v>
      </c>
      <c r="CM191">
        <v>0</v>
      </c>
      <c r="CN191" t="s">
        <v>3</v>
      </c>
      <c r="CO191">
        <v>0</v>
      </c>
      <c r="CP191">
        <f t="shared" si="175"/>
        <v>3350.09</v>
      </c>
      <c r="CQ191">
        <f t="shared" si="176"/>
        <v>478.58370000000008</v>
      </c>
      <c r="CR191">
        <f t="shared" si="177"/>
        <v>0</v>
      </c>
      <c r="CS191">
        <f t="shared" si="178"/>
        <v>0</v>
      </c>
      <c r="CT191">
        <f t="shared" si="179"/>
        <v>0</v>
      </c>
      <c r="CU191">
        <f t="shared" si="180"/>
        <v>0</v>
      </c>
      <c r="CV191">
        <f t="shared" si="181"/>
        <v>0</v>
      </c>
      <c r="CW191">
        <f t="shared" si="182"/>
        <v>0</v>
      </c>
      <c r="CX191">
        <f t="shared" si="183"/>
        <v>0</v>
      </c>
      <c r="CY191">
        <f t="shared" si="184"/>
        <v>0</v>
      </c>
      <c r="CZ191">
        <f t="shared" si="185"/>
        <v>0</v>
      </c>
      <c r="DC191" t="s">
        <v>3</v>
      </c>
      <c r="DD191" t="s">
        <v>3</v>
      </c>
      <c r="DE191" t="s">
        <v>3</v>
      </c>
      <c r="DF191" t="s">
        <v>3</v>
      </c>
      <c r="DG191" t="s">
        <v>3</v>
      </c>
      <c r="DH191" t="s">
        <v>3</v>
      </c>
      <c r="DI191" t="s">
        <v>3</v>
      </c>
      <c r="DJ191" t="s">
        <v>3</v>
      </c>
      <c r="DK191" t="s">
        <v>3</v>
      </c>
      <c r="DL191" t="s">
        <v>3</v>
      </c>
      <c r="DM191" t="s">
        <v>3</v>
      </c>
      <c r="DN191">
        <v>0</v>
      </c>
      <c r="DO191">
        <v>0</v>
      </c>
      <c r="DP191">
        <v>1</v>
      </c>
      <c r="DQ191">
        <v>1</v>
      </c>
      <c r="DU191">
        <v>1010</v>
      </c>
      <c r="DV191" t="s">
        <v>37</v>
      </c>
      <c r="DW191" t="s">
        <v>37</v>
      </c>
      <c r="DX191">
        <v>1</v>
      </c>
      <c r="EE191">
        <v>39174386</v>
      </c>
      <c r="EF191">
        <v>3</v>
      </c>
      <c r="EG191" t="s">
        <v>374</v>
      </c>
      <c r="EH191">
        <v>0</v>
      </c>
      <c r="EI191" t="s">
        <v>3</v>
      </c>
      <c r="EJ191">
        <v>2</v>
      </c>
      <c r="EK191">
        <v>108001</v>
      </c>
      <c r="EL191" t="s">
        <v>375</v>
      </c>
      <c r="EM191" t="s">
        <v>376</v>
      </c>
      <c r="EO191" t="s">
        <v>3</v>
      </c>
      <c r="EQ191">
        <v>0</v>
      </c>
      <c r="ER191">
        <v>73.290000000000006</v>
      </c>
      <c r="ES191">
        <v>73.290000000000006</v>
      </c>
      <c r="ET191">
        <v>0</v>
      </c>
      <c r="EU191">
        <v>0</v>
      </c>
      <c r="EV191">
        <v>0</v>
      </c>
      <c r="EW191">
        <v>0</v>
      </c>
      <c r="EX191">
        <v>0</v>
      </c>
      <c r="FQ191">
        <v>0</v>
      </c>
      <c r="FR191">
        <f t="shared" si="186"/>
        <v>0</v>
      </c>
      <c r="FS191">
        <v>0</v>
      </c>
      <c r="FX191">
        <v>95</v>
      </c>
      <c r="FY191">
        <v>65</v>
      </c>
      <c r="GA191" t="s">
        <v>3</v>
      </c>
      <c r="GD191">
        <v>0</v>
      </c>
      <c r="GF191">
        <v>470103916</v>
      </c>
      <c r="GG191">
        <v>1</v>
      </c>
      <c r="GH191">
        <v>1</v>
      </c>
      <c r="GI191">
        <v>4</v>
      </c>
      <c r="GJ191">
        <v>0</v>
      </c>
      <c r="GK191">
        <f>ROUND(R191*(R12)/100,2)</f>
        <v>0</v>
      </c>
      <c r="GL191">
        <f t="shared" si="187"/>
        <v>0</v>
      </c>
      <c r="GM191">
        <f t="shared" si="188"/>
        <v>3350.09</v>
      </c>
      <c r="GN191">
        <f t="shared" si="189"/>
        <v>0</v>
      </c>
      <c r="GO191">
        <f t="shared" si="190"/>
        <v>3350.09</v>
      </c>
      <c r="GP191">
        <f t="shared" si="191"/>
        <v>0</v>
      </c>
      <c r="GR191">
        <v>0</v>
      </c>
      <c r="GS191">
        <v>3</v>
      </c>
      <c r="GT191">
        <v>0</v>
      </c>
      <c r="GU191" t="s">
        <v>3</v>
      </c>
      <c r="GV191">
        <f t="shared" si="192"/>
        <v>0</v>
      </c>
      <c r="GW191">
        <v>1</v>
      </c>
      <c r="GX191">
        <f t="shared" si="193"/>
        <v>0</v>
      </c>
      <c r="HA191">
        <v>0</v>
      </c>
      <c r="HB191">
        <v>0</v>
      </c>
      <c r="IK191">
        <v>0</v>
      </c>
    </row>
    <row r="192" spans="1:245" x14ac:dyDescent="0.2">
      <c r="A192">
        <v>17</v>
      </c>
      <c r="B192">
        <v>1</v>
      </c>
      <c r="C192">
        <f>ROW(SmtRes!A327)</f>
        <v>327</v>
      </c>
      <c r="D192">
        <f>ROW(EtalonRes!A311)</f>
        <v>311</v>
      </c>
      <c r="E192" t="s">
        <v>502</v>
      </c>
      <c r="F192" t="s">
        <v>503</v>
      </c>
      <c r="G192" t="s">
        <v>504</v>
      </c>
      <c r="H192" t="s">
        <v>30</v>
      </c>
      <c r="I192">
        <f>ROUND(96/100,9)</f>
        <v>0.96</v>
      </c>
      <c r="J192">
        <v>0</v>
      </c>
      <c r="O192">
        <f t="shared" si="161"/>
        <v>20832.66</v>
      </c>
      <c r="P192">
        <f t="shared" si="162"/>
        <v>6388.97</v>
      </c>
      <c r="Q192">
        <f t="shared" si="163"/>
        <v>1160.67</v>
      </c>
      <c r="R192">
        <f t="shared" si="164"/>
        <v>155.78</v>
      </c>
      <c r="S192">
        <f t="shared" si="165"/>
        <v>13283.02</v>
      </c>
      <c r="T192">
        <f t="shared" si="166"/>
        <v>0</v>
      </c>
      <c r="U192">
        <f t="shared" si="167"/>
        <v>205.05599999999998</v>
      </c>
      <c r="V192">
        <f t="shared" si="168"/>
        <v>1.9007999999999998</v>
      </c>
      <c r="W192">
        <f t="shared" si="169"/>
        <v>0</v>
      </c>
      <c r="X192">
        <f t="shared" si="170"/>
        <v>12766.86</v>
      </c>
      <c r="Y192">
        <f t="shared" si="171"/>
        <v>8735.2199999999993</v>
      </c>
      <c r="AA192">
        <v>39099382</v>
      </c>
      <c r="AB192">
        <f t="shared" si="172"/>
        <v>3323.23</v>
      </c>
      <c r="AC192">
        <f t="shared" si="194"/>
        <v>1019.17</v>
      </c>
      <c r="AD192">
        <f t="shared" si="195"/>
        <v>185.15</v>
      </c>
      <c r="AE192">
        <f t="shared" si="196"/>
        <v>24.85</v>
      </c>
      <c r="AF192">
        <f t="shared" si="197"/>
        <v>2118.91</v>
      </c>
      <c r="AG192">
        <f t="shared" si="173"/>
        <v>0</v>
      </c>
      <c r="AH192">
        <f t="shared" si="198"/>
        <v>213.6</v>
      </c>
      <c r="AI192">
        <f t="shared" si="199"/>
        <v>1.98</v>
      </c>
      <c r="AJ192">
        <f t="shared" si="174"/>
        <v>0</v>
      </c>
      <c r="AK192">
        <v>3323.23</v>
      </c>
      <c r="AL192">
        <v>1019.17</v>
      </c>
      <c r="AM192">
        <v>185.15</v>
      </c>
      <c r="AN192">
        <v>24.85</v>
      </c>
      <c r="AO192">
        <v>2118.91</v>
      </c>
      <c r="AP192">
        <v>0</v>
      </c>
      <c r="AQ192">
        <v>213.6</v>
      </c>
      <c r="AR192">
        <v>1.98</v>
      </c>
      <c r="AS192">
        <v>0</v>
      </c>
      <c r="AT192">
        <v>95</v>
      </c>
      <c r="AU192">
        <v>65</v>
      </c>
      <c r="AV192">
        <v>1</v>
      </c>
      <c r="AW192">
        <v>1</v>
      </c>
      <c r="AZ192">
        <v>6.53</v>
      </c>
      <c r="BA192">
        <v>6.53</v>
      </c>
      <c r="BB192">
        <v>6.53</v>
      </c>
      <c r="BC192">
        <v>6.53</v>
      </c>
      <c r="BD192" t="s">
        <v>3</v>
      </c>
      <c r="BE192" t="s">
        <v>3</v>
      </c>
      <c r="BF192" t="s">
        <v>3</v>
      </c>
      <c r="BG192" t="s">
        <v>3</v>
      </c>
      <c r="BH192">
        <v>0</v>
      </c>
      <c r="BI192">
        <v>2</v>
      </c>
      <c r="BJ192" t="s">
        <v>505</v>
      </c>
      <c r="BM192">
        <v>108001</v>
      </c>
      <c r="BN192">
        <v>0</v>
      </c>
      <c r="BO192" t="s">
        <v>3</v>
      </c>
      <c r="BP192">
        <v>0</v>
      </c>
      <c r="BQ192">
        <v>3</v>
      </c>
      <c r="BR192">
        <v>0</v>
      </c>
      <c r="BS192">
        <v>6.53</v>
      </c>
      <c r="BT192">
        <v>1</v>
      </c>
      <c r="BU192">
        <v>1</v>
      </c>
      <c r="BV192">
        <v>1</v>
      </c>
      <c r="BW192">
        <v>1</v>
      </c>
      <c r="BX192">
        <v>1</v>
      </c>
      <c r="BY192" t="s">
        <v>3</v>
      </c>
      <c r="BZ192">
        <v>95</v>
      </c>
      <c r="CA192">
        <v>65</v>
      </c>
      <c r="CF192">
        <v>0</v>
      </c>
      <c r="CG192">
        <v>0</v>
      </c>
      <c r="CM192">
        <v>0</v>
      </c>
      <c r="CN192" t="s">
        <v>3</v>
      </c>
      <c r="CO192">
        <v>0</v>
      </c>
      <c r="CP192">
        <f t="shared" si="175"/>
        <v>20832.66</v>
      </c>
      <c r="CQ192">
        <f t="shared" si="176"/>
        <v>6655.1800999999996</v>
      </c>
      <c r="CR192">
        <f t="shared" si="177"/>
        <v>1209.0295000000001</v>
      </c>
      <c r="CS192">
        <f t="shared" si="178"/>
        <v>162.27050000000003</v>
      </c>
      <c r="CT192">
        <f t="shared" si="179"/>
        <v>13836.4823</v>
      </c>
      <c r="CU192">
        <f t="shared" si="180"/>
        <v>0</v>
      </c>
      <c r="CV192">
        <f t="shared" si="181"/>
        <v>213.6</v>
      </c>
      <c r="CW192">
        <f t="shared" si="182"/>
        <v>1.98</v>
      </c>
      <c r="CX192">
        <f t="shared" si="183"/>
        <v>0</v>
      </c>
      <c r="CY192">
        <f t="shared" si="184"/>
        <v>12766.86</v>
      </c>
      <c r="CZ192">
        <f t="shared" si="185"/>
        <v>8735.2200000000012</v>
      </c>
      <c r="DC192" t="s">
        <v>3</v>
      </c>
      <c r="DD192" t="s">
        <v>3</v>
      </c>
      <c r="DE192" t="s">
        <v>3</v>
      </c>
      <c r="DF192" t="s">
        <v>3</v>
      </c>
      <c r="DG192" t="s">
        <v>3</v>
      </c>
      <c r="DH192" t="s">
        <v>3</v>
      </c>
      <c r="DI192" t="s">
        <v>3</v>
      </c>
      <c r="DJ192" t="s">
        <v>3</v>
      </c>
      <c r="DK192" t="s">
        <v>3</v>
      </c>
      <c r="DL192" t="s">
        <v>3</v>
      </c>
      <c r="DM192" t="s">
        <v>3</v>
      </c>
      <c r="DN192">
        <v>0</v>
      </c>
      <c r="DO192">
        <v>0</v>
      </c>
      <c r="DP192">
        <v>1</v>
      </c>
      <c r="DQ192">
        <v>1</v>
      </c>
      <c r="DU192">
        <v>1013</v>
      </c>
      <c r="DV192" t="s">
        <v>30</v>
      </c>
      <c r="DW192" t="s">
        <v>30</v>
      </c>
      <c r="DX192">
        <v>1</v>
      </c>
      <c r="EE192">
        <v>39174386</v>
      </c>
      <c r="EF192">
        <v>3</v>
      </c>
      <c r="EG192" t="s">
        <v>374</v>
      </c>
      <c r="EH192">
        <v>0</v>
      </c>
      <c r="EI192" t="s">
        <v>3</v>
      </c>
      <c r="EJ192">
        <v>2</v>
      </c>
      <c r="EK192">
        <v>108001</v>
      </c>
      <c r="EL192" t="s">
        <v>375</v>
      </c>
      <c r="EM192" t="s">
        <v>376</v>
      </c>
      <c r="EO192" t="s">
        <v>3</v>
      </c>
      <c r="EQ192">
        <v>0</v>
      </c>
      <c r="ER192">
        <v>3323.23</v>
      </c>
      <c r="ES192">
        <v>1019.17</v>
      </c>
      <c r="ET192">
        <v>185.15</v>
      </c>
      <c r="EU192">
        <v>24.85</v>
      </c>
      <c r="EV192">
        <v>2118.91</v>
      </c>
      <c r="EW192">
        <v>213.6</v>
      </c>
      <c r="EX192">
        <v>1.98</v>
      </c>
      <c r="EY192">
        <v>0</v>
      </c>
      <c r="FQ192">
        <v>0</v>
      </c>
      <c r="FR192">
        <f t="shared" si="186"/>
        <v>0</v>
      </c>
      <c r="FS192">
        <v>0</v>
      </c>
      <c r="FX192">
        <v>95</v>
      </c>
      <c r="FY192">
        <v>65</v>
      </c>
      <c r="GA192" t="s">
        <v>3</v>
      </c>
      <c r="GD192">
        <v>0</v>
      </c>
      <c r="GF192">
        <v>2097412756</v>
      </c>
      <c r="GG192">
        <v>1</v>
      </c>
      <c r="GH192">
        <v>1</v>
      </c>
      <c r="GI192">
        <v>4</v>
      </c>
      <c r="GJ192">
        <v>0</v>
      </c>
      <c r="GK192">
        <f>ROUND(R192*(R12)/100,2)</f>
        <v>0</v>
      </c>
      <c r="GL192">
        <f t="shared" si="187"/>
        <v>0</v>
      </c>
      <c r="GM192">
        <f t="shared" si="188"/>
        <v>42334.74</v>
      </c>
      <c r="GN192">
        <f t="shared" si="189"/>
        <v>0</v>
      </c>
      <c r="GO192">
        <f t="shared" si="190"/>
        <v>42334.74</v>
      </c>
      <c r="GP192">
        <f t="shared" si="191"/>
        <v>0</v>
      </c>
      <c r="GR192">
        <v>0</v>
      </c>
      <c r="GS192">
        <v>3</v>
      </c>
      <c r="GT192">
        <v>0</v>
      </c>
      <c r="GU192" t="s">
        <v>3</v>
      </c>
      <c r="GV192">
        <f t="shared" si="192"/>
        <v>0</v>
      </c>
      <c r="GW192">
        <v>1</v>
      </c>
      <c r="GX192">
        <f t="shared" si="193"/>
        <v>0</v>
      </c>
      <c r="HA192">
        <v>0</v>
      </c>
      <c r="HB192">
        <v>0</v>
      </c>
      <c r="IK192">
        <v>0</v>
      </c>
    </row>
    <row r="193" spans="1:245" x14ac:dyDescent="0.2">
      <c r="A193">
        <v>18</v>
      </c>
      <c r="B193">
        <v>1</v>
      </c>
      <c r="C193">
        <v>326</v>
      </c>
      <c r="E193" t="s">
        <v>506</v>
      </c>
      <c r="F193" t="s">
        <v>507</v>
      </c>
      <c r="G193" t="s">
        <v>508</v>
      </c>
      <c r="H193" t="s">
        <v>37</v>
      </c>
      <c r="I193">
        <f>I192*J193</f>
        <v>96</v>
      </c>
      <c r="J193">
        <v>100</v>
      </c>
      <c r="O193">
        <f t="shared" si="161"/>
        <v>530434.51</v>
      </c>
      <c r="P193">
        <f t="shared" si="162"/>
        <v>530434.51</v>
      </c>
      <c r="Q193">
        <f t="shared" si="163"/>
        <v>0</v>
      </c>
      <c r="R193">
        <f t="shared" si="164"/>
        <v>0</v>
      </c>
      <c r="S193">
        <f t="shared" si="165"/>
        <v>0</v>
      </c>
      <c r="T193">
        <f t="shared" si="166"/>
        <v>0</v>
      </c>
      <c r="U193">
        <f t="shared" si="167"/>
        <v>0</v>
      </c>
      <c r="V193">
        <f t="shared" si="168"/>
        <v>0</v>
      </c>
      <c r="W193">
        <f t="shared" si="169"/>
        <v>0</v>
      </c>
      <c r="X193">
        <f t="shared" si="170"/>
        <v>0</v>
      </c>
      <c r="Y193">
        <f t="shared" si="171"/>
        <v>0</v>
      </c>
      <c r="AA193">
        <v>39099382</v>
      </c>
      <c r="AB193">
        <f t="shared" si="172"/>
        <v>846.15</v>
      </c>
      <c r="AC193">
        <f t="shared" si="194"/>
        <v>846.15</v>
      </c>
      <c r="AD193">
        <f t="shared" si="195"/>
        <v>0</v>
      </c>
      <c r="AE193">
        <f t="shared" si="196"/>
        <v>0</v>
      </c>
      <c r="AF193">
        <f t="shared" si="197"/>
        <v>0</v>
      </c>
      <c r="AG193">
        <f t="shared" si="173"/>
        <v>0</v>
      </c>
      <c r="AH193">
        <f t="shared" si="198"/>
        <v>0</v>
      </c>
      <c r="AI193">
        <f t="shared" si="199"/>
        <v>0</v>
      </c>
      <c r="AJ193">
        <f t="shared" si="174"/>
        <v>0</v>
      </c>
      <c r="AK193">
        <v>846.15</v>
      </c>
      <c r="AL193">
        <v>846.15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95</v>
      </c>
      <c r="AU193">
        <v>65</v>
      </c>
      <c r="AV193">
        <v>1</v>
      </c>
      <c r="AW193">
        <v>1</v>
      </c>
      <c r="AZ193">
        <v>6.53</v>
      </c>
      <c r="BA193">
        <v>1</v>
      </c>
      <c r="BB193">
        <v>1</v>
      </c>
      <c r="BC193">
        <v>6.53</v>
      </c>
      <c r="BD193" t="s">
        <v>3</v>
      </c>
      <c r="BE193" t="s">
        <v>3</v>
      </c>
      <c r="BF193" t="s">
        <v>3</v>
      </c>
      <c r="BG193" t="s">
        <v>3</v>
      </c>
      <c r="BH193">
        <v>3</v>
      </c>
      <c r="BI193">
        <v>2</v>
      </c>
      <c r="BJ193" t="s">
        <v>509</v>
      </c>
      <c r="BM193">
        <v>108001</v>
      </c>
      <c r="BN193">
        <v>0</v>
      </c>
      <c r="BO193" t="s">
        <v>3</v>
      </c>
      <c r="BP193">
        <v>0</v>
      </c>
      <c r="BQ193">
        <v>3</v>
      </c>
      <c r="BR193">
        <v>0</v>
      </c>
      <c r="BS193">
        <v>1</v>
      </c>
      <c r="BT193">
        <v>1</v>
      </c>
      <c r="BU193">
        <v>1</v>
      </c>
      <c r="BV193">
        <v>1</v>
      </c>
      <c r="BW193">
        <v>1</v>
      </c>
      <c r="BX193">
        <v>1</v>
      </c>
      <c r="BY193" t="s">
        <v>3</v>
      </c>
      <c r="BZ193">
        <v>95</v>
      </c>
      <c r="CA193">
        <v>65</v>
      </c>
      <c r="CF193">
        <v>0</v>
      </c>
      <c r="CG193">
        <v>0</v>
      </c>
      <c r="CM193">
        <v>0</v>
      </c>
      <c r="CN193" t="s">
        <v>3</v>
      </c>
      <c r="CO193">
        <v>0</v>
      </c>
      <c r="CP193">
        <f t="shared" si="175"/>
        <v>530434.51</v>
      </c>
      <c r="CQ193">
        <f t="shared" si="176"/>
        <v>5525.3595000000005</v>
      </c>
      <c r="CR193">
        <f t="shared" si="177"/>
        <v>0</v>
      </c>
      <c r="CS193">
        <f t="shared" si="178"/>
        <v>0</v>
      </c>
      <c r="CT193">
        <f t="shared" si="179"/>
        <v>0</v>
      </c>
      <c r="CU193">
        <f t="shared" si="180"/>
        <v>0</v>
      </c>
      <c r="CV193">
        <f t="shared" si="181"/>
        <v>0</v>
      </c>
      <c r="CW193">
        <f t="shared" si="182"/>
        <v>0</v>
      </c>
      <c r="CX193">
        <f t="shared" si="183"/>
        <v>0</v>
      </c>
      <c r="CY193">
        <f t="shared" si="184"/>
        <v>0</v>
      </c>
      <c r="CZ193">
        <f t="shared" si="185"/>
        <v>0</v>
      </c>
      <c r="DC193" t="s">
        <v>3</v>
      </c>
      <c r="DD193" t="s">
        <v>3</v>
      </c>
      <c r="DE193" t="s">
        <v>3</v>
      </c>
      <c r="DF193" t="s">
        <v>3</v>
      </c>
      <c r="DG193" t="s">
        <v>3</v>
      </c>
      <c r="DH193" t="s">
        <v>3</v>
      </c>
      <c r="DI193" t="s">
        <v>3</v>
      </c>
      <c r="DJ193" t="s">
        <v>3</v>
      </c>
      <c r="DK193" t="s">
        <v>3</v>
      </c>
      <c r="DL193" t="s">
        <v>3</v>
      </c>
      <c r="DM193" t="s">
        <v>3</v>
      </c>
      <c r="DN193">
        <v>0</v>
      </c>
      <c r="DO193">
        <v>0</v>
      </c>
      <c r="DP193">
        <v>1</v>
      </c>
      <c r="DQ193">
        <v>1</v>
      </c>
      <c r="DU193">
        <v>1010</v>
      </c>
      <c r="DV193" t="s">
        <v>37</v>
      </c>
      <c r="DW193" t="s">
        <v>37</v>
      </c>
      <c r="DX193">
        <v>1</v>
      </c>
      <c r="EE193">
        <v>39174386</v>
      </c>
      <c r="EF193">
        <v>3</v>
      </c>
      <c r="EG193" t="s">
        <v>374</v>
      </c>
      <c r="EH193">
        <v>0</v>
      </c>
      <c r="EI193" t="s">
        <v>3</v>
      </c>
      <c r="EJ193">
        <v>2</v>
      </c>
      <c r="EK193">
        <v>108001</v>
      </c>
      <c r="EL193" t="s">
        <v>375</v>
      </c>
      <c r="EM193" t="s">
        <v>376</v>
      </c>
      <c r="EO193" t="s">
        <v>3</v>
      </c>
      <c r="EQ193">
        <v>0</v>
      </c>
      <c r="ER193">
        <v>846.15</v>
      </c>
      <c r="ES193">
        <v>846.15</v>
      </c>
      <c r="ET193">
        <v>0</v>
      </c>
      <c r="EU193">
        <v>0</v>
      </c>
      <c r="EV193">
        <v>0</v>
      </c>
      <c r="EW193">
        <v>0</v>
      </c>
      <c r="EX193">
        <v>0</v>
      </c>
      <c r="FQ193">
        <v>0</v>
      </c>
      <c r="FR193">
        <f t="shared" si="186"/>
        <v>0</v>
      </c>
      <c r="FS193">
        <v>0</v>
      </c>
      <c r="FX193">
        <v>95</v>
      </c>
      <c r="FY193">
        <v>65</v>
      </c>
      <c r="GA193" t="s">
        <v>3</v>
      </c>
      <c r="GD193">
        <v>0</v>
      </c>
      <c r="GF193">
        <v>1763272094</v>
      </c>
      <c r="GG193">
        <v>1</v>
      </c>
      <c r="GH193">
        <v>1</v>
      </c>
      <c r="GI193">
        <v>4</v>
      </c>
      <c r="GJ193">
        <v>0</v>
      </c>
      <c r="GK193">
        <f>ROUND(R193*(R12)/100,2)</f>
        <v>0</v>
      </c>
      <c r="GL193">
        <f t="shared" si="187"/>
        <v>0</v>
      </c>
      <c r="GM193">
        <f t="shared" si="188"/>
        <v>530434.51</v>
      </c>
      <c r="GN193">
        <f t="shared" si="189"/>
        <v>0</v>
      </c>
      <c r="GO193">
        <f t="shared" si="190"/>
        <v>530434.51</v>
      </c>
      <c r="GP193">
        <f t="shared" si="191"/>
        <v>0</v>
      </c>
      <c r="GR193">
        <v>0</v>
      </c>
      <c r="GS193">
        <v>3</v>
      </c>
      <c r="GT193">
        <v>0</v>
      </c>
      <c r="GU193" t="s">
        <v>3</v>
      </c>
      <c r="GV193">
        <f t="shared" si="192"/>
        <v>0</v>
      </c>
      <c r="GW193">
        <v>1</v>
      </c>
      <c r="GX193">
        <f t="shared" si="193"/>
        <v>0</v>
      </c>
      <c r="HA193">
        <v>0</v>
      </c>
      <c r="HB193">
        <v>0</v>
      </c>
      <c r="IK193">
        <v>0</v>
      </c>
    </row>
    <row r="194" spans="1:245" x14ac:dyDescent="0.2">
      <c r="A194">
        <v>17</v>
      </c>
      <c r="B194">
        <v>1</v>
      </c>
      <c r="C194">
        <f>ROW(SmtRes!A329)</f>
        <v>329</v>
      </c>
      <c r="D194">
        <f>ROW(EtalonRes!A313)</f>
        <v>313</v>
      </c>
      <c r="E194" t="s">
        <v>510</v>
      </c>
      <c r="F194" t="s">
        <v>511</v>
      </c>
      <c r="G194" t="s">
        <v>512</v>
      </c>
      <c r="H194" t="s">
        <v>350</v>
      </c>
      <c r="I194">
        <v>44</v>
      </c>
      <c r="J194">
        <v>0</v>
      </c>
      <c r="O194">
        <f t="shared" si="161"/>
        <v>2720.43</v>
      </c>
      <c r="P194">
        <f t="shared" si="162"/>
        <v>0</v>
      </c>
      <c r="Q194">
        <f t="shared" si="163"/>
        <v>0</v>
      </c>
      <c r="R194">
        <f t="shared" si="164"/>
        <v>0</v>
      </c>
      <c r="S194">
        <f t="shared" si="165"/>
        <v>2720.43</v>
      </c>
      <c r="T194">
        <f t="shared" si="166"/>
        <v>0</v>
      </c>
      <c r="U194">
        <f t="shared" si="167"/>
        <v>11.263999999999999</v>
      </c>
      <c r="V194">
        <f t="shared" si="168"/>
        <v>0</v>
      </c>
      <c r="W194">
        <f t="shared" si="169"/>
        <v>0</v>
      </c>
      <c r="X194">
        <f t="shared" si="170"/>
        <v>1768.28</v>
      </c>
      <c r="Y194">
        <f t="shared" si="171"/>
        <v>1088.17</v>
      </c>
      <c r="AA194">
        <v>39099382</v>
      </c>
      <c r="AB194">
        <f t="shared" si="172"/>
        <v>3.28</v>
      </c>
      <c r="AC194">
        <f t="shared" si="194"/>
        <v>0</v>
      </c>
      <c r="AD194">
        <f t="shared" si="195"/>
        <v>0</v>
      </c>
      <c r="AE194">
        <f>ROUND((EU194),2)</f>
        <v>0</v>
      </c>
      <c r="AF194">
        <f>ROUND(((EV194*0.8)),2)</f>
        <v>3.28</v>
      </c>
      <c r="AG194">
        <f t="shared" si="173"/>
        <v>0</v>
      </c>
      <c r="AH194">
        <f>((EW194*0.8))</f>
        <v>0.25600000000000001</v>
      </c>
      <c r="AI194">
        <f>(EX194)</f>
        <v>0</v>
      </c>
      <c r="AJ194">
        <f t="shared" si="174"/>
        <v>0</v>
      </c>
      <c r="AK194">
        <v>4.0999999999999996</v>
      </c>
      <c r="AL194">
        <v>0</v>
      </c>
      <c r="AM194">
        <v>0</v>
      </c>
      <c r="AN194">
        <v>0</v>
      </c>
      <c r="AO194">
        <v>4.0999999999999996</v>
      </c>
      <c r="AP194">
        <v>0</v>
      </c>
      <c r="AQ194">
        <v>0.32</v>
      </c>
      <c r="AR194">
        <v>0</v>
      </c>
      <c r="AS194">
        <v>0</v>
      </c>
      <c r="AT194">
        <v>65</v>
      </c>
      <c r="AU194">
        <v>40</v>
      </c>
      <c r="AV194">
        <v>1</v>
      </c>
      <c r="AW194">
        <v>1</v>
      </c>
      <c r="AZ194">
        <v>18.850000000000001</v>
      </c>
      <c r="BA194">
        <v>18.850000000000001</v>
      </c>
      <c r="BB194">
        <v>1</v>
      </c>
      <c r="BC194">
        <v>1</v>
      </c>
      <c r="BD194" t="s">
        <v>3</v>
      </c>
      <c r="BE194" t="s">
        <v>3</v>
      </c>
      <c r="BF194" t="s">
        <v>3</v>
      </c>
      <c r="BG194" t="s">
        <v>3</v>
      </c>
      <c r="BH194">
        <v>0</v>
      </c>
      <c r="BI194">
        <v>4</v>
      </c>
      <c r="BJ194" t="s">
        <v>513</v>
      </c>
      <c r="BM194">
        <v>200001</v>
      </c>
      <c r="BN194">
        <v>0</v>
      </c>
      <c r="BO194" t="s">
        <v>3</v>
      </c>
      <c r="BP194">
        <v>0</v>
      </c>
      <c r="BQ194">
        <v>4</v>
      </c>
      <c r="BR194">
        <v>0</v>
      </c>
      <c r="BS194">
        <v>1</v>
      </c>
      <c r="BT194">
        <v>1</v>
      </c>
      <c r="BU194">
        <v>1</v>
      </c>
      <c r="BV194">
        <v>1</v>
      </c>
      <c r="BW194">
        <v>1</v>
      </c>
      <c r="BX194">
        <v>1</v>
      </c>
      <c r="BY194" t="s">
        <v>3</v>
      </c>
      <c r="BZ194">
        <v>65</v>
      </c>
      <c r="CA194">
        <v>40</v>
      </c>
      <c r="CF194">
        <v>0</v>
      </c>
      <c r="CG194">
        <v>0</v>
      </c>
      <c r="CM194">
        <v>0</v>
      </c>
      <c r="CN194" t="s">
        <v>514</v>
      </c>
      <c r="CO194">
        <v>0</v>
      </c>
      <c r="CP194">
        <f t="shared" si="175"/>
        <v>2720.43</v>
      </c>
      <c r="CQ194">
        <f t="shared" si="176"/>
        <v>0</v>
      </c>
      <c r="CR194">
        <f t="shared" si="177"/>
        <v>0</v>
      </c>
      <c r="CS194">
        <f t="shared" si="178"/>
        <v>0</v>
      </c>
      <c r="CT194">
        <f t="shared" si="179"/>
        <v>61.828000000000003</v>
      </c>
      <c r="CU194">
        <f t="shared" si="180"/>
        <v>0</v>
      </c>
      <c r="CV194">
        <f t="shared" si="181"/>
        <v>0.25600000000000001</v>
      </c>
      <c r="CW194">
        <f t="shared" si="182"/>
        <v>0</v>
      </c>
      <c r="CX194">
        <f t="shared" si="183"/>
        <v>0</v>
      </c>
      <c r="CY194">
        <f t="shared" si="184"/>
        <v>1768.2794999999999</v>
      </c>
      <c r="CZ194">
        <f t="shared" si="185"/>
        <v>1088.172</v>
      </c>
      <c r="DC194" t="s">
        <v>3</v>
      </c>
      <c r="DD194" t="s">
        <v>3</v>
      </c>
      <c r="DE194" t="s">
        <v>3</v>
      </c>
      <c r="DF194" t="s">
        <v>3</v>
      </c>
      <c r="DG194" t="s">
        <v>211</v>
      </c>
      <c r="DH194" t="s">
        <v>3</v>
      </c>
      <c r="DI194" t="s">
        <v>211</v>
      </c>
      <c r="DJ194" t="s">
        <v>3</v>
      </c>
      <c r="DK194" t="s">
        <v>3</v>
      </c>
      <c r="DL194" t="s">
        <v>3</v>
      </c>
      <c r="DM194" t="s">
        <v>3</v>
      </c>
      <c r="DN194">
        <v>0</v>
      </c>
      <c r="DO194">
        <v>0</v>
      </c>
      <c r="DP194">
        <v>1</v>
      </c>
      <c r="DQ194">
        <v>1</v>
      </c>
      <c r="DU194">
        <v>1013</v>
      </c>
      <c r="DV194" t="s">
        <v>350</v>
      </c>
      <c r="DW194" t="s">
        <v>350</v>
      </c>
      <c r="DX194">
        <v>1</v>
      </c>
      <c r="EE194">
        <v>39174428</v>
      </c>
      <c r="EF194">
        <v>4</v>
      </c>
      <c r="EG194" t="s">
        <v>515</v>
      </c>
      <c r="EH194">
        <v>0</v>
      </c>
      <c r="EI194" t="s">
        <v>3</v>
      </c>
      <c r="EJ194">
        <v>4</v>
      </c>
      <c r="EK194">
        <v>200001</v>
      </c>
      <c r="EL194" t="s">
        <v>516</v>
      </c>
      <c r="EM194" t="s">
        <v>517</v>
      </c>
      <c r="EO194" t="s">
        <v>518</v>
      </c>
      <c r="EQ194">
        <v>0</v>
      </c>
      <c r="ER194">
        <v>4.0999999999999996</v>
      </c>
      <c r="ES194">
        <v>0</v>
      </c>
      <c r="ET194">
        <v>0</v>
      </c>
      <c r="EU194">
        <v>0</v>
      </c>
      <c r="EV194">
        <v>4.0999999999999996</v>
      </c>
      <c r="EW194">
        <v>0.32</v>
      </c>
      <c r="EX194">
        <v>0</v>
      </c>
      <c r="EY194">
        <v>0</v>
      </c>
      <c r="FQ194">
        <v>0</v>
      </c>
      <c r="FR194">
        <f t="shared" si="186"/>
        <v>0</v>
      </c>
      <c r="FS194">
        <v>0</v>
      </c>
      <c r="FX194">
        <v>65</v>
      </c>
      <c r="FY194">
        <v>40</v>
      </c>
      <c r="GA194" t="s">
        <v>3</v>
      </c>
      <c r="GD194">
        <v>0</v>
      </c>
      <c r="GF194">
        <v>-1617765494</v>
      </c>
      <c r="GG194">
        <v>1</v>
      </c>
      <c r="GH194">
        <v>1</v>
      </c>
      <c r="GI194">
        <v>4</v>
      </c>
      <c r="GJ194">
        <v>0</v>
      </c>
      <c r="GK194">
        <f>ROUND(R194*(R12)/100,2)</f>
        <v>0</v>
      </c>
      <c r="GL194">
        <f t="shared" si="187"/>
        <v>0</v>
      </c>
      <c r="GM194">
        <f t="shared" si="188"/>
        <v>5576.88</v>
      </c>
      <c r="GN194">
        <f t="shared" si="189"/>
        <v>0</v>
      </c>
      <c r="GO194">
        <f t="shared" si="190"/>
        <v>0</v>
      </c>
      <c r="GP194">
        <f t="shared" si="191"/>
        <v>5576.88</v>
      </c>
      <c r="GR194">
        <v>0</v>
      </c>
      <c r="GS194">
        <v>3</v>
      </c>
      <c r="GT194">
        <v>0</v>
      </c>
      <c r="GU194" t="s">
        <v>3</v>
      </c>
      <c r="GV194">
        <f t="shared" si="192"/>
        <v>0</v>
      </c>
      <c r="GW194">
        <v>1</v>
      </c>
      <c r="GX194">
        <f t="shared" si="193"/>
        <v>0</v>
      </c>
      <c r="HA194">
        <v>0</v>
      </c>
      <c r="HB194">
        <v>0</v>
      </c>
      <c r="IK194">
        <v>0</v>
      </c>
    </row>
    <row r="195" spans="1:245" x14ac:dyDescent="0.2">
      <c r="A195">
        <v>17</v>
      </c>
      <c r="B195">
        <v>1</v>
      </c>
      <c r="C195">
        <f>ROW(SmtRes!A331)</f>
        <v>331</v>
      </c>
      <c r="D195">
        <f>ROW(EtalonRes!A315)</f>
        <v>315</v>
      </c>
      <c r="E195" t="s">
        <v>519</v>
      </c>
      <c r="F195" t="s">
        <v>520</v>
      </c>
      <c r="G195" t="s">
        <v>521</v>
      </c>
      <c r="H195" t="s">
        <v>522</v>
      </c>
      <c r="I195">
        <v>7.0000000000000007E-2</v>
      </c>
      <c r="J195">
        <v>0</v>
      </c>
      <c r="O195">
        <f t="shared" si="161"/>
        <v>175.18</v>
      </c>
      <c r="P195">
        <f t="shared" si="162"/>
        <v>0</v>
      </c>
      <c r="Q195">
        <f t="shared" si="163"/>
        <v>0</v>
      </c>
      <c r="R195">
        <f t="shared" si="164"/>
        <v>0</v>
      </c>
      <c r="S195">
        <f t="shared" si="165"/>
        <v>175.18</v>
      </c>
      <c r="T195">
        <f t="shared" si="166"/>
        <v>0</v>
      </c>
      <c r="U195">
        <f t="shared" si="167"/>
        <v>0.72576000000000018</v>
      </c>
      <c r="V195">
        <f t="shared" si="168"/>
        <v>0</v>
      </c>
      <c r="W195">
        <f t="shared" si="169"/>
        <v>0</v>
      </c>
      <c r="X195">
        <f t="shared" si="170"/>
        <v>113.87</v>
      </c>
      <c r="Y195">
        <f t="shared" si="171"/>
        <v>70.069999999999993</v>
      </c>
      <c r="AA195">
        <v>39099382</v>
      </c>
      <c r="AB195">
        <f t="shared" si="172"/>
        <v>132.76</v>
      </c>
      <c r="AC195">
        <f t="shared" si="194"/>
        <v>0</v>
      </c>
      <c r="AD195">
        <f t="shared" si="195"/>
        <v>0</v>
      </c>
      <c r="AE195">
        <f>ROUND((EU195),2)</f>
        <v>0</v>
      </c>
      <c r="AF195">
        <f>ROUND(((EV195*0.8)),2)</f>
        <v>132.76</v>
      </c>
      <c r="AG195">
        <f t="shared" si="173"/>
        <v>0</v>
      </c>
      <c r="AH195">
        <f>((EW195*0.8))</f>
        <v>10.368000000000002</v>
      </c>
      <c r="AI195">
        <f>(EX195)</f>
        <v>0</v>
      </c>
      <c r="AJ195">
        <f t="shared" si="174"/>
        <v>0</v>
      </c>
      <c r="AK195">
        <v>165.95</v>
      </c>
      <c r="AL195">
        <v>0</v>
      </c>
      <c r="AM195">
        <v>0</v>
      </c>
      <c r="AN195">
        <v>0</v>
      </c>
      <c r="AO195">
        <v>165.95</v>
      </c>
      <c r="AP195">
        <v>0</v>
      </c>
      <c r="AQ195">
        <v>12.96</v>
      </c>
      <c r="AR195">
        <v>0</v>
      </c>
      <c r="AS195">
        <v>0</v>
      </c>
      <c r="AT195">
        <v>65</v>
      </c>
      <c r="AU195">
        <v>40</v>
      </c>
      <c r="AV195">
        <v>1</v>
      </c>
      <c r="AW195">
        <v>1</v>
      </c>
      <c r="AZ195">
        <v>18.850000000000001</v>
      </c>
      <c r="BA195">
        <v>18.850000000000001</v>
      </c>
      <c r="BB195">
        <v>1</v>
      </c>
      <c r="BC195">
        <v>1</v>
      </c>
      <c r="BD195" t="s">
        <v>3</v>
      </c>
      <c r="BE195" t="s">
        <v>3</v>
      </c>
      <c r="BF195" t="s">
        <v>3</v>
      </c>
      <c r="BG195" t="s">
        <v>3</v>
      </c>
      <c r="BH195">
        <v>0</v>
      </c>
      <c r="BI195">
        <v>4</v>
      </c>
      <c r="BJ195" t="s">
        <v>523</v>
      </c>
      <c r="BM195">
        <v>200001</v>
      </c>
      <c r="BN195">
        <v>0</v>
      </c>
      <c r="BO195" t="s">
        <v>3</v>
      </c>
      <c r="BP195">
        <v>0</v>
      </c>
      <c r="BQ195">
        <v>4</v>
      </c>
      <c r="BR195">
        <v>0</v>
      </c>
      <c r="BS195">
        <v>1</v>
      </c>
      <c r="BT195">
        <v>1</v>
      </c>
      <c r="BU195">
        <v>1</v>
      </c>
      <c r="BV195">
        <v>1</v>
      </c>
      <c r="BW195">
        <v>1</v>
      </c>
      <c r="BX195">
        <v>1</v>
      </c>
      <c r="BY195" t="s">
        <v>3</v>
      </c>
      <c r="BZ195">
        <v>65</v>
      </c>
      <c r="CA195">
        <v>40</v>
      </c>
      <c r="CF195">
        <v>0</v>
      </c>
      <c r="CG195">
        <v>0</v>
      </c>
      <c r="CM195">
        <v>0</v>
      </c>
      <c r="CN195" t="s">
        <v>514</v>
      </c>
      <c r="CO195">
        <v>0</v>
      </c>
      <c r="CP195">
        <f t="shared" si="175"/>
        <v>175.18</v>
      </c>
      <c r="CQ195">
        <f t="shared" si="176"/>
        <v>0</v>
      </c>
      <c r="CR195">
        <f t="shared" si="177"/>
        <v>0</v>
      </c>
      <c r="CS195">
        <f t="shared" si="178"/>
        <v>0</v>
      </c>
      <c r="CT195">
        <f t="shared" si="179"/>
        <v>2502.5259999999998</v>
      </c>
      <c r="CU195">
        <f t="shared" si="180"/>
        <v>0</v>
      </c>
      <c r="CV195">
        <f t="shared" si="181"/>
        <v>10.368000000000002</v>
      </c>
      <c r="CW195">
        <f t="shared" si="182"/>
        <v>0</v>
      </c>
      <c r="CX195">
        <f t="shared" si="183"/>
        <v>0</v>
      </c>
      <c r="CY195">
        <f t="shared" si="184"/>
        <v>113.867</v>
      </c>
      <c r="CZ195">
        <f t="shared" si="185"/>
        <v>70.072000000000003</v>
      </c>
      <c r="DC195" t="s">
        <v>3</v>
      </c>
      <c r="DD195" t="s">
        <v>3</v>
      </c>
      <c r="DE195" t="s">
        <v>3</v>
      </c>
      <c r="DF195" t="s">
        <v>3</v>
      </c>
      <c r="DG195" t="s">
        <v>211</v>
      </c>
      <c r="DH195" t="s">
        <v>3</v>
      </c>
      <c r="DI195" t="s">
        <v>211</v>
      </c>
      <c r="DJ195" t="s">
        <v>3</v>
      </c>
      <c r="DK195" t="s">
        <v>3</v>
      </c>
      <c r="DL195" t="s">
        <v>3</v>
      </c>
      <c r="DM195" t="s">
        <v>3</v>
      </c>
      <c r="DN195">
        <v>0</v>
      </c>
      <c r="DO195">
        <v>0</v>
      </c>
      <c r="DP195">
        <v>1</v>
      </c>
      <c r="DQ195">
        <v>1</v>
      </c>
      <c r="DU195">
        <v>1013</v>
      </c>
      <c r="DV195" t="s">
        <v>522</v>
      </c>
      <c r="DW195" t="s">
        <v>522</v>
      </c>
      <c r="DX195">
        <v>1</v>
      </c>
      <c r="EE195">
        <v>39174428</v>
      </c>
      <c r="EF195">
        <v>4</v>
      </c>
      <c r="EG195" t="s">
        <v>515</v>
      </c>
      <c r="EH195">
        <v>0</v>
      </c>
      <c r="EI195" t="s">
        <v>3</v>
      </c>
      <c r="EJ195">
        <v>4</v>
      </c>
      <c r="EK195">
        <v>200001</v>
      </c>
      <c r="EL195" t="s">
        <v>516</v>
      </c>
      <c r="EM195" t="s">
        <v>517</v>
      </c>
      <c r="EO195" t="s">
        <v>518</v>
      </c>
      <c r="EQ195">
        <v>0</v>
      </c>
      <c r="ER195">
        <v>165.95</v>
      </c>
      <c r="ES195">
        <v>0</v>
      </c>
      <c r="ET195">
        <v>0</v>
      </c>
      <c r="EU195">
        <v>0</v>
      </c>
      <c r="EV195">
        <v>165.95</v>
      </c>
      <c r="EW195">
        <v>12.96</v>
      </c>
      <c r="EX195">
        <v>0</v>
      </c>
      <c r="EY195">
        <v>0</v>
      </c>
      <c r="FQ195">
        <v>0</v>
      </c>
      <c r="FR195">
        <f t="shared" si="186"/>
        <v>0</v>
      </c>
      <c r="FS195">
        <v>0</v>
      </c>
      <c r="FX195">
        <v>65</v>
      </c>
      <c r="FY195">
        <v>40</v>
      </c>
      <c r="GA195" t="s">
        <v>3</v>
      </c>
      <c r="GD195">
        <v>0</v>
      </c>
      <c r="GF195">
        <v>-931447527</v>
      </c>
      <c r="GG195">
        <v>1</v>
      </c>
      <c r="GH195">
        <v>1</v>
      </c>
      <c r="GI195">
        <v>4</v>
      </c>
      <c r="GJ195">
        <v>0</v>
      </c>
      <c r="GK195">
        <f>ROUND(R195*(R12)/100,2)</f>
        <v>0</v>
      </c>
      <c r="GL195">
        <f t="shared" si="187"/>
        <v>0</v>
      </c>
      <c r="GM195">
        <f t="shared" si="188"/>
        <v>359.12</v>
      </c>
      <c r="GN195">
        <f t="shared" si="189"/>
        <v>0</v>
      </c>
      <c r="GO195">
        <f t="shared" si="190"/>
        <v>0</v>
      </c>
      <c r="GP195">
        <f t="shared" si="191"/>
        <v>359.12</v>
      </c>
      <c r="GR195">
        <v>0</v>
      </c>
      <c r="GS195">
        <v>3</v>
      </c>
      <c r="GT195">
        <v>0</v>
      </c>
      <c r="GU195" t="s">
        <v>3</v>
      </c>
      <c r="GV195">
        <f t="shared" si="192"/>
        <v>0</v>
      </c>
      <c r="GW195">
        <v>1</v>
      </c>
      <c r="GX195">
        <f t="shared" si="193"/>
        <v>0</v>
      </c>
      <c r="HA195">
        <v>0</v>
      </c>
      <c r="HB195">
        <v>0</v>
      </c>
      <c r="IK195">
        <v>0</v>
      </c>
    </row>
    <row r="196" spans="1:245" x14ac:dyDescent="0.2">
      <c r="A196">
        <v>17</v>
      </c>
      <c r="B196">
        <v>1</v>
      </c>
      <c r="C196">
        <f>ROW(SmtRes!A333)</f>
        <v>333</v>
      </c>
      <c r="D196">
        <f>ROW(EtalonRes!A317)</f>
        <v>317</v>
      </c>
      <c r="E196" t="s">
        <v>524</v>
      </c>
      <c r="F196" t="s">
        <v>525</v>
      </c>
      <c r="G196" t="s">
        <v>526</v>
      </c>
      <c r="H196" t="s">
        <v>350</v>
      </c>
      <c r="I196">
        <v>39</v>
      </c>
      <c r="J196">
        <v>0</v>
      </c>
      <c r="O196">
        <f t="shared" si="161"/>
        <v>9189.3799999999992</v>
      </c>
      <c r="P196">
        <f t="shared" si="162"/>
        <v>0</v>
      </c>
      <c r="Q196">
        <f t="shared" si="163"/>
        <v>0</v>
      </c>
      <c r="R196">
        <f t="shared" si="164"/>
        <v>0</v>
      </c>
      <c r="S196">
        <f t="shared" si="165"/>
        <v>9189.3799999999992</v>
      </c>
      <c r="T196">
        <f t="shared" si="166"/>
        <v>0</v>
      </c>
      <c r="U196">
        <f t="shared" si="167"/>
        <v>38.064</v>
      </c>
      <c r="V196">
        <f t="shared" si="168"/>
        <v>0</v>
      </c>
      <c r="W196">
        <f t="shared" si="169"/>
        <v>0</v>
      </c>
      <c r="X196">
        <f t="shared" si="170"/>
        <v>5973.1</v>
      </c>
      <c r="Y196">
        <f t="shared" si="171"/>
        <v>3675.75</v>
      </c>
      <c r="AA196">
        <v>39099382</v>
      </c>
      <c r="AB196">
        <f t="shared" si="172"/>
        <v>12.5</v>
      </c>
      <c r="AC196">
        <f t="shared" si="194"/>
        <v>0</v>
      </c>
      <c r="AD196">
        <f t="shared" si="195"/>
        <v>0</v>
      </c>
      <c r="AE196">
        <f>ROUND((EU196),2)</f>
        <v>0</v>
      </c>
      <c r="AF196">
        <f>ROUND(((EV196*0.8)),2)</f>
        <v>12.5</v>
      </c>
      <c r="AG196">
        <f t="shared" si="173"/>
        <v>0</v>
      </c>
      <c r="AH196">
        <f>((EW196*0.8))</f>
        <v>0.97599999999999998</v>
      </c>
      <c r="AI196">
        <f>(EX196)</f>
        <v>0</v>
      </c>
      <c r="AJ196">
        <f t="shared" si="174"/>
        <v>0</v>
      </c>
      <c r="AK196">
        <v>15.62</v>
      </c>
      <c r="AL196">
        <v>0</v>
      </c>
      <c r="AM196">
        <v>0</v>
      </c>
      <c r="AN196">
        <v>0</v>
      </c>
      <c r="AO196">
        <v>15.62</v>
      </c>
      <c r="AP196">
        <v>0</v>
      </c>
      <c r="AQ196">
        <v>1.22</v>
      </c>
      <c r="AR196">
        <v>0</v>
      </c>
      <c r="AS196">
        <v>0</v>
      </c>
      <c r="AT196">
        <v>65</v>
      </c>
      <c r="AU196">
        <v>40</v>
      </c>
      <c r="AV196">
        <v>1</v>
      </c>
      <c r="AW196">
        <v>1</v>
      </c>
      <c r="AZ196">
        <v>18.850000000000001</v>
      </c>
      <c r="BA196">
        <v>18.850000000000001</v>
      </c>
      <c r="BB196">
        <v>1</v>
      </c>
      <c r="BC196">
        <v>1</v>
      </c>
      <c r="BD196" t="s">
        <v>3</v>
      </c>
      <c r="BE196" t="s">
        <v>3</v>
      </c>
      <c r="BF196" t="s">
        <v>3</v>
      </c>
      <c r="BG196" t="s">
        <v>3</v>
      </c>
      <c r="BH196">
        <v>0</v>
      </c>
      <c r="BI196">
        <v>4</v>
      </c>
      <c r="BJ196" t="s">
        <v>527</v>
      </c>
      <c r="BM196">
        <v>200001</v>
      </c>
      <c r="BN196">
        <v>0</v>
      </c>
      <c r="BO196" t="s">
        <v>3</v>
      </c>
      <c r="BP196">
        <v>0</v>
      </c>
      <c r="BQ196">
        <v>4</v>
      </c>
      <c r="BR196">
        <v>0</v>
      </c>
      <c r="BS196">
        <v>1</v>
      </c>
      <c r="BT196">
        <v>1</v>
      </c>
      <c r="BU196">
        <v>1</v>
      </c>
      <c r="BV196">
        <v>1</v>
      </c>
      <c r="BW196">
        <v>1</v>
      </c>
      <c r="BX196">
        <v>1</v>
      </c>
      <c r="BY196" t="s">
        <v>3</v>
      </c>
      <c r="BZ196">
        <v>65</v>
      </c>
      <c r="CA196">
        <v>40</v>
      </c>
      <c r="CF196">
        <v>0</v>
      </c>
      <c r="CG196">
        <v>0</v>
      </c>
      <c r="CM196">
        <v>0</v>
      </c>
      <c r="CN196" t="s">
        <v>514</v>
      </c>
      <c r="CO196">
        <v>0</v>
      </c>
      <c r="CP196">
        <f t="shared" si="175"/>
        <v>9189.3799999999992</v>
      </c>
      <c r="CQ196">
        <f t="shared" si="176"/>
        <v>0</v>
      </c>
      <c r="CR196">
        <f t="shared" si="177"/>
        <v>0</v>
      </c>
      <c r="CS196">
        <f t="shared" si="178"/>
        <v>0</v>
      </c>
      <c r="CT196">
        <f t="shared" si="179"/>
        <v>235.62500000000003</v>
      </c>
      <c r="CU196">
        <f t="shared" si="180"/>
        <v>0</v>
      </c>
      <c r="CV196">
        <f t="shared" si="181"/>
        <v>0.97599999999999998</v>
      </c>
      <c r="CW196">
        <f t="shared" si="182"/>
        <v>0</v>
      </c>
      <c r="CX196">
        <f t="shared" si="183"/>
        <v>0</v>
      </c>
      <c r="CY196">
        <f t="shared" si="184"/>
        <v>5973.0969999999998</v>
      </c>
      <c r="CZ196">
        <f t="shared" si="185"/>
        <v>3675.7519999999995</v>
      </c>
      <c r="DC196" t="s">
        <v>3</v>
      </c>
      <c r="DD196" t="s">
        <v>3</v>
      </c>
      <c r="DE196" t="s">
        <v>3</v>
      </c>
      <c r="DF196" t="s">
        <v>3</v>
      </c>
      <c r="DG196" t="s">
        <v>211</v>
      </c>
      <c r="DH196" t="s">
        <v>3</v>
      </c>
      <c r="DI196" t="s">
        <v>211</v>
      </c>
      <c r="DJ196" t="s">
        <v>3</v>
      </c>
      <c r="DK196" t="s">
        <v>3</v>
      </c>
      <c r="DL196" t="s">
        <v>3</v>
      </c>
      <c r="DM196" t="s">
        <v>3</v>
      </c>
      <c r="DN196">
        <v>0</v>
      </c>
      <c r="DO196">
        <v>0</v>
      </c>
      <c r="DP196">
        <v>1</v>
      </c>
      <c r="DQ196">
        <v>1</v>
      </c>
      <c r="DU196">
        <v>1013</v>
      </c>
      <c r="DV196" t="s">
        <v>350</v>
      </c>
      <c r="DW196" t="s">
        <v>350</v>
      </c>
      <c r="DX196">
        <v>1</v>
      </c>
      <c r="EE196">
        <v>39174428</v>
      </c>
      <c r="EF196">
        <v>4</v>
      </c>
      <c r="EG196" t="s">
        <v>515</v>
      </c>
      <c r="EH196">
        <v>0</v>
      </c>
      <c r="EI196" t="s">
        <v>3</v>
      </c>
      <c r="EJ196">
        <v>4</v>
      </c>
      <c r="EK196">
        <v>200001</v>
      </c>
      <c r="EL196" t="s">
        <v>516</v>
      </c>
      <c r="EM196" t="s">
        <v>517</v>
      </c>
      <c r="EO196" t="s">
        <v>518</v>
      </c>
      <c r="EQ196">
        <v>0</v>
      </c>
      <c r="ER196">
        <v>15.62</v>
      </c>
      <c r="ES196">
        <v>0</v>
      </c>
      <c r="ET196">
        <v>0</v>
      </c>
      <c r="EU196">
        <v>0</v>
      </c>
      <c r="EV196">
        <v>15.62</v>
      </c>
      <c r="EW196">
        <v>1.22</v>
      </c>
      <c r="EX196">
        <v>0</v>
      </c>
      <c r="EY196">
        <v>0</v>
      </c>
      <c r="FQ196">
        <v>0</v>
      </c>
      <c r="FR196">
        <f t="shared" si="186"/>
        <v>0</v>
      </c>
      <c r="FS196">
        <v>0</v>
      </c>
      <c r="FX196">
        <v>65</v>
      </c>
      <c r="FY196">
        <v>40</v>
      </c>
      <c r="GA196" t="s">
        <v>3</v>
      </c>
      <c r="GD196">
        <v>0</v>
      </c>
      <c r="GF196">
        <v>-829332442</v>
      </c>
      <c r="GG196">
        <v>1</v>
      </c>
      <c r="GH196">
        <v>1</v>
      </c>
      <c r="GI196">
        <v>4</v>
      </c>
      <c r="GJ196">
        <v>0</v>
      </c>
      <c r="GK196">
        <f>ROUND(R196*(R12)/100,2)</f>
        <v>0</v>
      </c>
      <c r="GL196">
        <f t="shared" si="187"/>
        <v>0</v>
      </c>
      <c r="GM196">
        <f t="shared" si="188"/>
        <v>18838.23</v>
      </c>
      <c r="GN196">
        <f t="shared" si="189"/>
        <v>0</v>
      </c>
      <c r="GO196">
        <f t="shared" si="190"/>
        <v>0</v>
      </c>
      <c r="GP196">
        <f t="shared" si="191"/>
        <v>18838.23</v>
      </c>
      <c r="GR196">
        <v>0</v>
      </c>
      <c r="GS196">
        <v>3</v>
      </c>
      <c r="GT196">
        <v>0</v>
      </c>
      <c r="GU196" t="s">
        <v>3</v>
      </c>
      <c r="GV196">
        <f t="shared" si="192"/>
        <v>0</v>
      </c>
      <c r="GW196">
        <v>1</v>
      </c>
      <c r="GX196">
        <f t="shared" si="193"/>
        <v>0</v>
      </c>
      <c r="HA196">
        <v>0</v>
      </c>
      <c r="HB196">
        <v>0</v>
      </c>
      <c r="IK196">
        <v>0</v>
      </c>
    </row>
    <row r="197" spans="1:245" x14ac:dyDescent="0.2">
      <c r="A197">
        <v>17</v>
      </c>
      <c r="B197">
        <v>1</v>
      </c>
      <c r="C197">
        <f>ROW(SmtRes!A335)</f>
        <v>335</v>
      </c>
      <c r="D197">
        <f>ROW(EtalonRes!A319)</f>
        <v>319</v>
      </c>
      <c r="E197" t="s">
        <v>528</v>
      </c>
      <c r="F197" t="s">
        <v>529</v>
      </c>
      <c r="G197" t="s">
        <v>530</v>
      </c>
      <c r="H197" t="s">
        <v>531</v>
      </c>
      <c r="I197">
        <v>44</v>
      </c>
      <c r="J197">
        <v>0</v>
      </c>
      <c r="O197">
        <f t="shared" si="161"/>
        <v>22767.03</v>
      </c>
      <c r="P197">
        <f t="shared" si="162"/>
        <v>0</v>
      </c>
      <c r="Q197">
        <f t="shared" si="163"/>
        <v>0</v>
      </c>
      <c r="R197">
        <f t="shared" si="164"/>
        <v>0</v>
      </c>
      <c r="S197">
        <f t="shared" si="165"/>
        <v>22767.03</v>
      </c>
      <c r="T197">
        <f t="shared" si="166"/>
        <v>0</v>
      </c>
      <c r="U197">
        <f t="shared" si="167"/>
        <v>99.616000000000014</v>
      </c>
      <c r="V197">
        <f t="shared" si="168"/>
        <v>0</v>
      </c>
      <c r="W197">
        <f t="shared" si="169"/>
        <v>0</v>
      </c>
      <c r="X197">
        <f t="shared" si="170"/>
        <v>14798.57</v>
      </c>
      <c r="Y197">
        <f t="shared" si="171"/>
        <v>9106.81</v>
      </c>
      <c r="AA197">
        <v>39099382</v>
      </c>
      <c r="AB197">
        <f t="shared" si="172"/>
        <v>27.45</v>
      </c>
      <c r="AC197">
        <f t="shared" si="194"/>
        <v>0</v>
      </c>
      <c r="AD197">
        <f t="shared" si="195"/>
        <v>0</v>
      </c>
      <c r="AE197">
        <f>ROUND((EU197),2)</f>
        <v>0</v>
      </c>
      <c r="AF197">
        <f>ROUND(((EV197*0.8)),2)</f>
        <v>27.45</v>
      </c>
      <c r="AG197">
        <f t="shared" si="173"/>
        <v>0</v>
      </c>
      <c r="AH197">
        <f>((EW197*0.8))</f>
        <v>2.2640000000000002</v>
      </c>
      <c r="AI197">
        <f>(EX197)</f>
        <v>0</v>
      </c>
      <c r="AJ197">
        <f t="shared" si="174"/>
        <v>0</v>
      </c>
      <c r="AK197">
        <v>34.31</v>
      </c>
      <c r="AL197">
        <v>0</v>
      </c>
      <c r="AM197">
        <v>0</v>
      </c>
      <c r="AN197">
        <v>0</v>
      </c>
      <c r="AO197">
        <v>34.31</v>
      </c>
      <c r="AP197">
        <v>0</v>
      </c>
      <c r="AQ197">
        <v>2.83</v>
      </c>
      <c r="AR197">
        <v>0</v>
      </c>
      <c r="AS197">
        <v>0</v>
      </c>
      <c r="AT197">
        <v>65</v>
      </c>
      <c r="AU197">
        <v>40</v>
      </c>
      <c r="AV197">
        <v>1</v>
      </c>
      <c r="AW197">
        <v>1</v>
      </c>
      <c r="AZ197">
        <v>18.850000000000001</v>
      </c>
      <c r="BA197">
        <v>18.850000000000001</v>
      </c>
      <c r="BB197">
        <v>1</v>
      </c>
      <c r="BC197">
        <v>1</v>
      </c>
      <c r="BD197" t="s">
        <v>3</v>
      </c>
      <c r="BE197" t="s">
        <v>3</v>
      </c>
      <c r="BF197" t="s">
        <v>3</v>
      </c>
      <c r="BG197" t="s">
        <v>3</v>
      </c>
      <c r="BH197">
        <v>0</v>
      </c>
      <c r="BI197">
        <v>4</v>
      </c>
      <c r="BJ197" t="s">
        <v>532</v>
      </c>
      <c r="BM197">
        <v>200001</v>
      </c>
      <c r="BN197">
        <v>0</v>
      </c>
      <c r="BO197" t="s">
        <v>3</v>
      </c>
      <c r="BP197">
        <v>0</v>
      </c>
      <c r="BQ197">
        <v>4</v>
      </c>
      <c r="BR197">
        <v>0</v>
      </c>
      <c r="BS197">
        <v>1</v>
      </c>
      <c r="BT197">
        <v>1</v>
      </c>
      <c r="BU197">
        <v>1</v>
      </c>
      <c r="BV197">
        <v>1</v>
      </c>
      <c r="BW197">
        <v>1</v>
      </c>
      <c r="BX197">
        <v>1</v>
      </c>
      <c r="BY197" t="s">
        <v>3</v>
      </c>
      <c r="BZ197">
        <v>65</v>
      </c>
      <c r="CA197">
        <v>40</v>
      </c>
      <c r="CF197">
        <v>0</v>
      </c>
      <c r="CG197">
        <v>0</v>
      </c>
      <c r="CM197">
        <v>0</v>
      </c>
      <c r="CN197" t="s">
        <v>514</v>
      </c>
      <c r="CO197">
        <v>0</v>
      </c>
      <c r="CP197">
        <f t="shared" si="175"/>
        <v>22767.03</v>
      </c>
      <c r="CQ197">
        <f t="shared" si="176"/>
        <v>0</v>
      </c>
      <c r="CR197">
        <f t="shared" si="177"/>
        <v>0</v>
      </c>
      <c r="CS197">
        <f t="shared" si="178"/>
        <v>0</v>
      </c>
      <c r="CT197">
        <f t="shared" si="179"/>
        <v>517.4325</v>
      </c>
      <c r="CU197">
        <f t="shared" si="180"/>
        <v>0</v>
      </c>
      <c r="CV197">
        <f t="shared" si="181"/>
        <v>2.2640000000000002</v>
      </c>
      <c r="CW197">
        <f t="shared" si="182"/>
        <v>0</v>
      </c>
      <c r="CX197">
        <f t="shared" si="183"/>
        <v>0</v>
      </c>
      <c r="CY197">
        <f t="shared" si="184"/>
        <v>14798.5695</v>
      </c>
      <c r="CZ197">
        <f t="shared" si="185"/>
        <v>9106.8119999999999</v>
      </c>
      <c r="DC197" t="s">
        <v>3</v>
      </c>
      <c r="DD197" t="s">
        <v>3</v>
      </c>
      <c r="DE197" t="s">
        <v>3</v>
      </c>
      <c r="DF197" t="s">
        <v>3</v>
      </c>
      <c r="DG197" t="s">
        <v>211</v>
      </c>
      <c r="DH197" t="s">
        <v>3</v>
      </c>
      <c r="DI197" t="s">
        <v>211</v>
      </c>
      <c r="DJ197" t="s">
        <v>3</v>
      </c>
      <c r="DK197" t="s">
        <v>3</v>
      </c>
      <c r="DL197" t="s">
        <v>3</v>
      </c>
      <c r="DM197" t="s">
        <v>3</v>
      </c>
      <c r="DN197">
        <v>0</v>
      </c>
      <c r="DO197">
        <v>0</v>
      </c>
      <c r="DP197">
        <v>1</v>
      </c>
      <c r="DQ197">
        <v>1</v>
      </c>
      <c r="DU197">
        <v>1013</v>
      </c>
      <c r="DV197" t="s">
        <v>531</v>
      </c>
      <c r="DW197" t="s">
        <v>531</v>
      </c>
      <c r="DX197">
        <v>1</v>
      </c>
      <c r="EE197">
        <v>39174428</v>
      </c>
      <c r="EF197">
        <v>4</v>
      </c>
      <c r="EG197" t="s">
        <v>515</v>
      </c>
      <c r="EH197">
        <v>0</v>
      </c>
      <c r="EI197" t="s">
        <v>3</v>
      </c>
      <c r="EJ197">
        <v>4</v>
      </c>
      <c r="EK197">
        <v>200001</v>
      </c>
      <c r="EL197" t="s">
        <v>516</v>
      </c>
      <c r="EM197" t="s">
        <v>517</v>
      </c>
      <c r="EO197" t="s">
        <v>518</v>
      </c>
      <c r="EQ197">
        <v>0</v>
      </c>
      <c r="ER197">
        <v>34.31</v>
      </c>
      <c r="ES197">
        <v>0</v>
      </c>
      <c r="ET197">
        <v>0</v>
      </c>
      <c r="EU197">
        <v>0</v>
      </c>
      <c r="EV197">
        <v>34.31</v>
      </c>
      <c r="EW197">
        <v>2.83</v>
      </c>
      <c r="EX197">
        <v>0</v>
      </c>
      <c r="EY197">
        <v>0</v>
      </c>
      <c r="FQ197">
        <v>0</v>
      </c>
      <c r="FR197">
        <f t="shared" si="186"/>
        <v>0</v>
      </c>
      <c r="FS197">
        <v>0</v>
      </c>
      <c r="FX197">
        <v>65</v>
      </c>
      <c r="FY197">
        <v>40</v>
      </c>
      <c r="GA197" t="s">
        <v>3</v>
      </c>
      <c r="GD197">
        <v>0</v>
      </c>
      <c r="GF197">
        <v>-181593394</v>
      </c>
      <c r="GG197">
        <v>1</v>
      </c>
      <c r="GH197">
        <v>1</v>
      </c>
      <c r="GI197">
        <v>4</v>
      </c>
      <c r="GJ197">
        <v>0</v>
      </c>
      <c r="GK197">
        <f>ROUND(R197*(R12)/100,2)</f>
        <v>0</v>
      </c>
      <c r="GL197">
        <f t="shared" si="187"/>
        <v>0</v>
      </c>
      <c r="GM197">
        <f t="shared" si="188"/>
        <v>46672.41</v>
      </c>
      <c r="GN197">
        <f t="shared" si="189"/>
        <v>0</v>
      </c>
      <c r="GO197">
        <f t="shared" si="190"/>
        <v>0</v>
      </c>
      <c r="GP197">
        <f t="shared" si="191"/>
        <v>46672.41</v>
      </c>
      <c r="GR197">
        <v>0</v>
      </c>
      <c r="GS197">
        <v>3</v>
      </c>
      <c r="GT197">
        <v>0</v>
      </c>
      <c r="GU197" t="s">
        <v>3</v>
      </c>
      <c r="GV197">
        <f t="shared" si="192"/>
        <v>0</v>
      </c>
      <c r="GW197">
        <v>1</v>
      </c>
      <c r="GX197">
        <f t="shared" si="193"/>
        <v>0</v>
      </c>
      <c r="HA197">
        <v>0</v>
      </c>
      <c r="HB197">
        <v>0</v>
      </c>
      <c r="IK197">
        <v>0</v>
      </c>
    </row>
    <row r="199" spans="1:245" x14ac:dyDescent="0.2">
      <c r="A199" s="2">
        <v>51</v>
      </c>
      <c r="B199" s="2">
        <f>B156</f>
        <v>1</v>
      </c>
      <c r="C199" s="2">
        <f>A156</f>
        <v>4</v>
      </c>
      <c r="D199" s="2">
        <f>ROW(A156)</f>
        <v>156</v>
      </c>
      <c r="E199" s="2"/>
      <c r="F199" s="2" t="str">
        <f>IF(F156&lt;&gt;"",F156,"")</f>
        <v>Новый раздел</v>
      </c>
      <c r="G199" s="2" t="str">
        <f>IF(G156&lt;&gt;"",G156,"")</f>
        <v>3 Электромонтажные работы</v>
      </c>
      <c r="H199" s="2">
        <v>0</v>
      </c>
      <c r="I199" s="2"/>
      <c r="J199" s="2"/>
      <c r="K199" s="2"/>
      <c r="L199" s="2"/>
      <c r="M199" s="2"/>
      <c r="N199" s="2"/>
      <c r="O199" s="2">
        <f t="shared" ref="O199:T199" si="200">ROUND(AB199,2)</f>
        <v>711553.49</v>
      </c>
      <c r="P199" s="2">
        <f t="shared" si="200"/>
        <v>640728.06999999995</v>
      </c>
      <c r="Q199" s="2">
        <f t="shared" si="200"/>
        <v>2657.9</v>
      </c>
      <c r="R199" s="2">
        <f t="shared" si="200"/>
        <v>324.61</v>
      </c>
      <c r="S199" s="2">
        <f t="shared" si="200"/>
        <v>68167.520000000004</v>
      </c>
      <c r="T199" s="2">
        <f t="shared" si="200"/>
        <v>0</v>
      </c>
      <c r="U199" s="2">
        <f>AH199</f>
        <v>677.7841699999999</v>
      </c>
      <c r="V199" s="2">
        <f>AI199</f>
        <v>3.95499</v>
      </c>
      <c r="W199" s="2">
        <f>ROUND(AJ199,2)</f>
        <v>0</v>
      </c>
      <c r="X199" s="2">
        <f>ROUND(AK199,2)</f>
        <v>53965.32</v>
      </c>
      <c r="Y199" s="2">
        <f>ROUND(AL199,2)</f>
        <v>35540.17</v>
      </c>
      <c r="Z199" s="2"/>
      <c r="AA199" s="2"/>
      <c r="AB199" s="2">
        <f>ROUND(SUMIF(AA160:AA197,"=39099382",O160:O197),2)</f>
        <v>711553.49</v>
      </c>
      <c r="AC199" s="2">
        <f>ROUND(SUMIF(AA160:AA197,"=39099382",P160:P197),2)</f>
        <v>640728.06999999995</v>
      </c>
      <c r="AD199" s="2">
        <f>ROUND(SUMIF(AA160:AA197,"=39099382",Q160:Q197),2)</f>
        <v>2657.9</v>
      </c>
      <c r="AE199" s="2">
        <f>ROUND(SUMIF(AA160:AA197,"=39099382",R160:R197),2)</f>
        <v>324.61</v>
      </c>
      <c r="AF199" s="2">
        <f>ROUND(SUMIF(AA160:AA197,"=39099382",S160:S197),2)</f>
        <v>68167.520000000004</v>
      </c>
      <c r="AG199" s="2">
        <f>ROUND(SUMIF(AA160:AA197,"=39099382",T160:T197),2)</f>
        <v>0</v>
      </c>
      <c r="AH199" s="2">
        <f>SUMIF(AA160:AA197,"=39099382",U160:U197)</f>
        <v>677.7841699999999</v>
      </c>
      <c r="AI199" s="2">
        <f>SUMIF(AA160:AA197,"=39099382",V160:V197)</f>
        <v>3.95499</v>
      </c>
      <c r="AJ199" s="2">
        <f>ROUND(SUMIF(AA160:AA197,"=39099382",W160:W197),2)</f>
        <v>0</v>
      </c>
      <c r="AK199" s="2">
        <f>ROUND(SUMIF(AA160:AA197,"=39099382",X160:X197),2)</f>
        <v>53965.32</v>
      </c>
      <c r="AL199" s="2">
        <f>ROUND(SUMIF(AA160:AA197,"=39099382",Y160:Y197),2)</f>
        <v>35540.17</v>
      </c>
      <c r="AM199" s="2"/>
      <c r="AN199" s="2"/>
      <c r="AO199" s="2">
        <f t="shared" ref="AO199:BC199" si="201">ROUND(BX199,2)</f>
        <v>0</v>
      </c>
      <c r="AP199" s="2">
        <f t="shared" si="201"/>
        <v>0</v>
      </c>
      <c r="AQ199" s="2">
        <f t="shared" si="201"/>
        <v>0</v>
      </c>
      <c r="AR199" s="2">
        <f t="shared" si="201"/>
        <v>801058.98</v>
      </c>
      <c r="AS199" s="2">
        <f t="shared" si="201"/>
        <v>1819.82</v>
      </c>
      <c r="AT199" s="2">
        <f t="shared" si="201"/>
        <v>727792.52</v>
      </c>
      <c r="AU199" s="2">
        <f t="shared" si="201"/>
        <v>71446.64</v>
      </c>
      <c r="AV199" s="2">
        <f t="shared" si="201"/>
        <v>640728.06999999995</v>
      </c>
      <c r="AW199" s="2">
        <f t="shared" si="201"/>
        <v>640728.06999999995</v>
      </c>
      <c r="AX199" s="2">
        <f t="shared" si="201"/>
        <v>0</v>
      </c>
      <c r="AY199" s="2">
        <f t="shared" si="201"/>
        <v>640728.06999999995</v>
      </c>
      <c r="AZ199" s="2">
        <f t="shared" si="201"/>
        <v>0</v>
      </c>
      <c r="BA199" s="2">
        <f t="shared" si="201"/>
        <v>0</v>
      </c>
      <c r="BB199" s="2">
        <f t="shared" si="201"/>
        <v>0</v>
      </c>
      <c r="BC199" s="2">
        <f t="shared" si="201"/>
        <v>0</v>
      </c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>
        <f>ROUND(SUMIF(AA160:AA197,"=39099382",FQ160:FQ197),2)</f>
        <v>0</v>
      </c>
      <c r="BY199" s="2">
        <f>ROUND(SUMIF(AA160:AA197,"=39099382",FR160:FR197),2)</f>
        <v>0</v>
      </c>
      <c r="BZ199" s="2">
        <f>ROUND(SUMIF(AA160:AA197,"=39099382",GL160:GL197),2)</f>
        <v>0</v>
      </c>
      <c r="CA199" s="2">
        <f>ROUND(SUMIF(AA160:AA197,"=39099382",GM160:GM197),2)</f>
        <v>801058.98</v>
      </c>
      <c r="CB199" s="2">
        <f>ROUND(SUMIF(AA160:AA197,"=39099382",GN160:GN197),2)</f>
        <v>1819.82</v>
      </c>
      <c r="CC199" s="2">
        <f>ROUND(SUMIF(AA160:AA197,"=39099382",GO160:GO197),2)</f>
        <v>727792.52</v>
      </c>
      <c r="CD199" s="2">
        <f>ROUND(SUMIF(AA160:AA197,"=39099382",GP160:GP197),2)</f>
        <v>71446.64</v>
      </c>
      <c r="CE199" s="2">
        <f>AC199-BX199</f>
        <v>640728.06999999995</v>
      </c>
      <c r="CF199" s="2">
        <f>AC199-BY199</f>
        <v>640728.06999999995</v>
      </c>
      <c r="CG199" s="2">
        <f>BX199-BZ199</f>
        <v>0</v>
      </c>
      <c r="CH199" s="2">
        <f>AC199-BX199-BY199+BZ199</f>
        <v>640728.06999999995</v>
      </c>
      <c r="CI199" s="2">
        <f>BY199-BZ199</f>
        <v>0</v>
      </c>
      <c r="CJ199" s="2">
        <f>ROUND(SUMIF(AA160:AA197,"=39099382",GX160:GX197),2)</f>
        <v>0</v>
      </c>
      <c r="CK199" s="2">
        <f>ROUND(SUMIF(AA160:AA197,"=39099382",GY160:GY197),2)</f>
        <v>0</v>
      </c>
      <c r="CL199" s="2">
        <f>ROUND(SUMIF(AA160:AA197,"=39099382",GZ160:GZ197),2)</f>
        <v>0</v>
      </c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  <c r="DZ199" s="3"/>
      <c r="EA199" s="3"/>
      <c r="EB199" s="3"/>
      <c r="EC199" s="3"/>
      <c r="ED199" s="3"/>
      <c r="EE199" s="3"/>
      <c r="EF199" s="3"/>
      <c r="EG199" s="3"/>
      <c r="EH199" s="3"/>
      <c r="EI199" s="3"/>
      <c r="EJ199" s="3"/>
      <c r="EK199" s="3"/>
      <c r="EL199" s="3"/>
      <c r="EM199" s="3"/>
      <c r="EN199" s="3"/>
      <c r="EO199" s="3"/>
      <c r="EP199" s="3"/>
      <c r="EQ199" s="3"/>
      <c r="ER199" s="3"/>
      <c r="ES199" s="3"/>
      <c r="ET199" s="3"/>
      <c r="EU199" s="3"/>
      <c r="EV199" s="3"/>
      <c r="EW199" s="3"/>
      <c r="EX199" s="3"/>
      <c r="EY199" s="3"/>
      <c r="EZ199" s="3"/>
      <c r="FA199" s="3"/>
      <c r="FB199" s="3"/>
      <c r="FC199" s="3"/>
      <c r="FD199" s="3"/>
      <c r="FE199" s="3"/>
      <c r="FF199" s="3"/>
      <c r="FG199" s="3"/>
      <c r="FH199" s="3"/>
      <c r="FI199" s="3"/>
      <c r="FJ199" s="3"/>
      <c r="FK199" s="3"/>
      <c r="FL199" s="3"/>
      <c r="FM199" s="3"/>
      <c r="FN199" s="3"/>
      <c r="FO199" s="3"/>
      <c r="FP199" s="3"/>
      <c r="FQ199" s="3"/>
      <c r="FR199" s="3"/>
      <c r="FS199" s="3"/>
      <c r="FT199" s="3"/>
      <c r="FU199" s="3"/>
      <c r="FV199" s="3"/>
      <c r="FW199" s="3"/>
      <c r="FX199" s="3"/>
      <c r="FY199" s="3"/>
      <c r="FZ199" s="3"/>
      <c r="GA199" s="3"/>
      <c r="GB199" s="3"/>
      <c r="GC199" s="3"/>
      <c r="GD199" s="3"/>
      <c r="GE199" s="3"/>
      <c r="GF199" s="3"/>
      <c r="GG199" s="3"/>
      <c r="GH199" s="3"/>
      <c r="GI199" s="3"/>
      <c r="GJ199" s="3"/>
      <c r="GK199" s="3"/>
      <c r="GL199" s="3"/>
      <c r="GM199" s="3"/>
      <c r="GN199" s="3"/>
      <c r="GO199" s="3"/>
      <c r="GP199" s="3"/>
      <c r="GQ199" s="3"/>
      <c r="GR199" s="3"/>
      <c r="GS199" s="3"/>
      <c r="GT199" s="3"/>
      <c r="GU199" s="3"/>
      <c r="GV199" s="3"/>
      <c r="GW199" s="3"/>
      <c r="GX199" s="3">
        <v>0</v>
      </c>
    </row>
    <row r="201" spans="1:245" x14ac:dyDescent="0.2">
      <c r="A201" s="4">
        <v>50</v>
      </c>
      <c r="B201" s="4">
        <v>0</v>
      </c>
      <c r="C201" s="4">
        <v>0</v>
      </c>
      <c r="D201" s="4">
        <v>1</v>
      </c>
      <c r="E201" s="4">
        <v>201</v>
      </c>
      <c r="F201" s="4">
        <f>ROUND(Source!O199,O201)</f>
        <v>711553.49</v>
      </c>
      <c r="G201" s="4" t="s">
        <v>263</v>
      </c>
      <c r="H201" s="4" t="s">
        <v>264</v>
      </c>
      <c r="I201" s="4"/>
      <c r="J201" s="4"/>
      <c r="K201" s="4">
        <v>201</v>
      </c>
      <c r="L201" s="4">
        <v>1</v>
      </c>
      <c r="M201" s="4">
        <v>3</v>
      </c>
      <c r="N201" s="4" t="s">
        <v>3</v>
      </c>
      <c r="O201" s="4">
        <v>2</v>
      </c>
      <c r="P201" s="4"/>
      <c r="Q201" s="4"/>
      <c r="R201" s="4"/>
      <c r="S201" s="4"/>
      <c r="T201" s="4"/>
      <c r="U201" s="4"/>
      <c r="V201" s="4"/>
      <c r="W201" s="4"/>
    </row>
    <row r="202" spans="1:245" x14ac:dyDescent="0.2">
      <c r="A202" s="4">
        <v>50</v>
      </c>
      <c r="B202" s="4">
        <v>0</v>
      </c>
      <c r="C202" s="4">
        <v>0</v>
      </c>
      <c r="D202" s="4">
        <v>1</v>
      </c>
      <c r="E202" s="4">
        <v>202</v>
      </c>
      <c r="F202" s="4">
        <f>ROUND(Source!P199,O202)</f>
        <v>640728.06999999995</v>
      </c>
      <c r="G202" s="4" t="s">
        <v>265</v>
      </c>
      <c r="H202" s="4" t="s">
        <v>266</v>
      </c>
      <c r="I202" s="4"/>
      <c r="J202" s="4"/>
      <c r="K202" s="4">
        <v>202</v>
      </c>
      <c r="L202" s="4">
        <v>2</v>
      </c>
      <c r="M202" s="4">
        <v>3</v>
      </c>
      <c r="N202" s="4" t="s">
        <v>3</v>
      </c>
      <c r="O202" s="4">
        <v>2</v>
      </c>
      <c r="P202" s="4"/>
      <c r="Q202" s="4"/>
      <c r="R202" s="4"/>
      <c r="S202" s="4"/>
      <c r="T202" s="4"/>
      <c r="U202" s="4"/>
      <c r="V202" s="4"/>
      <c r="W202" s="4"/>
    </row>
    <row r="203" spans="1:245" x14ac:dyDescent="0.2">
      <c r="A203" s="4">
        <v>50</v>
      </c>
      <c r="B203" s="4">
        <v>0</v>
      </c>
      <c r="C203" s="4">
        <v>0</v>
      </c>
      <c r="D203" s="4">
        <v>1</v>
      </c>
      <c r="E203" s="4">
        <v>222</v>
      </c>
      <c r="F203" s="4">
        <f>ROUND(Source!AO199,O203)</f>
        <v>0</v>
      </c>
      <c r="G203" s="4" t="s">
        <v>267</v>
      </c>
      <c r="H203" s="4" t="s">
        <v>268</v>
      </c>
      <c r="I203" s="4"/>
      <c r="J203" s="4"/>
      <c r="K203" s="4">
        <v>222</v>
      </c>
      <c r="L203" s="4">
        <v>3</v>
      </c>
      <c r="M203" s="4">
        <v>3</v>
      </c>
      <c r="N203" s="4" t="s">
        <v>3</v>
      </c>
      <c r="O203" s="4">
        <v>2</v>
      </c>
      <c r="P203" s="4"/>
      <c r="Q203" s="4"/>
      <c r="R203" s="4"/>
      <c r="S203" s="4"/>
      <c r="T203" s="4"/>
      <c r="U203" s="4"/>
      <c r="V203" s="4"/>
      <c r="W203" s="4"/>
    </row>
    <row r="204" spans="1:245" x14ac:dyDescent="0.2">
      <c r="A204" s="4">
        <v>50</v>
      </c>
      <c r="B204" s="4">
        <v>0</v>
      </c>
      <c r="C204" s="4">
        <v>0</v>
      </c>
      <c r="D204" s="4">
        <v>1</v>
      </c>
      <c r="E204" s="4">
        <v>225</v>
      </c>
      <c r="F204" s="4">
        <f>ROUND(Source!AV199,O204)</f>
        <v>640728.06999999995</v>
      </c>
      <c r="G204" s="4" t="s">
        <v>269</v>
      </c>
      <c r="H204" s="4" t="s">
        <v>270</v>
      </c>
      <c r="I204" s="4"/>
      <c r="J204" s="4"/>
      <c r="K204" s="4">
        <v>225</v>
      </c>
      <c r="L204" s="4">
        <v>4</v>
      </c>
      <c r="M204" s="4">
        <v>3</v>
      </c>
      <c r="N204" s="4" t="s">
        <v>3</v>
      </c>
      <c r="O204" s="4">
        <v>2</v>
      </c>
      <c r="P204" s="4"/>
      <c r="Q204" s="4"/>
      <c r="R204" s="4"/>
      <c r="S204" s="4"/>
      <c r="T204" s="4"/>
      <c r="U204" s="4"/>
      <c r="V204" s="4"/>
      <c r="W204" s="4"/>
    </row>
    <row r="205" spans="1:245" x14ac:dyDescent="0.2">
      <c r="A205" s="4">
        <v>50</v>
      </c>
      <c r="B205" s="4">
        <v>0</v>
      </c>
      <c r="C205" s="4">
        <v>0</v>
      </c>
      <c r="D205" s="4">
        <v>1</v>
      </c>
      <c r="E205" s="4">
        <v>226</v>
      </c>
      <c r="F205" s="4">
        <f>ROUND(Source!AW199,O205)</f>
        <v>640728.06999999995</v>
      </c>
      <c r="G205" s="4" t="s">
        <v>271</v>
      </c>
      <c r="H205" s="4" t="s">
        <v>272</v>
      </c>
      <c r="I205" s="4"/>
      <c r="J205" s="4"/>
      <c r="K205" s="4">
        <v>226</v>
      </c>
      <c r="L205" s="4">
        <v>5</v>
      </c>
      <c r="M205" s="4">
        <v>3</v>
      </c>
      <c r="N205" s="4" t="s">
        <v>3</v>
      </c>
      <c r="O205" s="4">
        <v>2</v>
      </c>
      <c r="P205" s="4"/>
      <c r="Q205" s="4"/>
      <c r="R205" s="4"/>
      <c r="S205" s="4"/>
      <c r="T205" s="4"/>
      <c r="U205" s="4"/>
      <c r="V205" s="4"/>
      <c r="W205" s="4"/>
    </row>
    <row r="206" spans="1:245" x14ac:dyDescent="0.2">
      <c r="A206" s="4">
        <v>50</v>
      </c>
      <c r="B206" s="4">
        <v>0</v>
      </c>
      <c r="C206" s="4">
        <v>0</v>
      </c>
      <c r="D206" s="4">
        <v>1</v>
      </c>
      <c r="E206" s="4">
        <v>227</v>
      </c>
      <c r="F206" s="4">
        <f>ROUND(Source!AX199,O206)</f>
        <v>0</v>
      </c>
      <c r="G206" s="4" t="s">
        <v>273</v>
      </c>
      <c r="H206" s="4" t="s">
        <v>274</v>
      </c>
      <c r="I206" s="4"/>
      <c r="J206" s="4"/>
      <c r="K206" s="4">
        <v>227</v>
      </c>
      <c r="L206" s="4">
        <v>6</v>
      </c>
      <c r="M206" s="4">
        <v>3</v>
      </c>
      <c r="N206" s="4" t="s">
        <v>3</v>
      </c>
      <c r="O206" s="4">
        <v>2</v>
      </c>
      <c r="P206" s="4"/>
      <c r="Q206" s="4"/>
      <c r="R206" s="4"/>
      <c r="S206" s="4"/>
      <c r="T206" s="4"/>
      <c r="U206" s="4"/>
      <c r="V206" s="4"/>
      <c r="W206" s="4"/>
    </row>
    <row r="207" spans="1:245" x14ac:dyDescent="0.2">
      <c r="A207" s="4">
        <v>50</v>
      </c>
      <c r="B207" s="4">
        <v>0</v>
      </c>
      <c r="C207" s="4">
        <v>0</v>
      </c>
      <c r="D207" s="4">
        <v>1</v>
      </c>
      <c r="E207" s="4">
        <v>228</v>
      </c>
      <c r="F207" s="4">
        <f>ROUND(Source!AY199,O207)</f>
        <v>640728.06999999995</v>
      </c>
      <c r="G207" s="4" t="s">
        <v>275</v>
      </c>
      <c r="H207" s="4" t="s">
        <v>276</v>
      </c>
      <c r="I207" s="4"/>
      <c r="J207" s="4"/>
      <c r="K207" s="4">
        <v>228</v>
      </c>
      <c r="L207" s="4">
        <v>7</v>
      </c>
      <c r="M207" s="4">
        <v>3</v>
      </c>
      <c r="N207" s="4" t="s">
        <v>3</v>
      </c>
      <c r="O207" s="4">
        <v>2</v>
      </c>
      <c r="P207" s="4"/>
      <c r="Q207" s="4"/>
      <c r="R207" s="4"/>
      <c r="S207" s="4"/>
      <c r="T207" s="4"/>
      <c r="U207" s="4"/>
      <c r="V207" s="4"/>
      <c r="W207" s="4"/>
    </row>
    <row r="208" spans="1:245" x14ac:dyDescent="0.2">
      <c r="A208" s="4">
        <v>50</v>
      </c>
      <c r="B208" s="4">
        <v>0</v>
      </c>
      <c r="C208" s="4">
        <v>0</v>
      </c>
      <c r="D208" s="4">
        <v>1</v>
      </c>
      <c r="E208" s="4">
        <v>216</v>
      </c>
      <c r="F208" s="4">
        <f>ROUND(Source!AP199,O208)</f>
        <v>0</v>
      </c>
      <c r="G208" s="4" t="s">
        <v>277</v>
      </c>
      <c r="H208" s="4" t="s">
        <v>278</v>
      </c>
      <c r="I208" s="4"/>
      <c r="J208" s="4"/>
      <c r="K208" s="4">
        <v>216</v>
      </c>
      <c r="L208" s="4">
        <v>8</v>
      </c>
      <c r="M208" s="4">
        <v>3</v>
      </c>
      <c r="N208" s="4" t="s">
        <v>3</v>
      </c>
      <c r="O208" s="4">
        <v>2</v>
      </c>
      <c r="P208" s="4"/>
      <c r="Q208" s="4"/>
      <c r="R208" s="4"/>
      <c r="S208" s="4"/>
      <c r="T208" s="4"/>
      <c r="U208" s="4"/>
      <c r="V208" s="4"/>
      <c r="W208" s="4"/>
    </row>
    <row r="209" spans="1:23" x14ac:dyDescent="0.2">
      <c r="A209" s="4">
        <v>50</v>
      </c>
      <c r="B209" s="4">
        <v>0</v>
      </c>
      <c r="C209" s="4">
        <v>0</v>
      </c>
      <c r="D209" s="4">
        <v>1</v>
      </c>
      <c r="E209" s="4">
        <v>223</v>
      </c>
      <c r="F209" s="4">
        <f>ROUND(Source!AQ199,O209)</f>
        <v>0</v>
      </c>
      <c r="G209" s="4" t="s">
        <v>279</v>
      </c>
      <c r="H209" s="4" t="s">
        <v>280</v>
      </c>
      <c r="I209" s="4"/>
      <c r="J209" s="4"/>
      <c r="K209" s="4">
        <v>223</v>
      </c>
      <c r="L209" s="4">
        <v>9</v>
      </c>
      <c r="M209" s="4">
        <v>3</v>
      </c>
      <c r="N209" s="4" t="s">
        <v>3</v>
      </c>
      <c r="O209" s="4">
        <v>2</v>
      </c>
      <c r="P209" s="4"/>
      <c r="Q209" s="4"/>
      <c r="R209" s="4"/>
      <c r="S209" s="4"/>
      <c r="T209" s="4"/>
      <c r="U209" s="4"/>
      <c r="V209" s="4"/>
      <c r="W209" s="4"/>
    </row>
    <row r="210" spans="1:23" x14ac:dyDescent="0.2">
      <c r="A210" s="4">
        <v>50</v>
      </c>
      <c r="B210" s="4">
        <v>0</v>
      </c>
      <c r="C210" s="4">
        <v>0</v>
      </c>
      <c r="D210" s="4">
        <v>1</v>
      </c>
      <c r="E210" s="4">
        <v>229</v>
      </c>
      <c r="F210" s="4">
        <f>ROUND(Source!AZ199,O210)</f>
        <v>0</v>
      </c>
      <c r="G210" s="4" t="s">
        <v>281</v>
      </c>
      <c r="H210" s="4" t="s">
        <v>282</v>
      </c>
      <c r="I210" s="4"/>
      <c r="J210" s="4"/>
      <c r="K210" s="4">
        <v>229</v>
      </c>
      <c r="L210" s="4">
        <v>10</v>
      </c>
      <c r="M210" s="4">
        <v>3</v>
      </c>
      <c r="N210" s="4" t="s">
        <v>3</v>
      </c>
      <c r="O210" s="4">
        <v>2</v>
      </c>
      <c r="P210" s="4"/>
      <c r="Q210" s="4"/>
      <c r="R210" s="4"/>
      <c r="S210" s="4"/>
      <c r="T210" s="4"/>
      <c r="U210" s="4"/>
      <c r="V210" s="4"/>
      <c r="W210" s="4"/>
    </row>
    <row r="211" spans="1:23" x14ac:dyDescent="0.2">
      <c r="A211" s="4">
        <v>50</v>
      </c>
      <c r="B211" s="4">
        <v>0</v>
      </c>
      <c r="C211" s="4">
        <v>0</v>
      </c>
      <c r="D211" s="4">
        <v>1</v>
      </c>
      <c r="E211" s="4">
        <v>203</v>
      </c>
      <c r="F211" s="4">
        <f>ROUND(Source!Q199,O211)</f>
        <v>2657.9</v>
      </c>
      <c r="G211" s="4" t="s">
        <v>283</v>
      </c>
      <c r="H211" s="4" t="s">
        <v>284</v>
      </c>
      <c r="I211" s="4"/>
      <c r="J211" s="4"/>
      <c r="K211" s="4">
        <v>203</v>
      </c>
      <c r="L211" s="4">
        <v>11</v>
      </c>
      <c r="M211" s="4">
        <v>3</v>
      </c>
      <c r="N211" s="4" t="s">
        <v>3</v>
      </c>
      <c r="O211" s="4">
        <v>2</v>
      </c>
      <c r="P211" s="4"/>
      <c r="Q211" s="4"/>
      <c r="R211" s="4"/>
      <c r="S211" s="4"/>
      <c r="T211" s="4"/>
      <c r="U211" s="4"/>
      <c r="V211" s="4"/>
      <c r="W211" s="4"/>
    </row>
    <row r="212" spans="1:23" x14ac:dyDescent="0.2">
      <c r="A212" s="4">
        <v>50</v>
      </c>
      <c r="B212" s="4">
        <v>0</v>
      </c>
      <c r="C212" s="4">
        <v>0</v>
      </c>
      <c r="D212" s="4">
        <v>1</v>
      </c>
      <c r="E212" s="4">
        <v>231</v>
      </c>
      <c r="F212" s="4">
        <f>ROUND(Source!BB199,O212)</f>
        <v>0</v>
      </c>
      <c r="G212" s="4" t="s">
        <v>285</v>
      </c>
      <c r="H212" s="4" t="s">
        <v>286</v>
      </c>
      <c r="I212" s="4"/>
      <c r="J212" s="4"/>
      <c r="K212" s="4">
        <v>231</v>
      </c>
      <c r="L212" s="4">
        <v>12</v>
      </c>
      <c r="M212" s="4">
        <v>3</v>
      </c>
      <c r="N212" s="4" t="s">
        <v>3</v>
      </c>
      <c r="O212" s="4">
        <v>2</v>
      </c>
      <c r="P212" s="4"/>
      <c r="Q212" s="4"/>
      <c r="R212" s="4"/>
      <c r="S212" s="4"/>
      <c r="T212" s="4"/>
      <c r="U212" s="4"/>
      <c r="V212" s="4"/>
      <c r="W212" s="4"/>
    </row>
    <row r="213" spans="1:23" x14ac:dyDescent="0.2">
      <c r="A213" s="4">
        <v>50</v>
      </c>
      <c r="B213" s="4">
        <v>0</v>
      </c>
      <c r="C213" s="4">
        <v>0</v>
      </c>
      <c r="D213" s="4">
        <v>1</v>
      </c>
      <c r="E213" s="4">
        <v>204</v>
      </c>
      <c r="F213" s="4">
        <f>ROUND(Source!R199,O213)</f>
        <v>324.61</v>
      </c>
      <c r="G213" s="4" t="s">
        <v>287</v>
      </c>
      <c r="H213" s="4" t="s">
        <v>288</v>
      </c>
      <c r="I213" s="4"/>
      <c r="J213" s="4"/>
      <c r="K213" s="4">
        <v>204</v>
      </c>
      <c r="L213" s="4">
        <v>13</v>
      </c>
      <c r="M213" s="4">
        <v>3</v>
      </c>
      <c r="N213" s="4" t="s">
        <v>3</v>
      </c>
      <c r="O213" s="4">
        <v>2</v>
      </c>
      <c r="P213" s="4"/>
      <c r="Q213" s="4"/>
      <c r="R213" s="4"/>
      <c r="S213" s="4"/>
      <c r="T213" s="4"/>
      <c r="U213" s="4"/>
      <c r="V213" s="4"/>
      <c r="W213" s="4"/>
    </row>
    <row r="214" spans="1:23" x14ac:dyDescent="0.2">
      <c r="A214" s="4">
        <v>50</v>
      </c>
      <c r="B214" s="4">
        <v>0</v>
      </c>
      <c r="C214" s="4">
        <v>0</v>
      </c>
      <c r="D214" s="4">
        <v>1</v>
      </c>
      <c r="E214" s="4">
        <v>205</v>
      </c>
      <c r="F214" s="4">
        <f>ROUND(Source!S199,O214)</f>
        <v>68167.520000000004</v>
      </c>
      <c r="G214" s="4" t="s">
        <v>289</v>
      </c>
      <c r="H214" s="4" t="s">
        <v>290</v>
      </c>
      <c r="I214" s="4"/>
      <c r="J214" s="4"/>
      <c r="K214" s="4">
        <v>205</v>
      </c>
      <c r="L214" s="4">
        <v>14</v>
      </c>
      <c r="M214" s="4">
        <v>3</v>
      </c>
      <c r="N214" s="4" t="s">
        <v>3</v>
      </c>
      <c r="O214" s="4">
        <v>2</v>
      </c>
      <c r="P214" s="4"/>
      <c r="Q214" s="4"/>
      <c r="R214" s="4"/>
      <c r="S214" s="4"/>
      <c r="T214" s="4"/>
      <c r="U214" s="4"/>
      <c r="V214" s="4"/>
      <c r="W214" s="4"/>
    </row>
    <row r="215" spans="1:23" x14ac:dyDescent="0.2">
      <c r="A215" s="4">
        <v>50</v>
      </c>
      <c r="B215" s="4">
        <v>0</v>
      </c>
      <c r="C215" s="4">
        <v>0</v>
      </c>
      <c r="D215" s="4">
        <v>1</v>
      </c>
      <c r="E215" s="4">
        <v>232</v>
      </c>
      <c r="F215" s="4">
        <f>ROUND(Source!BC199,O215)</f>
        <v>0</v>
      </c>
      <c r="G215" s="4" t="s">
        <v>291</v>
      </c>
      <c r="H215" s="4" t="s">
        <v>292</v>
      </c>
      <c r="I215" s="4"/>
      <c r="J215" s="4"/>
      <c r="K215" s="4">
        <v>232</v>
      </c>
      <c r="L215" s="4">
        <v>15</v>
      </c>
      <c r="M215" s="4">
        <v>3</v>
      </c>
      <c r="N215" s="4" t="s">
        <v>3</v>
      </c>
      <c r="O215" s="4">
        <v>2</v>
      </c>
      <c r="P215" s="4"/>
      <c r="Q215" s="4"/>
      <c r="R215" s="4"/>
      <c r="S215" s="4"/>
      <c r="T215" s="4"/>
      <c r="U215" s="4"/>
      <c r="V215" s="4"/>
      <c r="W215" s="4"/>
    </row>
    <row r="216" spans="1:23" x14ac:dyDescent="0.2">
      <c r="A216" s="4">
        <v>50</v>
      </c>
      <c r="B216" s="4">
        <v>0</v>
      </c>
      <c r="C216" s="4">
        <v>0</v>
      </c>
      <c r="D216" s="4">
        <v>1</v>
      </c>
      <c r="E216" s="4">
        <v>214</v>
      </c>
      <c r="F216" s="4">
        <f>ROUND(Source!AS199,O216)</f>
        <v>1819.82</v>
      </c>
      <c r="G216" s="4" t="s">
        <v>293</v>
      </c>
      <c r="H216" s="4" t="s">
        <v>294</v>
      </c>
      <c r="I216" s="4"/>
      <c r="J216" s="4"/>
      <c r="K216" s="4">
        <v>214</v>
      </c>
      <c r="L216" s="4">
        <v>16</v>
      </c>
      <c r="M216" s="4">
        <v>3</v>
      </c>
      <c r="N216" s="4" t="s">
        <v>3</v>
      </c>
      <c r="O216" s="4">
        <v>2</v>
      </c>
      <c r="P216" s="4"/>
      <c r="Q216" s="4"/>
      <c r="R216" s="4"/>
      <c r="S216" s="4"/>
      <c r="T216" s="4"/>
      <c r="U216" s="4"/>
      <c r="V216" s="4"/>
      <c r="W216" s="4"/>
    </row>
    <row r="217" spans="1:23" x14ac:dyDescent="0.2">
      <c r="A217" s="4">
        <v>50</v>
      </c>
      <c r="B217" s="4">
        <v>0</v>
      </c>
      <c r="C217" s="4">
        <v>0</v>
      </c>
      <c r="D217" s="4">
        <v>1</v>
      </c>
      <c r="E217" s="4">
        <v>215</v>
      </c>
      <c r="F217" s="4">
        <f>ROUND(Source!AT199,O217)</f>
        <v>727792.52</v>
      </c>
      <c r="G217" s="4" t="s">
        <v>295</v>
      </c>
      <c r="H217" s="4" t="s">
        <v>296</v>
      </c>
      <c r="I217" s="4"/>
      <c r="J217" s="4"/>
      <c r="K217" s="4">
        <v>215</v>
      </c>
      <c r="L217" s="4">
        <v>17</v>
      </c>
      <c r="M217" s="4">
        <v>3</v>
      </c>
      <c r="N217" s="4" t="s">
        <v>3</v>
      </c>
      <c r="O217" s="4">
        <v>2</v>
      </c>
      <c r="P217" s="4"/>
      <c r="Q217" s="4"/>
      <c r="R217" s="4"/>
      <c r="S217" s="4"/>
      <c r="T217" s="4"/>
      <c r="U217" s="4"/>
      <c r="V217" s="4"/>
      <c r="W217" s="4"/>
    </row>
    <row r="218" spans="1:23" x14ac:dyDescent="0.2">
      <c r="A218" s="4">
        <v>50</v>
      </c>
      <c r="B218" s="4">
        <v>0</v>
      </c>
      <c r="C218" s="4">
        <v>0</v>
      </c>
      <c r="D218" s="4">
        <v>1</v>
      </c>
      <c r="E218" s="4">
        <v>217</v>
      </c>
      <c r="F218" s="4">
        <f>ROUND(Source!AU199,O218)</f>
        <v>71446.64</v>
      </c>
      <c r="G218" s="4" t="s">
        <v>297</v>
      </c>
      <c r="H218" s="4" t="s">
        <v>298</v>
      </c>
      <c r="I218" s="4"/>
      <c r="J218" s="4"/>
      <c r="K218" s="4">
        <v>217</v>
      </c>
      <c r="L218" s="4">
        <v>18</v>
      </c>
      <c r="M218" s="4">
        <v>3</v>
      </c>
      <c r="N218" s="4" t="s">
        <v>3</v>
      </c>
      <c r="O218" s="4">
        <v>2</v>
      </c>
      <c r="P218" s="4"/>
      <c r="Q218" s="4"/>
      <c r="R218" s="4"/>
      <c r="S218" s="4"/>
      <c r="T218" s="4"/>
      <c r="U218" s="4"/>
      <c r="V218" s="4"/>
      <c r="W218" s="4"/>
    </row>
    <row r="219" spans="1:23" x14ac:dyDescent="0.2">
      <c r="A219" s="4">
        <v>50</v>
      </c>
      <c r="B219" s="4">
        <v>0</v>
      </c>
      <c r="C219" s="4">
        <v>0</v>
      </c>
      <c r="D219" s="4">
        <v>1</v>
      </c>
      <c r="E219" s="4">
        <v>230</v>
      </c>
      <c r="F219" s="4">
        <f>ROUND(Source!BA199,O219)</f>
        <v>0</v>
      </c>
      <c r="G219" s="4" t="s">
        <v>299</v>
      </c>
      <c r="H219" s="4" t="s">
        <v>300</v>
      </c>
      <c r="I219" s="4"/>
      <c r="J219" s="4"/>
      <c r="K219" s="4">
        <v>230</v>
      </c>
      <c r="L219" s="4">
        <v>19</v>
      </c>
      <c r="M219" s="4">
        <v>3</v>
      </c>
      <c r="N219" s="4" t="s">
        <v>3</v>
      </c>
      <c r="O219" s="4">
        <v>2</v>
      </c>
      <c r="P219" s="4"/>
      <c r="Q219" s="4"/>
      <c r="R219" s="4"/>
      <c r="S219" s="4"/>
      <c r="T219" s="4"/>
      <c r="U219" s="4"/>
      <c r="V219" s="4"/>
      <c r="W219" s="4"/>
    </row>
    <row r="220" spans="1:23" x14ac:dyDescent="0.2">
      <c r="A220" s="4">
        <v>50</v>
      </c>
      <c r="B220" s="4">
        <v>0</v>
      </c>
      <c r="C220" s="4">
        <v>0</v>
      </c>
      <c r="D220" s="4">
        <v>1</v>
      </c>
      <c r="E220" s="4">
        <v>206</v>
      </c>
      <c r="F220" s="4">
        <f>ROUND(Source!T199,O220)</f>
        <v>0</v>
      </c>
      <c r="G220" s="4" t="s">
        <v>301</v>
      </c>
      <c r="H220" s="4" t="s">
        <v>302</v>
      </c>
      <c r="I220" s="4"/>
      <c r="J220" s="4"/>
      <c r="K220" s="4">
        <v>206</v>
      </c>
      <c r="L220" s="4">
        <v>20</v>
      </c>
      <c r="M220" s="4">
        <v>3</v>
      </c>
      <c r="N220" s="4" t="s">
        <v>3</v>
      </c>
      <c r="O220" s="4">
        <v>2</v>
      </c>
      <c r="P220" s="4"/>
      <c r="Q220" s="4"/>
      <c r="R220" s="4"/>
      <c r="S220" s="4"/>
      <c r="T220" s="4"/>
      <c r="U220" s="4"/>
      <c r="V220" s="4"/>
      <c r="W220" s="4"/>
    </row>
    <row r="221" spans="1:23" x14ac:dyDescent="0.2">
      <c r="A221" s="4">
        <v>50</v>
      </c>
      <c r="B221" s="4">
        <v>0</v>
      </c>
      <c r="C221" s="4">
        <v>0</v>
      </c>
      <c r="D221" s="4">
        <v>1</v>
      </c>
      <c r="E221" s="4">
        <v>207</v>
      </c>
      <c r="F221" s="4">
        <f>Source!U199</f>
        <v>677.7841699999999</v>
      </c>
      <c r="G221" s="4" t="s">
        <v>303</v>
      </c>
      <c r="H221" s="4" t="s">
        <v>304</v>
      </c>
      <c r="I221" s="4"/>
      <c r="J221" s="4"/>
      <c r="K221" s="4">
        <v>207</v>
      </c>
      <c r="L221" s="4">
        <v>21</v>
      </c>
      <c r="M221" s="4">
        <v>3</v>
      </c>
      <c r="N221" s="4" t="s">
        <v>3</v>
      </c>
      <c r="O221" s="4">
        <v>-1</v>
      </c>
      <c r="P221" s="4"/>
      <c r="Q221" s="4"/>
      <c r="R221" s="4"/>
      <c r="S221" s="4"/>
      <c r="T221" s="4"/>
      <c r="U221" s="4"/>
      <c r="V221" s="4"/>
      <c r="W221" s="4"/>
    </row>
    <row r="222" spans="1:23" x14ac:dyDescent="0.2">
      <c r="A222" s="4">
        <v>50</v>
      </c>
      <c r="B222" s="4">
        <v>0</v>
      </c>
      <c r="C222" s="4">
        <v>0</v>
      </c>
      <c r="D222" s="4">
        <v>1</v>
      </c>
      <c r="E222" s="4">
        <v>208</v>
      </c>
      <c r="F222" s="4">
        <f>Source!V199</f>
        <v>3.95499</v>
      </c>
      <c r="G222" s="4" t="s">
        <v>305</v>
      </c>
      <c r="H222" s="4" t="s">
        <v>306</v>
      </c>
      <c r="I222" s="4"/>
      <c r="J222" s="4"/>
      <c r="K222" s="4">
        <v>208</v>
      </c>
      <c r="L222" s="4">
        <v>22</v>
      </c>
      <c r="M222" s="4">
        <v>3</v>
      </c>
      <c r="N222" s="4" t="s">
        <v>3</v>
      </c>
      <c r="O222" s="4">
        <v>-1</v>
      </c>
      <c r="P222" s="4"/>
      <c r="Q222" s="4"/>
      <c r="R222" s="4"/>
      <c r="S222" s="4"/>
      <c r="T222" s="4"/>
      <c r="U222" s="4"/>
      <c r="V222" s="4"/>
      <c r="W222" s="4"/>
    </row>
    <row r="223" spans="1:23" x14ac:dyDescent="0.2">
      <c r="A223" s="4">
        <v>50</v>
      </c>
      <c r="B223" s="4">
        <v>0</v>
      </c>
      <c r="C223" s="4">
        <v>0</v>
      </c>
      <c r="D223" s="4">
        <v>1</v>
      </c>
      <c r="E223" s="4">
        <v>209</v>
      </c>
      <c r="F223" s="4">
        <f>ROUND(Source!W199,O223)</f>
        <v>0</v>
      </c>
      <c r="G223" s="4" t="s">
        <v>307</v>
      </c>
      <c r="H223" s="4" t="s">
        <v>308</v>
      </c>
      <c r="I223" s="4"/>
      <c r="J223" s="4"/>
      <c r="K223" s="4">
        <v>209</v>
      </c>
      <c r="L223" s="4">
        <v>23</v>
      </c>
      <c r="M223" s="4">
        <v>3</v>
      </c>
      <c r="N223" s="4" t="s">
        <v>3</v>
      </c>
      <c r="O223" s="4">
        <v>2</v>
      </c>
      <c r="P223" s="4"/>
      <c r="Q223" s="4"/>
      <c r="R223" s="4"/>
      <c r="S223" s="4"/>
      <c r="T223" s="4"/>
      <c r="U223" s="4"/>
      <c r="V223" s="4"/>
      <c r="W223" s="4"/>
    </row>
    <row r="224" spans="1:23" x14ac:dyDescent="0.2">
      <c r="A224" s="4">
        <v>50</v>
      </c>
      <c r="B224" s="4">
        <v>0</v>
      </c>
      <c r="C224" s="4">
        <v>0</v>
      </c>
      <c r="D224" s="4">
        <v>1</v>
      </c>
      <c r="E224" s="4">
        <v>210</v>
      </c>
      <c r="F224" s="4">
        <f>ROUND(Source!X199,O224)</f>
        <v>53965.32</v>
      </c>
      <c r="G224" s="4" t="s">
        <v>309</v>
      </c>
      <c r="H224" s="4" t="s">
        <v>310</v>
      </c>
      <c r="I224" s="4"/>
      <c r="J224" s="4"/>
      <c r="K224" s="4">
        <v>210</v>
      </c>
      <c r="L224" s="4">
        <v>24</v>
      </c>
      <c r="M224" s="4">
        <v>3</v>
      </c>
      <c r="N224" s="4" t="s">
        <v>3</v>
      </c>
      <c r="O224" s="4">
        <v>2</v>
      </c>
      <c r="P224" s="4"/>
      <c r="Q224" s="4"/>
      <c r="R224" s="4"/>
      <c r="S224" s="4"/>
      <c r="T224" s="4"/>
      <c r="U224" s="4"/>
      <c r="V224" s="4"/>
      <c r="W224" s="4"/>
    </row>
    <row r="225" spans="1:245" x14ac:dyDescent="0.2">
      <c r="A225" s="4">
        <v>50</v>
      </c>
      <c r="B225" s="4">
        <v>0</v>
      </c>
      <c r="C225" s="4">
        <v>0</v>
      </c>
      <c r="D225" s="4">
        <v>1</v>
      </c>
      <c r="E225" s="4">
        <v>211</v>
      </c>
      <c r="F225" s="4">
        <f>ROUND(Source!Y199,O225)</f>
        <v>35540.17</v>
      </c>
      <c r="G225" s="4" t="s">
        <v>311</v>
      </c>
      <c r="H225" s="4" t="s">
        <v>312</v>
      </c>
      <c r="I225" s="4"/>
      <c r="J225" s="4"/>
      <c r="K225" s="4">
        <v>211</v>
      </c>
      <c r="L225" s="4">
        <v>25</v>
      </c>
      <c r="M225" s="4">
        <v>3</v>
      </c>
      <c r="N225" s="4" t="s">
        <v>3</v>
      </c>
      <c r="O225" s="4">
        <v>2</v>
      </c>
      <c r="P225" s="4"/>
      <c r="Q225" s="4"/>
      <c r="R225" s="4"/>
      <c r="S225" s="4"/>
      <c r="T225" s="4"/>
      <c r="U225" s="4"/>
      <c r="V225" s="4"/>
      <c r="W225" s="4"/>
    </row>
    <row r="226" spans="1:245" x14ac:dyDescent="0.2">
      <c r="A226" s="4">
        <v>50</v>
      </c>
      <c r="B226" s="4">
        <v>0</v>
      </c>
      <c r="C226" s="4">
        <v>0</v>
      </c>
      <c r="D226" s="4">
        <v>1</v>
      </c>
      <c r="E226" s="4">
        <v>224</v>
      </c>
      <c r="F226" s="4">
        <f>ROUND(Source!AR199,O226)</f>
        <v>801058.98</v>
      </c>
      <c r="G226" s="4" t="s">
        <v>313</v>
      </c>
      <c r="H226" s="4" t="s">
        <v>314</v>
      </c>
      <c r="I226" s="4"/>
      <c r="J226" s="4"/>
      <c r="K226" s="4">
        <v>224</v>
      </c>
      <c r="L226" s="4">
        <v>26</v>
      </c>
      <c r="M226" s="4">
        <v>3</v>
      </c>
      <c r="N226" s="4" t="s">
        <v>3</v>
      </c>
      <c r="O226" s="4">
        <v>2</v>
      </c>
      <c r="P226" s="4"/>
      <c r="Q226" s="4"/>
      <c r="R226" s="4"/>
      <c r="S226" s="4"/>
      <c r="T226" s="4"/>
      <c r="U226" s="4"/>
      <c r="V226" s="4"/>
      <c r="W226" s="4"/>
    </row>
    <row r="227" spans="1:245" x14ac:dyDescent="0.2">
      <c r="A227" s="4">
        <v>50</v>
      </c>
      <c r="B227" s="4">
        <v>1</v>
      </c>
      <c r="C227" s="4">
        <v>0</v>
      </c>
      <c r="D227" s="4">
        <v>2</v>
      </c>
      <c r="E227" s="4">
        <v>0</v>
      </c>
      <c r="F227" s="4">
        <f>ROUND(F226,O227)</f>
        <v>801058.98</v>
      </c>
      <c r="G227" s="4" t="s">
        <v>533</v>
      </c>
      <c r="H227" s="4" t="s">
        <v>534</v>
      </c>
      <c r="I227" s="4"/>
      <c r="J227" s="4"/>
      <c r="K227" s="4">
        <v>212</v>
      </c>
      <c r="L227" s="4">
        <v>27</v>
      </c>
      <c r="M227" s="4">
        <v>0</v>
      </c>
      <c r="N227" s="4" t="s">
        <v>3</v>
      </c>
      <c r="O227" s="4">
        <v>2</v>
      </c>
      <c r="P227" s="4"/>
      <c r="Q227" s="4"/>
      <c r="R227" s="4"/>
      <c r="S227" s="4"/>
      <c r="T227" s="4"/>
      <c r="U227" s="4"/>
      <c r="V227" s="4"/>
      <c r="W227" s="4"/>
    </row>
    <row r="228" spans="1:245" x14ac:dyDescent="0.2">
      <c r="A228" s="4">
        <v>50</v>
      </c>
      <c r="B228" s="4">
        <v>1</v>
      </c>
      <c r="C228" s="4">
        <v>0</v>
      </c>
      <c r="D228" s="4">
        <v>2</v>
      </c>
      <c r="E228" s="4">
        <v>0</v>
      </c>
      <c r="F228" s="4">
        <f>ROUND(F227*0.18,O228)</f>
        <v>144190.62</v>
      </c>
      <c r="G228" s="4" t="s">
        <v>535</v>
      </c>
      <c r="H228" s="4" t="s">
        <v>536</v>
      </c>
      <c r="I228" s="4"/>
      <c r="J228" s="4"/>
      <c r="K228" s="4">
        <v>212</v>
      </c>
      <c r="L228" s="4">
        <v>28</v>
      </c>
      <c r="M228" s="4">
        <v>0</v>
      </c>
      <c r="N228" s="4" t="s">
        <v>3</v>
      </c>
      <c r="O228" s="4">
        <v>2</v>
      </c>
      <c r="P228" s="4"/>
      <c r="Q228" s="4"/>
      <c r="R228" s="4"/>
      <c r="S228" s="4"/>
      <c r="T228" s="4"/>
      <c r="U228" s="4"/>
      <c r="V228" s="4"/>
      <c r="W228" s="4"/>
    </row>
    <row r="229" spans="1:245" x14ac:dyDescent="0.2">
      <c r="A229" s="4">
        <v>50</v>
      </c>
      <c r="B229" s="4">
        <v>1</v>
      </c>
      <c r="C229" s="4">
        <v>0</v>
      </c>
      <c r="D229" s="4">
        <v>2</v>
      </c>
      <c r="E229" s="4">
        <v>213</v>
      </c>
      <c r="F229" s="4">
        <f>ROUND(F227+F228,O229)</f>
        <v>945249.6</v>
      </c>
      <c r="G229" s="4" t="s">
        <v>537</v>
      </c>
      <c r="H229" s="4" t="s">
        <v>313</v>
      </c>
      <c r="I229" s="4"/>
      <c r="J229" s="4"/>
      <c r="K229" s="4">
        <v>212</v>
      </c>
      <c r="L229" s="4">
        <v>29</v>
      </c>
      <c r="M229" s="4">
        <v>0</v>
      </c>
      <c r="N229" s="4" t="s">
        <v>3</v>
      </c>
      <c r="O229" s="4">
        <v>2</v>
      </c>
      <c r="P229" s="4"/>
      <c r="Q229" s="4"/>
      <c r="R229" s="4"/>
      <c r="S229" s="4"/>
      <c r="T229" s="4"/>
      <c r="U229" s="4"/>
      <c r="V229" s="4"/>
      <c r="W229" s="4"/>
    </row>
    <row r="231" spans="1:245" x14ac:dyDescent="0.2">
      <c r="A231" s="1">
        <v>4</v>
      </c>
      <c r="B231" s="1">
        <v>1</v>
      </c>
      <c r="C231" s="1"/>
      <c r="D231" s="1">
        <f>ROW(A246)</f>
        <v>246</v>
      </c>
      <c r="E231" s="1"/>
      <c r="F231" s="1" t="s">
        <v>12</v>
      </c>
      <c r="G231" s="1" t="s">
        <v>538</v>
      </c>
      <c r="H231" s="1" t="s">
        <v>3</v>
      </c>
      <c r="I231" s="1">
        <v>0</v>
      </c>
      <c r="J231" s="1"/>
      <c r="K231" s="1">
        <v>-1</v>
      </c>
      <c r="L231" s="1"/>
      <c r="M231" s="1"/>
      <c r="N231" s="1"/>
      <c r="O231" s="1"/>
      <c r="P231" s="1"/>
      <c r="Q231" s="1"/>
      <c r="R231" s="1"/>
      <c r="S231" s="1"/>
      <c r="T231" s="1"/>
      <c r="U231" s="1" t="s">
        <v>3</v>
      </c>
      <c r="V231" s="1">
        <v>0</v>
      </c>
      <c r="W231" s="1"/>
      <c r="X231" s="1"/>
      <c r="Y231" s="1"/>
      <c r="Z231" s="1"/>
      <c r="AA231" s="1"/>
      <c r="AB231" s="1" t="s">
        <v>3</v>
      </c>
      <c r="AC231" s="1" t="s">
        <v>3</v>
      </c>
      <c r="AD231" s="1" t="s">
        <v>3</v>
      </c>
      <c r="AE231" s="1" t="s">
        <v>3</v>
      </c>
      <c r="AF231" s="1" t="s">
        <v>3</v>
      </c>
      <c r="AG231" s="1" t="s">
        <v>3</v>
      </c>
      <c r="AH231" s="1"/>
      <c r="AI231" s="1"/>
      <c r="AJ231" s="1"/>
      <c r="AK231" s="1"/>
      <c r="AL231" s="1"/>
      <c r="AM231" s="1"/>
      <c r="AN231" s="1"/>
      <c r="AO231" s="1"/>
      <c r="AP231" s="1" t="s">
        <v>3</v>
      </c>
      <c r="AQ231" s="1" t="s">
        <v>3</v>
      </c>
      <c r="AR231" s="1" t="s">
        <v>3</v>
      </c>
      <c r="AS231" s="1"/>
      <c r="AT231" s="1"/>
      <c r="AU231" s="1"/>
      <c r="AV231" s="1"/>
      <c r="AW231" s="1"/>
      <c r="AX231" s="1"/>
      <c r="AY231" s="1"/>
      <c r="AZ231" s="1" t="s">
        <v>3</v>
      </c>
      <c r="BA231" s="1"/>
      <c r="BB231" s="1" t="s">
        <v>3</v>
      </c>
      <c r="BC231" s="1" t="s">
        <v>3</v>
      </c>
      <c r="BD231" s="1" t="s">
        <v>3</v>
      </c>
      <c r="BE231" s="1" t="s">
        <v>3</v>
      </c>
      <c r="BF231" s="1" t="s">
        <v>3</v>
      </c>
      <c r="BG231" s="1" t="s">
        <v>3</v>
      </c>
      <c r="BH231" s="1" t="s">
        <v>3</v>
      </c>
      <c r="BI231" s="1" t="s">
        <v>3</v>
      </c>
      <c r="BJ231" s="1" t="s">
        <v>3</v>
      </c>
      <c r="BK231" s="1" t="s">
        <v>3</v>
      </c>
      <c r="BL231" s="1" t="s">
        <v>3</v>
      </c>
      <c r="BM231" s="1" t="s">
        <v>3</v>
      </c>
      <c r="BN231" s="1" t="s">
        <v>3</v>
      </c>
      <c r="BO231" s="1" t="s">
        <v>3</v>
      </c>
      <c r="BP231" s="1" t="s">
        <v>3</v>
      </c>
      <c r="BQ231" s="1"/>
      <c r="BR231" s="1"/>
      <c r="BS231" s="1"/>
      <c r="BT231" s="1"/>
      <c r="BU231" s="1"/>
      <c r="BV231" s="1"/>
      <c r="BW231" s="1"/>
      <c r="BX231" s="1">
        <v>0</v>
      </c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>
        <v>0</v>
      </c>
    </row>
    <row r="233" spans="1:245" x14ac:dyDescent="0.2">
      <c r="A233" s="2">
        <v>52</v>
      </c>
      <c r="B233" s="2">
        <f t="shared" ref="B233:G233" si="202">B246</f>
        <v>1</v>
      </c>
      <c r="C233" s="2">
        <f t="shared" si="202"/>
        <v>4</v>
      </c>
      <c r="D233" s="2">
        <f t="shared" si="202"/>
        <v>231</v>
      </c>
      <c r="E233" s="2">
        <f t="shared" si="202"/>
        <v>0</v>
      </c>
      <c r="F233" s="2" t="str">
        <f t="shared" si="202"/>
        <v>Новый раздел</v>
      </c>
      <c r="G233" s="2" t="str">
        <f t="shared" si="202"/>
        <v>4 АПС</v>
      </c>
      <c r="H233" s="2"/>
      <c r="I233" s="2"/>
      <c r="J233" s="2"/>
      <c r="K233" s="2"/>
      <c r="L233" s="2"/>
      <c r="M233" s="2"/>
      <c r="N233" s="2"/>
      <c r="O233" s="2">
        <f t="shared" ref="O233:AT233" si="203">O246</f>
        <v>24863.55</v>
      </c>
      <c r="P233" s="2">
        <f t="shared" si="203"/>
        <v>20575.490000000002</v>
      </c>
      <c r="Q233" s="2">
        <f t="shared" si="203"/>
        <v>14.84</v>
      </c>
      <c r="R233" s="2">
        <f t="shared" si="203"/>
        <v>2.09</v>
      </c>
      <c r="S233" s="2">
        <f t="shared" si="203"/>
        <v>4273.22</v>
      </c>
      <c r="T233" s="2">
        <f t="shared" si="203"/>
        <v>0</v>
      </c>
      <c r="U233" s="2">
        <f t="shared" si="203"/>
        <v>68.00160000000001</v>
      </c>
      <c r="V233" s="2">
        <f t="shared" si="203"/>
        <v>2.5600000000000001E-2</v>
      </c>
      <c r="W233" s="2">
        <f t="shared" si="203"/>
        <v>0</v>
      </c>
      <c r="X233" s="2">
        <f t="shared" si="203"/>
        <v>3517.94</v>
      </c>
      <c r="Y233" s="2">
        <f t="shared" si="203"/>
        <v>2597.7399999999998</v>
      </c>
      <c r="Z233" s="2">
        <f t="shared" si="203"/>
        <v>0</v>
      </c>
      <c r="AA233" s="2">
        <f t="shared" si="203"/>
        <v>0</v>
      </c>
      <c r="AB233" s="2">
        <f t="shared" si="203"/>
        <v>24863.55</v>
      </c>
      <c r="AC233" s="2">
        <f t="shared" si="203"/>
        <v>20575.490000000002</v>
      </c>
      <c r="AD233" s="2">
        <f t="shared" si="203"/>
        <v>14.84</v>
      </c>
      <c r="AE233" s="2">
        <f t="shared" si="203"/>
        <v>2.09</v>
      </c>
      <c r="AF233" s="2">
        <f t="shared" si="203"/>
        <v>4273.22</v>
      </c>
      <c r="AG233" s="2">
        <f t="shared" si="203"/>
        <v>0</v>
      </c>
      <c r="AH233" s="2">
        <f t="shared" si="203"/>
        <v>68.00160000000001</v>
      </c>
      <c r="AI233" s="2">
        <f t="shared" si="203"/>
        <v>2.5600000000000001E-2</v>
      </c>
      <c r="AJ233" s="2">
        <f t="shared" si="203"/>
        <v>0</v>
      </c>
      <c r="AK233" s="2">
        <f t="shared" si="203"/>
        <v>3517.94</v>
      </c>
      <c r="AL233" s="2">
        <f t="shared" si="203"/>
        <v>2597.7399999999998</v>
      </c>
      <c r="AM233" s="2">
        <f t="shared" si="203"/>
        <v>0</v>
      </c>
      <c r="AN233" s="2">
        <f t="shared" si="203"/>
        <v>0</v>
      </c>
      <c r="AO233" s="2">
        <f t="shared" si="203"/>
        <v>0</v>
      </c>
      <c r="AP233" s="2">
        <f t="shared" si="203"/>
        <v>0</v>
      </c>
      <c r="AQ233" s="2">
        <f t="shared" si="203"/>
        <v>0</v>
      </c>
      <c r="AR233" s="2">
        <f t="shared" si="203"/>
        <v>30979.23</v>
      </c>
      <c r="AS233" s="2">
        <f t="shared" si="203"/>
        <v>0</v>
      </c>
      <c r="AT233" s="2">
        <f t="shared" si="203"/>
        <v>30979.23</v>
      </c>
      <c r="AU233" s="2">
        <f t="shared" ref="AU233:BZ233" si="204">AU246</f>
        <v>0</v>
      </c>
      <c r="AV233" s="2">
        <f t="shared" si="204"/>
        <v>20575.490000000002</v>
      </c>
      <c r="AW233" s="2">
        <f t="shared" si="204"/>
        <v>20575.490000000002</v>
      </c>
      <c r="AX233" s="2">
        <f t="shared" si="204"/>
        <v>0</v>
      </c>
      <c r="AY233" s="2">
        <f t="shared" si="204"/>
        <v>20575.490000000002</v>
      </c>
      <c r="AZ233" s="2">
        <f t="shared" si="204"/>
        <v>0</v>
      </c>
      <c r="BA233" s="2">
        <f t="shared" si="204"/>
        <v>0</v>
      </c>
      <c r="BB233" s="2">
        <f t="shared" si="204"/>
        <v>0</v>
      </c>
      <c r="BC233" s="2">
        <f t="shared" si="204"/>
        <v>0</v>
      </c>
      <c r="BD233" s="2">
        <f t="shared" si="204"/>
        <v>0</v>
      </c>
      <c r="BE233" s="2">
        <f t="shared" si="204"/>
        <v>0</v>
      </c>
      <c r="BF233" s="2">
        <f t="shared" si="204"/>
        <v>0</v>
      </c>
      <c r="BG233" s="2">
        <f t="shared" si="204"/>
        <v>0</v>
      </c>
      <c r="BH233" s="2">
        <f t="shared" si="204"/>
        <v>0</v>
      </c>
      <c r="BI233" s="2">
        <f t="shared" si="204"/>
        <v>0</v>
      </c>
      <c r="BJ233" s="2">
        <f t="shared" si="204"/>
        <v>0</v>
      </c>
      <c r="BK233" s="2">
        <f t="shared" si="204"/>
        <v>0</v>
      </c>
      <c r="BL233" s="2">
        <f t="shared" si="204"/>
        <v>0</v>
      </c>
      <c r="BM233" s="2">
        <f t="shared" si="204"/>
        <v>0</v>
      </c>
      <c r="BN233" s="2">
        <f t="shared" si="204"/>
        <v>0</v>
      </c>
      <c r="BO233" s="2">
        <f t="shared" si="204"/>
        <v>0</v>
      </c>
      <c r="BP233" s="2">
        <f t="shared" si="204"/>
        <v>0</v>
      </c>
      <c r="BQ233" s="2">
        <f t="shared" si="204"/>
        <v>0</v>
      </c>
      <c r="BR233" s="2">
        <f t="shared" si="204"/>
        <v>0</v>
      </c>
      <c r="BS233" s="2">
        <f t="shared" si="204"/>
        <v>0</v>
      </c>
      <c r="BT233" s="2">
        <f t="shared" si="204"/>
        <v>0</v>
      </c>
      <c r="BU233" s="2">
        <f t="shared" si="204"/>
        <v>0</v>
      </c>
      <c r="BV233" s="2">
        <f t="shared" si="204"/>
        <v>0</v>
      </c>
      <c r="BW233" s="2">
        <f t="shared" si="204"/>
        <v>0</v>
      </c>
      <c r="BX233" s="2">
        <f t="shared" si="204"/>
        <v>0</v>
      </c>
      <c r="BY233" s="2">
        <f t="shared" si="204"/>
        <v>0</v>
      </c>
      <c r="BZ233" s="2">
        <f t="shared" si="204"/>
        <v>0</v>
      </c>
      <c r="CA233" s="2">
        <f t="shared" ref="CA233:DF233" si="205">CA246</f>
        <v>30979.23</v>
      </c>
      <c r="CB233" s="2">
        <f t="shared" si="205"/>
        <v>0</v>
      </c>
      <c r="CC233" s="2">
        <f t="shared" si="205"/>
        <v>30979.23</v>
      </c>
      <c r="CD233" s="2">
        <f t="shared" si="205"/>
        <v>0</v>
      </c>
      <c r="CE233" s="2">
        <f t="shared" si="205"/>
        <v>20575.490000000002</v>
      </c>
      <c r="CF233" s="2">
        <f t="shared" si="205"/>
        <v>20575.490000000002</v>
      </c>
      <c r="CG233" s="2">
        <f t="shared" si="205"/>
        <v>0</v>
      </c>
      <c r="CH233" s="2">
        <f t="shared" si="205"/>
        <v>20575.490000000002</v>
      </c>
      <c r="CI233" s="2">
        <f t="shared" si="205"/>
        <v>0</v>
      </c>
      <c r="CJ233" s="2">
        <f t="shared" si="205"/>
        <v>0</v>
      </c>
      <c r="CK233" s="2">
        <f t="shared" si="205"/>
        <v>0</v>
      </c>
      <c r="CL233" s="2">
        <f t="shared" si="205"/>
        <v>0</v>
      </c>
      <c r="CM233" s="2">
        <f t="shared" si="205"/>
        <v>0</v>
      </c>
      <c r="CN233" s="2">
        <f t="shared" si="205"/>
        <v>0</v>
      </c>
      <c r="CO233" s="2">
        <f t="shared" si="205"/>
        <v>0</v>
      </c>
      <c r="CP233" s="2">
        <f t="shared" si="205"/>
        <v>0</v>
      </c>
      <c r="CQ233" s="2">
        <f t="shared" si="205"/>
        <v>0</v>
      </c>
      <c r="CR233" s="2">
        <f t="shared" si="205"/>
        <v>0</v>
      </c>
      <c r="CS233" s="2">
        <f t="shared" si="205"/>
        <v>0</v>
      </c>
      <c r="CT233" s="2">
        <f t="shared" si="205"/>
        <v>0</v>
      </c>
      <c r="CU233" s="2">
        <f t="shared" si="205"/>
        <v>0</v>
      </c>
      <c r="CV233" s="2">
        <f t="shared" si="205"/>
        <v>0</v>
      </c>
      <c r="CW233" s="2">
        <f t="shared" si="205"/>
        <v>0</v>
      </c>
      <c r="CX233" s="2">
        <f t="shared" si="205"/>
        <v>0</v>
      </c>
      <c r="CY233" s="2">
        <f t="shared" si="205"/>
        <v>0</v>
      </c>
      <c r="CZ233" s="2">
        <f t="shared" si="205"/>
        <v>0</v>
      </c>
      <c r="DA233" s="2">
        <f t="shared" si="205"/>
        <v>0</v>
      </c>
      <c r="DB233" s="2">
        <f t="shared" si="205"/>
        <v>0</v>
      </c>
      <c r="DC233" s="2">
        <f t="shared" si="205"/>
        <v>0</v>
      </c>
      <c r="DD233" s="2">
        <f t="shared" si="205"/>
        <v>0</v>
      </c>
      <c r="DE233" s="2">
        <f t="shared" si="205"/>
        <v>0</v>
      </c>
      <c r="DF233" s="2">
        <f t="shared" si="205"/>
        <v>0</v>
      </c>
      <c r="DG233" s="3">
        <f t="shared" ref="DG233:EL233" si="206">DG246</f>
        <v>0</v>
      </c>
      <c r="DH233" s="3">
        <f t="shared" si="206"/>
        <v>0</v>
      </c>
      <c r="DI233" s="3">
        <f t="shared" si="206"/>
        <v>0</v>
      </c>
      <c r="DJ233" s="3">
        <f t="shared" si="206"/>
        <v>0</v>
      </c>
      <c r="DK233" s="3">
        <f t="shared" si="206"/>
        <v>0</v>
      </c>
      <c r="DL233" s="3">
        <f t="shared" si="206"/>
        <v>0</v>
      </c>
      <c r="DM233" s="3">
        <f t="shared" si="206"/>
        <v>0</v>
      </c>
      <c r="DN233" s="3">
        <f t="shared" si="206"/>
        <v>0</v>
      </c>
      <c r="DO233" s="3">
        <f t="shared" si="206"/>
        <v>0</v>
      </c>
      <c r="DP233" s="3">
        <f t="shared" si="206"/>
        <v>0</v>
      </c>
      <c r="DQ233" s="3">
        <f t="shared" si="206"/>
        <v>0</v>
      </c>
      <c r="DR233" s="3">
        <f t="shared" si="206"/>
        <v>0</v>
      </c>
      <c r="DS233" s="3">
        <f t="shared" si="206"/>
        <v>0</v>
      </c>
      <c r="DT233" s="3">
        <f t="shared" si="206"/>
        <v>0</v>
      </c>
      <c r="DU233" s="3">
        <f t="shared" si="206"/>
        <v>0</v>
      </c>
      <c r="DV233" s="3">
        <f t="shared" si="206"/>
        <v>0</v>
      </c>
      <c r="DW233" s="3">
        <f t="shared" si="206"/>
        <v>0</v>
      </c>
      <c r="DX233" s="3">
        <f t="shared" si="206"/>
        <v>0</v>
      </c>
      <c r="DY233" s="3">
        <f t="shared" si="206"/>
        <v>0</v>
      </c>
      <c r="DZ233" s="3">
        <f t="shared" si="206"/>
        <v>0</v>
      </c>
      <c r="EA233" s="3">
        <f t="shared" si="206"/>
        <v>0</v>
      </c>
      <c r="EB233" s="3">
        <f t="shared" si="206"/>
        <v>0</v>
      </c>
      <c r="EC233" s="3">
        <f t="shared" si="206"/>
        <v>0</v>
      </c>
      <c r="ED233" s="3">
        <f t="shared" si="206"/>
        <v>0</v>
      </c>
      <c r="EE233" s="3">
        <f t="shared" si="206"/>
        <v>0</v>
      </c>
      <c r="EF233" s="3">
        <f t="shared" si="206"/>
        <v>0</v>
      </c>
      <c r="EG233" s="3">
        <f t="shared" si="206"/>
        <v>0</v>
      </c>
      <c r="EH233" s="3">
        <f t="shared" si="206"/>
        <v>0</v>
      </c>
      <c r="EI233" s="3">
        <f t="shared" si="206"/>
        <v>0</v>
      </c>
      <c r="EJ233" s="3">
        <f t="shared" si="206"/>
        <v>0</v>
      </c>
      <c r="EK233" s="3">
        <f t="shared" si="206"/>
        <v>0</v>
      </c>
      <c r="EL233" s="3">
        <f t="shared" si="206"/>
        <v>0</v>
      </c>
      <c r="EM233" s="3">
        <f t="shared" ref="EM233:FR233" si="207">EM246</f>
        <v>0</v>
      </c>
      <c r="EN233" s="3">
        <f t="shared" si="207"/>
        <v>0</v>
      </c>
      <c r="EO233" s="3">
        <f t="shared" si="207"/>
        <v>0</v>
      </c>
      <c r="EP233" s="3">
        <f t="shared" si="207"/>
        <v>0</v>
      </c>
      <c r="EQ233" s="3">
        <f t="shared" si="207"/>
        <v>0</v>
      </c>
      <c r="ER233" s="3">
        <f t="shared" si="207"/>
        <v>0</v>
      </c>
      <c r="ES233" s="3">
        <f t="shared" si="207"/>
        <v>0</v>
      </c>
      <c r="ET233" s="3">
        <f t="shared" si="207"/>
        <v>0</v>
      </c>
      <c r="EU233" s="3">
        <f t="shared" si="207"/>
        <v>0</v>
      </c>
      <c r="EV233" s="3">
        <f t="shared" si="207"/>
        <v>0</v>
      </c>
      <c r="EW233" s="3">
        <f t="shared" si="207"/>
        <v>0</v>
      </c>
      <c r="EX233" s="3">
        <f t="shared" si="207"/>
        <v>0</v>
      </c>
      <c r="EY233" s="3">
        <f t="shared" si="207"/>
        <v>0</v>
      </c>
      <c r="EZ233" s="3">
        <f t="shared" si="207"/>
        <v>0</v>
      </c>
      <c r="FA233" s="3">
        <f t="shared" si="207"/>
        <v>0</v>
      </c>
      <c r="FB233" s="3">
        <f t="shared" si="207"/>
        <v>0</v>
      </c>
      <c r="FC233" s="3">
        <f t="shared" si="207"/>
        <v>0</v>
      </c>
      <c r="FD233" s="3">
        <f t="shared" si="207"/>
        <v>0</v>
      </c>
      <c r="FE233" s="3">
        <f t="shared" si="207"/>
        <v>0</v>
      </c>
      <c r="FF233" s="3">
        <f t="shared" si="207"/>
        <v>0</v>
      </c>
      <c r="FG233" s="3">
        <f t="shared" si="207"/>
        <v>0</v>
      </c>
      <c r="FH233" s="3">
        <f t="shared" si="207"/>
        <v>0</v>
      </c>
      <c r="FI233" s="3">
        <f t="shared" si="207"/>
        <v>0</v>
      </c>
      <c r="FJ233" s="3">
        <f t="shared" si="207"/>
        <v>0</v>
      </c>
      <c r="FK233" s="3">
        <f t="shared" si="207"/>
        <v>0</v>
      </c>
      <c r="FL233" s="3">
        <f t="shared" si="207"/>
        <v>0</v>
      </c>
      <c r="FM233" s="3">
        <f t="shared" si="207"/>
        <v>0</v>
      </c>
      <c r="FN233" s="3">
        <f t="shared" si="207"/>
        <v>0</v>
      </c>
      <c r="FO233" s="3">
        <f t="shared" si="207"/>
        <v>0</v>
      </c>
      <c r="FP233" s="3">
        <f t="shared" si="207"/>
        <v>0</v>
      </c>
      <c r="FQ233" s="3">
        <f t="shared" si="207"/>
        <v>0</v>
      </c>
      <c r="FR233" s="3">
        <f t="shared" si="207"/>
        <v>0</v>
      </c>
      <c r="FS233" s="3">
        <f t="shared" ref="FS233:GX233" si="208">FS246</f>
        <v>0</v>
      </c>
      <c r="FT233" s="3">
        <f t="shared" si="208"/>
        <v>0</v>
      </c>
      <c r="FU233" s="3">
        <f t="shared" si="208"/>
        <v>0</v>
      </c>
      <c r="FV233" s="3">
        <f t="shared" si="208"/>
        <v>0</v>
      </c>
      <c r="FW233" s="3">
        <f t="shared" si="208"/>
        <v>0</v>
      </c>
      <c r="FX233" s="3">
        <f t="shared" si="208"/>
        <v>0</v>
      </c>
      <c r="FY233" s="3">
        <f t="shared" si="208"/>
        <v>0</v>
      </c>
      <c r="FZ233" s="3">
        <f t="shared" si="208"/>
        <v>0</v>
      </c>
      <c r="GA233" s="3">
        <f t="shared" si="208"/>
        <v>0</v>
      </c>
      <c r="GB233" s="3">
        <f t="shared" si="208"/>
        <v>0</v>
      </c>
      <c r="GC233" s="3">
        <f t="shared" si="208"/>
        <v>0</v>
      </c>
      <c r="GD233" s="3">
        <f t="shared" si="208"/>
        <v>0</v>
      </c>
      <c r="GE233" s="3">
        <f t="shared" si="208"/>
        <v>0</v>
      </c>
      <c r="GF233" s="3">
        <f t="shared" si="208"/>
        <v>0</v>
      </c>
      <c r="GG233" s="3">
        <f t="shared" si="208"/>
        <v>0</v>
      </c>
      <c r="GH233" s="3">
        <f t="shared" si="208"/>
        <v>0</v>
      </c>
      <c r="GI233" s="3">
        <f t="shared" si="208"/>
        <v>0</v>
      </c>
      <c r="GJ233" s="3">
        <f t="shared" si="208"/>
        <v>0</v>
      </c>
      <c r="GK233" s="3">
        <f t="shared" si="208"/>
        <v>0</v>
      </c>
      <c r="GL233" s="3">
        <f t="shared" si="208"/>
        <v>0</v>
      </c>
      <c r="GM233" s="3">
        <f t="shared" si="208"/>
        <v>0</v>
      </c>
      <c r="GN233" s="3">
        <f t="shared" si="208"/>
        <v>0</v>
      </c>
      <c r="GO233" s="3">
        <f t="shared" si="208"/>
        <v>0</v>
      </c>
      <c r="GP233" s="3">
        <f t="shared" si="208"/>
        <v>0</v>
      </c>
      <c r="GQ233" s="3">
        <f t="shared" si="208"/>
        <v>0</v>
      </c>
      <c r="GR233" s="3">
        <f t="shared" si="208"/>
        <v>0</v>
      </c>
      <c r="GS233" s="3">
        <f t="shared" si="208"/>
        <v>0</v>
      </c>
      <c r="GT233" s="3">
        <f t="shared" si="208"/>
        <v>0</v>
      </c>
      <c r="GU233" s="3">
        <f t="shared" si="208"/>
        <v>0</v>
      </c>
      <c r="GV233" s="3">
        <f t="shared" si="208"/>
        <v>0</v>
      </c>
      <c r="GW233" s="3">
        <f t="shared" si="208"/>
        <v>0</v>
      </c>
      <c r="GX233" s="3">
        <f t="shared" si="208"/>
        <v>0</v>
      </c>
    </row>
    <row r="235" spans="1:245" x14ac:dyDescent="0.2">
      <c r="A235">
        <v>17</v>
      </c>
      <c r="B235">
        <v>1</v>
      </c>
      <c r="C235">
        <f>ROW(SmtRes!A342)</f>
        <v>342</v>
      </c>
      <c r="D235">
        <f>ROW(EtalonRes!A326)</f>
        <v>326</v>
      </c>
      <c r="E235" t="s">
        <v>539</v>
      </c>
      <c r="F235" t="s">
        <v>540</v>
      </c>
      <c r="G235" t="s">
        <v>541</v>
      </c>
      <c r="H235" t="s">
        <v>350</v>
      </c>
      <c r="I235">
        <v>23</v>
      </c>
      <c r="J235">
        <v>0</v>
      </c>
      <c r="O235">
        <f t="shared" ref="O235:O244" si="209">ROUND(CP235,2)</f>
        <v>363.46</v>
      </c>
      <c r="P235">
        <f t="shared" ref="P235:P244" si="210">ROUND(CQ235*I235,2)</f>
        <v>0</v>
      </c>
      <c r="Q235">
        <f t="shared" ref="Q235:Q244" si="211">ROUND(CR235*I235,2)</f>
        <v>0</v>
      </c>
      <c r="R235">
        <f t="shared" ref="R235:R244" si="212">ROUND(CS235*I235,2)</f>
        <v>0</v>
      </c>
      <c r="S235">
        <f t="shared" ref="S235:S244" si="213">ROUND(CT235*I235,2)</f>
        <v>363.46</v>
      </c>
      <c r="T235">
        <f t="shared" ref="T235:T244" si="214">ROUND(CU235*I235,2)</f>
        <v>0</v>
      </c>
      <c r="U235">
        <f t="shared" ref="U235:U244" si="215">CV235*I235</f>
        <v>5.7960000000000003</v>
      </c>
      <c r="V235">
        <f t="shared" ref="V235:V244" si="216">CW235*I235</f>
        <v>0</v>
      </c>
      <c r="W235">
        <f t="shared" ref="W235:W244" si="217">ROUND(CX235*I235,2)</f>
        <v>0</v>
      </c>
      <c r="X235">
        <f t="shared" ref="X235:X244" si="218">ROUND(CY235,2)</f>
        <v>290.77</v>
      </c>
      <c r="Y235">
        <f t="shared" ref="Y235:Y244" si="219">ROUND(CZ235,2)</f>
        <v>218.08</v>
      </c>
      <c r="AA235">
        <v>39099382</v>
      </c>
      <c r="AB235">
        <f t="shared" ref="AB235:AB244" si="220">ROUND((AC235+AD235+AF235),2)</f>
        <v>2.42</v>
      </c>
      <c r="AC235">
        <f>ROUND(((ES235*0)),2)</f>
        <v>0</v>
      </c>
      <c r="AD235">
        <f>ROUND(((((ET235*0.3))-((EU235*0.3)))+AE235),2)</f>
        <v>0</v>
      </c>
      <c r="AE235">
        <f>ROUND(((EU235*0.3)),2)</f>
        <v>0</v>
      </c>
      <c r="AF235">
        <f>ROUND(((EV235*0.3)),2)</f>
        <v>2.42</v>
      </c>
      <c r="AG235">
        <f t="shared" ref="AG235:AG244" si="221">ROUND((AP235),2)</f>
        <v>0</v>
      </c>
      <c r="AH235">
        <f>((EW235*0.3))</f>
        <v>0.252</v>
      </c>
      <c r="AI235">
        <f>((EX235*0.3))</f>
        <v>0</v>
      </c>
      <c r="AJ235">
        <f t="shared" ref="AJ235:AJ244" si="222">ROUND((AS235),2)</f>
        <v>0</v>
      </c>
      <c r="AK235">
        <v>9.36</v>
      </c>
      <c r="AL235">
        <v>1.28</v>
      </c>
      <c r="AM235">
        <v>0</v>
      </c>
      <c r="AN235">
        <v>0</v>
      </c>
      <c r="AO235">
        <v>8.08</v>
      </c>
      <c r="AP235">
        <v>0</v>
      </c>
      <c r="AQ235">
        <v>0.84</v>
      </c>
      <c r="AR235">
        <v>0</v>
      </c>
      <c r="AS235">
        <v>0</v>
      </c>
      <c r="AT235">
        <v>80</v>
      </c>
      <c r="AU235">
        <v>60</v>
      </c>
      <c r="AV235">
        <v>1</v>
      </c>
      <c r="AW235">
        <v>1</v>
      </c>
      <c r="AZ235">
        <v>6.53</v>
      </c>
      <c r="BA235">
        <v>6.53</v>
      </c>
      <c r="BB235">
        <v>6.53</v>
      </c>
      <c r="BC235">
        <v>6.53</v>
      </c>
      <c r="BD235" t="s">
        <v>3</v>
      </c>
      <c r="BE235" t="s">
        <v>3</v>
      </c>
      <c r="BF235" t="s">
        <v>3</v>
      </c>
      <c r="BG235" t="s">
        <v>3</v>
      </c>
      <c r="BH235">
        <v>0</v>
      </c>
      <c r="BI235">
        <v>2</v>
      </c>
      <c r="BJ235" t="s">
        <v>542</v>
      </c>
      <c r="BM235">
        <v>110011</v>
      </c>
      <c r="BN235">
        <v>0</v>
      </c>
      <c r="BO235" t="s">
        <v>3</v>
      </c>
      <c r="BP235">
        <v>0</v>
      </c>
      <c r="BQ235">
        <v>3</v>
      </c>
      <c r="BR235">
        <v>0</v>
      </c>
      <c r="BS235">
        <v>6.53</v>
      </c>
      <c r="BT235">
        <v>1</v>
      </c>
      <c r="BU235">
        <v>1</v>
      </c>
      <c r="BV235">
        <v>1</v>
      </c>
      <c r="BW235">
        <v>1</v>
      </c>
      <c r="BX235">
        <v>1</v>
      </c>
      <c r="BY235" t="s">
        <v>3</v>
      </c>
      <c r="BZ235">
        <v>80</v>
      </c>
      <c r="CA235">
        <v>60</v>
      </c>
      <c r="CF235">
        <v>0</v>
      </c>
      <c r="CG235">
        <v>0</v>
      </c>
      <c r="CM235">
        <v>0</v>
      </c>
      <c r="CN235" t="s">
        <v>938</v>
      </c>
      <c r="CO235">
        <v>0</v>
      </c>
      <c r="CP235">
        <f t="shared" ref="CP235:CP244" si="223">(P235+Q235+S235)</f>
        <v>363.46</v>
      </c>
      <c r="CQ235">
        <f t="shared" ref="CQ235:CQ244" si="224">AC235*BC235</f>
        <v>0</v>
      </c>
      <c r="CR235">
        <f t="shared" ref="CR235:CR244" si="225">AD235*BB235</f>
        <v>0</v>
      </c>
      <c r="CS235">
        <f t="shared" ref="CS235:CS244" si="226">AE235*BS235</f>
        <v>0</v>
      </c>
      <c r="CT235">
        <f t="shared" ref="CT235:CT244" si="227">AF235*BA235</f>
        <v>15.8026</v>
      </c>
      <c r="CU235">
        <f t="shared" ref="CU235:CU244" si="228">AG235</f>
        <v>0</v>
      </c>
      <c r="CV235">
        <f t="shared" ref="CV235:CV244" si="229">AH235</f>
        <v>0.252</v>
      </c>
      <c r="CW235">
        <f t="shared" ref="CW235:CW244" si="230">AI235</f>
        <v>0</v>
      </c>
      <c r="CX235">
        <f t="shared" ref="CX235:CX244" si="231">AJ235</f>
        <v>0</v>
      </c>
      <c r="CY235">
        <f t="shared" ref="CY235:CY244" si="232">(((S235+R235)*AT235)/100)</f>
        <v>290.76799999999997</v>
      </c>
      <c r="CZ235">
        <f t="shared" ref="CZ235:CZ244" si="233">(((S235+R235)*AU235)/100)</f>
        <v>218.07599999999999</v>
      </c>
      <c r="DC235" t="s">
        <v>3</v>
      </c>
      <c r="DD235" t="s">
        <v>210</v>
      </c>
      <c r="DE235" t="s">
        <v>373</v>
      </c>
      <c r="DF235" t="s">
        <v>373</v>
      </c>
      <c r="DG235" t="s">
        <v>373</v>
      </c>
      <c r="DH235" t="s">
        <v>3</v>
      </c>
      <c r="DI235" t="s">
        <v>373</v>
      </c>
      <c r="DJ235" t="s">
        <v>373</v>
      </c>
      <c r="DK235" t="s">
        <v>3</v>
      </c>
      <c r="DL235" t="s">
        <v>3</v>
      </c>
      <c r="DM235" t="s">
        <v>3</v>
      </c>
      <c r="DN235">
        <v>0</v>
      </c>
      <c r="DO235">
        <v>0</v>
      </c>
      <c r="DP235">
        <v>1</v>
      </c>
      <c r="DQ235">
        <v>1</v>
      </c>
      <c r="DU235">
        <v>1013</v>
      </c>
      <c r="DV235" t="s">
        <v>350</v>
      </c>
      <c r="DW235" t="s">
        <v>350</v>
      </c>
      <c r="DX235">
        <v>1</v>
      </c>
      <c r="EE235">
        <v>39174433</v>
      </c>
      <c r="EF235">
        <v>3</v>
      </c>
      <c r="EG235" t="s">
        <v>374</v>
      </c>
      <c r="EH235">
        <v>0</v>
      </c>
      <c r="EI235" t="s">
        <v>3</v>
      </c>
      <c r="EJ235">
        <v>2</v>
      </c>
      <c r="EK235">
        <v>110011</v>
      </c>
      <c r="EL235" t="s">
        <v>412</v>
      </c>
      <c r="EM235" t="s">
        <v>413</v>
      </c>
      <c r="EO235" t="s">
        <v>377</v>
      </c>
      <c r="EQ235">
        <v>0</v>
      </c>
      <c r="ER235">
        <v>9.36</v>
      </c>
      <c r="ES235">
        <v>1.28</v>
      </c>
      <c r="ET235">
        <v>0</v>
      </c>
      <c r="EU235">
        <v>0</v>
      </c>
      <c r="EV235">
        <v>8.08</v>
      </c>
      <c r="EW235">
        <v>0.84</v>
      </c>
      <c r="EX235">
        <v>0</v>
      </c>
      <c r="EY235">
        <v>0</v>
      </c>
      <c r="FQ235">
        <v>0</v>
      </c>
      <c r="FR235">
        <f t="shared" ref="FR235:FR244" si="234">ROUND(IF(AND(BH235=3,BI235=3),P235,0),2)</f>
        <v>0</v>
      </c>
      <c r="FS235">
        <v>0</v>
      </c>
      <c r="FX235">
        <v>80</v>
      </c>
      <c r="FY235">
        <v>60</v>
      </c>
      <c r="GA235" t="s">
        <v>3</v>
      </c>
      <c r="GD235">
        <v>0</v>
      </c>
      <c r="GF235">
        <v>-364108998</v>
      </c>
      <c r="GG235">
        <v>1</v>
      </c>
      <c r="GH235">
        <v>1</v>
      </c>
      <c r="GI235">
        <v>4</v>
      </c>
      <c r="GJ235">
        <v>0</v>
      </c>
      <c r="GK235">
        <f>ROUND(R235*(R12)/100,2)</f>
        <v>0</v>
      </c>
      <c r="GL235">
        <f t="shared" ref="GL235:GL244" si="235">ROUND(IF(AND(BH235=3,BI235=3,FS235&lt;&gt;0),P235,0),2)</f>
        <v>0</v>
      </c>
      <c r="GM235">
        <f t="shared" ref="GM235:GM244" si="236">ROUND(O235+X235+Y235+GK235,2)+GX235</f>
        <v>872.31</v>
      </c>
      <c r="GN235">
        <f t="shared" ref="GN235:GN244" si="237">IF(OR(BI235=0,BI235=1),ROUND(O235+X235+Y235+GK235,2),0)</f>
        <v>0</v>
      </c>
      <c r="GO235">
        <f t="shared" ref="GO235:GO244" si="238">IF(BI235=2,ROUND(O235+X235+Y235+GK235,2),0)</f>
        <v>872.31</v>
      </c>
      <c r="GP235">
        <f t="shared" ref="GP235:GP244" si="239">IF(BI235=4,ROUND(O235+X235+Y235+GK235,2)+GX235,0)</f>
        <v>0</v>
      </c>
      <c r="GR235">
        <v>0</v>
      </c>
      <c r="GS235">
        <v>3</v>
      </c>
      <c r="GT235">
        <v>0</v>
      </c>
      <c r="GU235" t="s">
        <v>3</v>
      </c>
      <c r="GV235">
        <f t="shared" ref="GV235:GV244" si="240">ROUND(GT235,2)</f>
        <v>0</v>
      </c>
      <c r="GW235">
        <v>1</v>
      </c>
      <c r="GX235">
        <f t="shared" ref="GX235:GX244" si="241">ROUND(GV235*GW235*I235,2)</f>
        <v>0</v>
      </c>
      <c r="HA235">
        <v>0</v>
      </c>
      <c r="HB235">
        <v>0</v>
      </c>
      <c r="IK235">
        <v>0</v>
      </c>
    </row>
    <row r="236" spans="1:245" x14ac:dyDescent="0.2">
      <c r="A236">
        <v>17</v>
      </c>
      <c r="B236">
        <v>1</v>
      </c>
      <c r="C236">
        <f>ROW(SmtRes!A350)</f>
        <v>350</v>
      </c>
      <c r="D236">
        <f>ROW(EtalonRes!A333)</f>
        <v>333</v>
      </c>
      <c r="E236" t="s">
        <v>543</v>
      </c>
      <c r="F236" t="s">
        <v>540</v>
      </c>
      <c r="G236" t="s">
        <v>544</v>
      </c>
      <c r="H236" t="s">
        <v>350</v>
      </c>
      <c r="I236">
        <v>46</v>
      </c>
      <c r="J236">
        <v>0</v>
      </c>
      <c r="O236">
        <f t="shared" si="209"/>
        <v>2811.56</v>
      </c>
      <c r="P236">
        <f t="shared" si="210"/>
        <v>384.49</v>
      </c>
      <c r="Q236">
        <f t="shared" si="211"/>
        <v>0</v>
      </c>
      <c r="R236">
        <f t="shared" si="212"/>
        <v>0</v>
      </c>
      <c r="S236">
        <f t="shared" si="213"/>
        <v>2427.0700000000002</v>
      </c>
      <c r="T236">
        <f t="shared" si="214"/>
        <v>0</v>
      </c>
      <c r="U236">
        <f t="shared" si="215"/>
        <v>38.64</v>
      </c>
      <c r="V236">
        <f t="shared" si="216"/>
        <v>0</v>
      </c>
      <c r="W236">
        <f t="shared" si="217"/>
        <v>0</v>
      </c>
      <c r="X236">
        <f t="shared" si="218"/>
        <v>1941.66</v>
      </c>
      <c r="Y236">
        <f t="shared" si="219"/>
        <v>1456.24</v>
      </c>
      <c r="AA236">
        <v>39099382</v>
      </c>
      <c r="AB236">
        <f t="shared" si="220"/>
        <v>9.36</v>
      </c>
      <c r="AC236">
        <f t="shared" ref="AC236:AC244" si="242">ROUND((ES236),2)</f>
        <v>1.28</v>
      </c>
      <c r="AD236">
        <f t="shared" ref="AD236:AD244" si="243">ROUND((((ET236)-(EU236))+AE236),2)</f>
        <v>0</v>
      </c>
      <c r="AE236">
        <f t="shared" ref="AE236:AE244" si="244">ROUND((EU236),2)</f>
        <v>0</v>
      </c>
      <c r="AF236">
        <f t="shared" ref="AF236:AF244" si="245">ROUND((EV236),2)</f>
        <v>8.08</v>
      </c>
      <c r="AG236">
        <f t="shared" si="221"/>
        <v>0</v>
      </c>
      <c r="AH236">
        <f t="shared" ref="AH236:AH244" si="246">(EW236)</f>
        <v>0.84</v>
      </c>
      <c r="AI236">
        <f t="shared" ref="AI236:AI244" si="247">(EX236)</f>
        <v>0</v>
      </c>
      <c r="AJ236">
        <f t="shared" si="222"/>
        <v>0</v>
      </c>
      <c r="AK236">
        <v>9.36</v>
      </c>
      <c r="AL236">
        <v>1.28</v>
      </c>
      <c r="AM236">
        <v>0</v>
      </c>
      <c r="AN236">
        <v>0</v>
      </c>
      <c r="AO236">
        <v>8.08</v>
      </c>
      <c r="AP236">
        <v>0</v>
      </c>
      <c r="AQ236">
        <v>0.84</v>
      </c>
      <c r="AR236">
        <v>0</v>
      </c>
      <c r="AS236">
        <v>0</v>
      </c>
      <c r="AT236">
        <v>80</v>
      </c>
      <c r="AU236">
        <v>60</v>
      </c>
      <c r="AV236">
        <v>1</v>
      </c>
      <c r="AW236">
        <v>1</v>
      </c>
      <c r="AZ236">
        <v>6.53</v>
      </c>
      <c r="BA236">
        <v>6.53</v>
      </c>
      <c r="BB236">
        <v>6.53</v>
      </c>
      <c r="BC236">
        <v>6.53</v>
      </c>
      <c r="BD236" t="s">
        <v>3</v>
      </c>
      <c r="BE236" t="s">
        <v>3</v>
      </c>
      <c r="BF236" t="s">
        <v>3</v>
      </c>
      <c r="BG236" t="s">
        <v>3</v>
      </c>
      <c r="BH236">
        <v>0</v>
      </c>
      <c r="BI236">
        <v>2</v>
      </c>
      <c r="BJ236" t="s">
        <v>542</v>
      </c>
      <c r="BM236">
        <v>110011</v>
      </c>
      <c r="BN236">
        <v>0</v>
      </c>
      <c r="BO236" t="s">
        <v>3</v>
      </c>
      <c r="BP236">
        <v>0</v>
      </c>
      <c r="BQ236">
        <v>3</v>
      </c>
      <c r="BR236">
        <v>0</v>
      </c>
      <c r="BS236">
        <v>6.53</v>
      </c>
      <c r="BT236">
        <v>1</v>
      </c>
      <c r="BU236">
        <v>1</v>
      </c>
      <c r="BV236">
        <v>1</v>
      </c>
      <c r="BW236">
        <v>1</v>
      </c>
      <c r="BX236">
        <v>1</v>
      </c>
      <c r="BY236" t="s">
        <v>3</v>
      </c>
      <c r="BZ236">
        <v>80</v>
      </c>
      <c r="CA236">
        <v>60</v>
      </c>
      <c r="CF236">
        <v>0</v>
      </c>
      <c r="CG236">
        <v>0</v>
      </c>
      <c r="CM236">
        <v>0</v>
      </c>
      <c r="CN236" t="s">
        <v>3</v>
      </c>
      <c r="CO236">
        <v>0</v>
      </c>
      <c r="CP236">
        <f t="shared" si="223"/>
        <v>2811.5600000000004</v>
      </c>
      <c r="CQ236">
        <f t="shared" si="224"/>
        <v>8.3583999999999996</v>
      </c>
      <c r="CR236">
        <f t="shared" si="225"/>
        <v>0</v>
      </c>
      <c r="CS236">
        <f t="shared" si="226"/>
        <v>0</v>
      </c>
      <c r="CT236">
        <f t="shared" si="227"/>
        <v>52.7624</v>
      </c>
      <c r="CU236">
        <f t="shared" si="228"/>
        <v>0</v>
      </c>
      <c r="CV236">
        <f t="shared" si="229"/>
        <v>0.84</v>
      </c>
      <c r="CW236">
        <f t="shared" si="230"/>
        <v>0</v>
      </c>
      <c r="CX236">
        <f t="shared" si="231"/>
        <v>0</v>
      </c>
      <c r="CY236">
        <f t="shared" si="232"/>
        <v>1941.6559999999999</v>
      </c>
      <c r="CZ236">
        <f t="shared" si="233"/>
        <v>1456.2420000000002</v>
      </c>
      <c r="DC236" t="s">
        <v>3</v>
      </c>
      <c r="DD236" t="s">
        <v>3</v>
      </c>
      <c r="DE236" t="s">
        <v>3</v>
      </c>
      <c r="DF236" t="s">
        <v>3</v>
      </c>
      <c r="DG236" t="s">
        <v>3</v>
      </c>
      <c r="DH236" t="s">
        <v>3</v>
      </c>
      <c r="DI236" t="s">
        <v>3</v>
      </c>
      <c r="DJ236" t="s">
        <v>3</v>
      </c>
      <c r="DK236" t="s">
        <v>3</v>
      </c>
      <c r="DL236" t="s">
        <v>3</v>
      </c>
      <c r="DM236" t="s">
        <v>3</v>
      </c>
      <c r="DN236">
        <v>0</v>
      </c>
      <c r="DO236">
        <v>0</v>
      </c>
      <c r="DP236">
        <v>1</v>
      </c>
      <c r="DQ236">
        <v>1</v>
      </c>
      <c r="DU236">
        <v>1013</v>
      </c>
      <c r="DV236" t="s">
        <v>350</v>
      </c>
      <c r="DW236" t="s">
        <v>350</v>
      </c>
      <c r="DX236">
        <v>1</v>
      </c>
      <c r="EE236">
        <v>39174433</v>
      </c>
      <c r="EF236">
        <v>3</v>
      </c>
      <c r="EG236" t="s">
        <v>374</v>
      </c>
      <c r="EH236">
        <v>0</v>
      </c>
      <c r="EI236" t="s">
        <v>3</v>
      </c>
      <c r="EJ236">
        <v>2</v>
      </c>
      <c r="EK236">
        <v>110011</v>
      </c>
      <c r="EL236" t="s">
        <v>412</v>
      </c>
      <c r="EM236" t="s">
        <v>413</v>
      </c>
      <c r="EO236" t="s">
        <v>3</v>
      </c>
      <c r="EQ236">
        <v>0</v>
      </c>
      <c r="ER236">
        <v>9.36</v>
      </c>
      <c r="ES236">
        <v>1.28</v>
      </c>
      <c r="ET236">
        <v>0</v>
      </c>
      <c r="EU236">
        <v>0</v>
      </c>
      <c r="EV236">
        <v>8.08</v>
      </c>
      <c r="EW236">
        <v>0.84</v>
      </c>
      <c r="EX236">
        <v>0</v>
      </c>
      <c r="EY236">
        <v>0</v>
      </c>
      <c r="FQ236">
        <v>0</v>
      </c>
      <c r="FR236">
        <f t="shared" si="234"/>
        <v>0</v>
      </c>
      <c r="FS236">
        <v>0</v>
      </c>
      <c r="FX236">
        <v>80</v>
      </c>
      <c r="FY236">
        <v>60</v>
      </c>
      <c r="GA236" t="s">
        <v>3</v>
      </c>
      <c r="GD236">
        <v>0</v>
      </c>
      <c r="GF236">
        <v>-675514791</v>
      </c>
      <c r="GG236">
        <v>1</v>
      </c>
      <c r="GH236">
        <v>1</v>
      </c>
      <c r="GI236">
        <v>4</v>
      </c>
      <c r="GJ236">
        <v>0</v>
      </c>
      <c r="GK236">
        <f>ROUND(R236*(R12)/100,2)</f>
        <v>0</v>
      </c>
      <c r="GL236">
        <f t="shared" si="235"/>
        <v>0</v>
      </c>
      <c r="GM236">
        <f t="shared" si="236"/>
        <v>6209.46</v>
      </c>
      <c r="GN236">
        <f t="shared" si="237"/>
        <v>0</v>
      </c>
      <c r="GO236">
        <f t="shared" si="238"/>
        <v>6209.46</v>
      </c>
      <c r="GP236">
        <f t="shared" si="239"/>
        <v>0</v>
      </c>
      <c r="GR236">
        <v>0</v>
      </c>
      <c r="GS236">
        <v>3</v>
      </c>
      <c r="GT236">
        <v>0</v>
      </c>
      <c r="GU236" t="s">
        <v>3</v>
      </c>
      <c r="GV236">
        <f t="shared" si="240"/>
        <v>0</v>
      </c>
      <c r="GW236">
        <v>1</v>
      </c>
      <c r="GX236">
        <f t="shared" si="241"/>
        <v>0</v>
      </c>
      <c r="HA236">
        <v>0</v>
      </c>
      <c r="HB236">
        <v>0</v>
      </c>
      <c r="IK236">
        <v>0</v>
      </c>
    </row>
    <row r="237" spans="1:245" x14ac:dyDescent="0.2">
      <c r="A237">
        <v>18</v>
      </c>
      <c r="B237">
        <v>1</v>
      </c>
      <c r="C237">
        <v>349</v>
      </c>
      <c r="E237" t="s">
        <v>545</v>
      </c>
      <c r="F237" t="s">
        <v>546</v>
      </c>
      <c r="G237" t="s">
        <v>547</v>
      </c>
      <c r="H237" t="s">
        <v>417</v>
      </c>
      <c r="I237">
        <f>I236*J237</f>
        <v>4.5999999999999996</v>
      </c>
      <c r="J237">
        <v>9.9999999999999992E-2</v>
      </c>
      <c r="O237">
        <f t="shared" si="209"/>
        <v>8629.32</v>
      </c>
      <c r="P237">
        <f t="shared" si="210"/>
        <v>8629.32</v>
      </c>
      <c r="Q237">
        <f t="shared" si="211"/>
        <v>0</v>
      </c>
      <c r="R237">
        <f t="shared" si="212"/>
        <v>0</v>
      </c>
      <c r="S237">
        <f t="shared" si="213"/>
        <v>0</v>
      </c>
      <c r="T237">
        <f t="shared" si="214"/>
        <v>0</v>
      </c>
      <c r="U237">
        <f t="shared" si="215"/>
        <v>0</v>
      </c>
      <c r="V237">
        <f t="shared" si="216"/>
        <v>0</v>
      </c>
      <c r="W237">
        <f t="shared" si="217"/>
        <v>0</v>
      </c>
      <c r="X237">
        <f t="shared" si="218"/>
        <v>0</v>
      </c>
      <c r="Y237">
        <f t="shared" si="219"/>
        <v>0</v>
      </c>
      <c r="AA237">
        <v>39099382</v>
      </c>
      <c r="AB237">
        <f t="shared" si="220"/>
        <v>287.27999999999997</v>
      </c>
      <c r="AC237">
        <f t="shared" si="242"/>
        <v>287.27999999999997</v>
      </c>
      <c r="AD237">
        <f t="shared" si="243"/>
        <v>0</v>
      </c>
      <c r="AE237">
        <f t="shared" si="244"/>
        <v>0</v>
      </c>
      <c r="AF237">
        <f t="shared" si="245"/>
        <v>0</v>
      </c>
      <c r="AG237">
        <f t="shared" si="221"/>
        <v>0</v>
      </c>
      <c r="AH237">
        <f t="shared" si="246"/>
        <v>0</v>
      </c>
      <c r="AI237">
        <f t="shared" si="247"/>
        <v>0</v>
      </c>
      <c r="AJ237">
        <f t="shared" si="222"/>
        <v>0</v>
      </c>
      <c r="AK237">
        <v>287.27999999999997</v>
      </c>
      <c r="AL237">
        <v>287.27999999999997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80</v>
      </c>
      <c r="AU237">
        <v>60</v>
      </c>
      <c r="AV237">
        <v>1</v>
      </c>
      <c r="AW237">
        <v>1</v>
      </c>
      <c r="AZ237">
        <v>6.53</v>
      </c>
      <c r="BA237">
        <v>1</v>
      </c>
      <c r="BB237">
        <v>1</v>
      </c>
      <c r="BC237">
        <v>6.53</v>
      </c>
      <c r="BD237" t="s">
        <v>3</v>
      </c>
      <c r="BE237" t="s">
        <v>3</v>
      </c>
      <c r="BF237" t="s">
        <v>3</v>
      </c>
      <c r="BG237" t="s">
        <v>3</v>
      </c>
      <c r="BH237">
        <v>3</v>
      </c>
      <c r="BI237">
        <v>2</v>
      </c>
      <c r="BJ237" t="s">
        <v>548</v>
      </c>
      <c r="BM237">
        <v>110011</v>
      </c>
      <c r="BN237">
        <v>0</v>
      </c>
      <c r="BO237" t="s">
        <v>3</v>
      </c>
      <c r="BP237">
        <v>0</v>
      </c>
      <c r="BQ237">
        <v>3</v>
      </c>
      <c r="BR237">
        <v>0</v>
      </c>
      <c r="BS237">
        <v>1</v>
      </c>
      <c r="BT237">
        <v>1</v>
      </c>
      <c r="BU237">
        <v>1</v>
      </c>
      <c r="BV237">
        <v>1</v>
      </c>
      <c r="BW237">
        <v>1</v>
      </c>
      <c r="BX237">
        <v>1</v>
      </c>
      <c r="BY237" t="s">
        <v>3</v>
      </c>
      <c r="BZ237">
        <v>80</v>
      </c>
      <c r="CA237">
        <v>60</v>
      </c>
      <c r="CF237">
        <v>0</v>
      </c>
      <c r="CG237">
        <v>0</v>
      </c>
      <c r="CM237">
        <v>0</v>
      </c>
      <c r="CN237" t="s">
        <v>3</v>
      </c>
      <c r="CO237">
        <v>0</v>
      </c>
      <c r="CP237">
        <f t="shared" si="223"/>
        <v>8629.32</v>
      </c>
      <c r="CQ237">
        <f t="shared" si="224"/>
        <v>1875.9384</v>
      </c>
      <c r="CR237">
        <f t="shared" si="225"/>
        <v>0</v>
      </c>
      <c r="CS237">
        <f t="shared" si="226"/>
        <v>0</v>
      </c>
      <c r="CT237">
        <f t="shared" si="227"/>
        <v>0</v>
      </c>
      <c r="CU237">
        <f t="shared" si="228"/>
        <v>0</v>
      </c>
      <c r="CV237">
        <f t="shared" si="229"/>
        <v>0</v>
      </c>
      <c r="CW237">
        <f t="shared" si="230"/>
        <v>0</v>
      </c>
      <c r="CX237">
        <f t="shared" si="231"/>
        <v>0</v>
      </c>
      <c r="CY237">
        <f t="shared" si="232"/>
        <v>0</v>
      </c>
      <c r="CZ237">
        <f t="shared" si="233"/>
        <v>0</v>
      </c>
      <c r="DC237" t="s">
        <v>3</v>
      </c>
      <c r="DD237" t="s">
        <v>3</v>
      </c>
      <c r="DE237" t="s">
        <v>3</v>
      </c>
      <c r="DF237" t="s">
        <v>3</v>
      </c>
      <c r="DG237" t="s">
        <v>3</v>
      </c>
      <c r="DH237" t="s">
        <v>3</v>
      </c>
      <c r="DI237" t="s">
        <v>3</v>
      </c>
      <c r="DJ237" t="s">
        <v>3</v>
      </c>
      <c r="DK237" t="s">
        <v>3</v>
      </c>
      <c r="DL237" t="s">
        <v>3</v>
      </c>
      <c r="DM237" t="s">
        <v>3</v>
      </c>
      <c r="DN237">
        <v>0</v>
      </c>
      <c r="DO237">
        <v>0</v>
      </c>
      <c r="DP237">
        <v>1</v>
      </c>
      <c r="DQ237">
        <v>1</v>
      </c>
      <c r="DU237">
        <v>1010</v>
      </c>
      <c r="DV237" t="s">
        <v>417</v>
      </c>
      <c r="DW237" t="s">
        <v>417</v>
      </c>
      <c r="DX237">
        <v>10</v>
      </c>
      <c r="EE237">
        <v>39174433</v>
      </c>
      <c r="EF237">
        <v>3</v>
      </c>
      <c r="EG237" t="s">
        <v>374</v>
      </c>
      <c r="EH237">
        <v>0</v>
      </c>
      <c r="EI237" t="s">
        <v>3</v>
      </c>
      <c r="EJ237">
        <v>2</v>
      </c>
      <c r="EK237">
        <v>110011</v>
      </c>
      <c r="EL237" t="s">
        <v>412</v>
      </c>
      <c r="EM237" t="s">
        <v>413</v>
      </c>
      <c r="EO237" t="s">
        <v>3</v>
      </c>
      <c r="EQ237">
        <v>0</v>
      </c>
      <c r="ER237">
        <v>287.27999999999997</v>
      </c>
      <c r="ES237">
        <v>287.27999999999997</v>
      </c>
      <c r="ET237">
        <v>0</v>
      </c>
      <c r="EU237">
        <v>0</v>
      </c>
      <c r="EV237">
        <v>0</v>
      </c>
      <c r="EW237">
        <v>0</v>
      </c>
      <c r="EX237">
        <v>0</v>
      </c>
      <c r="FQ237">
        <v>0</v>
      </c>
      <c r="FR237">
        <f t="shared" si="234"/>
        <v>0</v>
      </c>
      <c r="FS237">
        <v>0</v>
      </c>
      <c r="FX237">
        <v>80</v>
      </c>
      <c r="FY237">
        <v>60</v>
      </c>
      <c r="GA237" t="s">
        <v>3</v>
      </c>
      <c r="GD237">
        <v>0</v>
      </c>
      <c r="GF237">
        <v>-1633447119</v>
      </c>
      <c r="GG237">
        <v>1</v>
      </c>
      <c r="GH237">
        <v>1</v>
      </c>
      <c r="GI237">
        <v>4</v>
      </c>
      <c r="GJ237">
        <v>0</v>
      </c>
      <c r="GK237">
        <f>ROUND(R237*(R12)/100,2)</f>
        <v>0</v>
      </c>
      <c r="GL237">
        <f t="shared" si="235"/>
        <v>0</v>
      </c>
      <c r="GM237">
        <f t="shared" si="236"/>
        <v>8629.32</v>
      </c>
      <c r="GN237">
        <f t="shared" si="237"/>
        <v>0</v>
      </c>
      <c r="GO237">
        <f t="shared" si="238"/>
        <v>8629.32</v>
      </c>
      <c r="GP237">
        <f t="shared" si="239"/>
        <v>0</v>
      </c>
      <c r="GR237">
        <v>0</v>
      </c>
      <c r="GS237">
        <v>3</v>
      </c>
      <c r="GT237">
        <v>0</v>
      </c>
      <c r="GU237" t="s">
        <v>3</v>
      </c>
      <c r="GV237">
        <f t="shared" si="240"/>
        <v>0</v>
      </c>
      <c r="GW237">
        <v>1</v>
      </c>
      <c r="GX237">
        <f t="shared" si="241"/>
        <v>0</v>
      </c>
      <c r="HA237">
        <v>0</v>
      </c>
      <c r="HB237">
        <v>0</v>
      </c>
      <c r="IK237">
        <v>0</v>
      </c>
    </row>
    <row r="238" spans="1:245" x14ac:dyDescent="0.2">
      <c r="A238">
        <v>17</v>
      </c>
      <c r="B238">
        <v>1</v>
      </c>
      <c r="C238">
        <f>ROW(SmtRes!A356)</f>
        <v>356</v>
      </c>
      <c r="D238">
        <f>ROW(EtalonRes!A338)</f>
        <v>338</v>
      </c>
      <c r="E238" t="s">
        <v>549</v>
      </c>
      <c r="F238" t="s">
        <v>550</v>
      </c>
      <c r="G238" t="s">
        <v>551</v>
      </c>
      <c r="H238" t="s">
        <v>552</v>
      </c>
      <c r="I238">
        <f>ROUND(23/10,9)</f>
        <v>2.2999999999999998</v>
      </c>
      <c r="J238">
        <v>0</v>
      </c>
      <c r="O238">
        <f t="shared" si="209"/>
        <v>993.96</v>
      </c>
      <c r="P238">
        <f t="shared" si="210"/>
        <v>189.39</v>
      </c>
      <c r="Q238">
        <f t="shared" si="211"/>
        <v>0</v>
      </c>
      <c r="R238">
        <f t="shared" si="212"/>
        <v>0</v>
      </c>
      <c r="S238">
        <f t="shared" si="213"/>
        <v>804.57</v>
      </c>
      <c r="T238">
        <f t="shared" si="214"/>
        <v>0</v>
      </c>
      <c r="U238">
        <f t="shared" si="215"/>
        <v>12.42</v>
      </c>
      <c r="V238">
        <f t="shared" si="216"/>
        <v>0</v>
      </c>
      <c r="W238">
        <f t="shared" si="217"/>
        <v>0</v>
      </c>
      <c r="X238">
        <f t="shared" si="218"/>
        <v>643.66</v>
      </c>
      <c r="Y238">
        <f t="shared" si="219"/>
        <v>482.74</v>
      </c>
      <c r="AA238">
        <v>39099382</v>
      </c>
      <c r="AB238">
        <f t="shared" si="220"/>
        <v>66.180000000000007</v>
      </c>
      <c r="AC238">
        <f t="shared" si="242"/>
        <v>12.61</v>
      </c>
      <c r="AD238">
        <f t="shared" si="243"/>
        <v>0</v>
      </c>
      <c r="AE238">
        <f t="shared" si="244"/>
        <v>0</v>
      </c>
      <c r="AF238">
        <f t="shared" si="245"/>
        <v>53.57</v>
      </c>
      <c r="AG238">
        <f t="shared" si="221"/>
        <v>0</v>
      </c>
      <c r="AH238">
        <f t="shared" si="246"/>
        <v>5.4</v>
      </c>
      <c r="AI238">
        <f t="shared" si="247"/>
        <v>0</v>
      </c>
      <c r="AJ238">
        <f t="shared" si="222"/>
        <v>0</v>
      </c>
      <c r="AK238">
        <v>66.180000000000007</v>
      </c>
      <c r="AL238">
        <v>12.61</v>
      </c>
      <c r="AM238">
        <v>0</v>
      </c>
      <c r="AN238">
        <v>0</v>
      </c>
      <c r="AO238">
        <v>53.57</v>
      </c>
      <c r="AP238">
        <v>0</v>
      </c>
      <c r="AQ238">
        <v>5.4</v>
      </c>
      <c r="AR238">
        <v>0</v>
      </c>
      <c r="AS238">
        <v>0</v>
      </c>
      <c r="AT238">
        <v>80</v>
      </c>
      <c r="AU238">
        <v>60</v>
      </c>
      <c r="AV238">
        <v>1</v>
      </c>
      <c r="AW238">
        <v>1</v>
      </c>
      <c r="AZ238">
        <v>6.53</v>
      </c>
      <c r="BA238">
        <v>6.53</v>
      </c>
      <c r="BB238">
        <v>6.53</v>
      </c>
      <c r="BC238">
        <v>6.53</v>
      </c>
      <c r="BD238" t="s">
        <v>3</v>
      </c>
      <c r="BE238" t="s">
        <v>3</v>
      </c>
      <c r="BF238" t="s">
        <v>3</v>
      </c>
      <c r="BG238" t="s">
        <v>3</v>
      </c>
      <c r="BH238">
        <v>0</v>
      </c>
      <c r="BI238">
        <v>2</v>
      </c>
      <c r="BJ238" t="s">
        <v>553</v>
      </c>
      <c r="BM238">
        <v>110011</v>
      </c>
      <c r="BN238">
        <v>0</v>
      </c>
      <c r="BO238" t="s">
        <v>3</v>
      </c>
      <c r="BP238">
        <v>0</v>
      </c>
      <c r="BQ238">
        <v>3</v>
      </c>
      <c r="BR238">
        <v>0</v>
      </c>
      <c r="BS238">
        <v>6.53</v>
      </c>
      <c r="BT238">
        <v>1</v>
      </c>
      <c r="BU238">
        <v>1</v>
      </c>
      <c r="BV238">
        <v>1</v>
      </c>
      <c r="BW238">
        <v>1</v>
      </c>
      <c r="BX238">
        <v>1</v>
      </c>
      <c r="BY238" t="s">
        <v>3</v>
      </c>
      <c r="BZ238">
        <v>80</v>
      </c>
      <c r="CA238">
        <v>60</v>
      </c>
      <c r="CF238">
        <v>0</v>
      </c>
      <c r="CG238">
        <v>0</v>
      </c>
      <c r="CM238">
        <v>0</v>
      </c>
      <c r="CN238" t="s">
        <v>3</v>
      </c>
      <c r="CO238">
        <v>0</v>
      </c>
      <c r="CP238">
        <f t="shared" si="223"/>
        <v>993.96</v>
      </c>
      <c r="CQ238">
        <f t="shared" si="224"/>
        <v>82.343299999999999</v>
      </c>
      <c r="CR238">
        <f t="shared" si="225"/>
        <v>0</v>
      </c>
      <c r="CS238">
        <f t="shared" si="226"/>
        <v>0</v>
      </c>
      <c r="CT238">
        <f t="shared" si="227"/>
        <v>349.81210000000004</v>
      </c>
      <c r="CU238">
        <f t="shared" si="228"/>
        <v>0</v>
      </c>
      <c r="CV238">
        <f t="shared" si="229"/>
        <v>5.4</v>
      </c>
      <c r="CW238">
        <f t="shared" si="230"/>
        <v>0</v>
      </c>
      <c r="CX238">
        <f t="shared" si="231"/>
        <v>0</v>
      </c>
      <c r="CY238">
        <f t="shared" si="232"/>
        <v>643.65600000000006</v>
      </c>
      <c r="CZ238">
        <f t="shared" si="233"/>
        <v>482.74200000000002</v>
      </c>
      <c r="DC238" t="s">
        <v>3</v>
      </c>
      <c r="DD238" t="s">
        <v>3</v>
      </c>
      <c r="DE238" t="s">
        <v>3</v>
      </c>
      <c r="DF238" t="s">
        <v>3</v>
      </c>
      <c r="DG238" t="s">
        <v>3</v>
      </c>
      <c r="DH238" t="s">
        <v>3</v>
      </c>
      <c r="DI238" t="s">
        <v>3</v>
      </c>
      <c r="DJ238" t="s">
        <v>3</v>
      </c>
      <c r="DK238" t="s">
        <v>3</v>
      </c>
      <c r="DL238" t="s">
        <v>3</v>
      </c>
      <c r="DM238" t="s">
        <v>3</v>
      </c>
      <c r="DN238">
        <v>0</v>
      </c>
      <c r="DO238">
        <v>0</v>
      </c>
      <c r="DP238">
        <v>1</v>
      </c>
      <c r="DQ238">
        <v>1</v>
      </c>
      <c r="DU238">
        <v>1013</v>
      </c>
      <c r="DV238" t="s">
        <v>552</v>
      </c>
      <c r="DW238" t="s">
        <v>552</v>
      </c>
      <c r="DX238">
        <v>1</v>
      </c>
      <c r="EE238">
        <v>39174433</v>
      </c>
      <c r="EF238">
        <v>3</v>
      </c>
      <c r="EG238" t="s">
        <v>374</v>
      </c>
      <c r="EH238">
        <v>0</v>
      </c>
      <c r="EI238" t="s">
        <v>3</v>
      </c>
      <c r="EJ238">
        <v>2</v>
      </c>
      <c r="EK238">
        <v>110011</v>
      </c>
      <c r="EL238" t="s">
        <v>412</v>
      </c>
      <c r="EM238" t="s">
        <v>413</v>
      </c>
      <c r="EO238" t="s">
        <v>3</v>
      </c>
      <c r="EQ238">
        <v>0</v>
      </c>
      <c r="ER238">
        <v>66.180000000000007</v>
      </c>
      <c r="ES238">
        <v>12.61</v>
      </c>
      <c r="ET238">
        <v>0</v>
      </c>
      <c r="EU238">
        <v>0</v>
      </c>
      <c r="EV238">
        <v>53.57</v>
      </c>
      <c r="EW238">
        <v>5.4</v>
      </c>
      <c r="EX238">
        <v>0</v>
      </c>
      <c r="EY238">
        <v>0</v>
      </c>
      <c r="FQ238">
        <v>0</v>
      </c>
      <c r="FR238">
        <f t="shared" si="234"/>
        <v>0</v>
      </c>
      <c r="FS238">
        <v>0</v>
      </c>
      <c r="FX238">
        <v>80</v>
      </c>
      <c r="FY238">
        <v>60</v>
      </c>
      <c r="GA238" t="s">
        <v>3</v>
      </c>
      <c r="GD238">
        <v>0</v>
      </c>
      <c r="GF238">
        <v>-1802928035</v>
      </c>
      <c r="GG238">
        <v>1</v>
      </c>
      <c r="GH238">
        <v>1</v>
      </c>
      <c r="GI238">
        <v>4</v>
      </c>
      <c r="GJ238">
        <v>0</v>
      </c>
      <c r="GK238">
        <f>ROUND(R238*(R12)/100,2)</f>
        <v>0</v>
      </c>
      <c r="GL238">
        <f t="shared" si="235"/>
        <v>0</v>
      </c>
      <c r="GM238">
        <f t="shared" si="236"/>
        <v>2120.36</v>
      </c>
      <c r="GN238">
        <f t="shared" si="237"/>
        <v>0</v>
      </c>
      <c r="GO238">
        <f t="shared" si="238"/>
        <v>2120.36</v>
      </c>
      <c r="GP238">
        <f t="shared" si="239"/>
        <v>0</v>
      </c>
      <c r="GR238">
        <v>0</v>
      </c>
      <c r="GS238">
        <v>3</v>
      </c>
      <c r="GT238">
        <v>0</v>
      </c>
      <c r="GU238" t="s">
        <v>3</v>
      </c>
      <c r="GV238">
        <f t="shared" si="240"/>
        <v>0</v>
      </c>
      <c r="GW238">
        <v>1</v>
      </c>
      <c r="GX238">
        <f t="shared" si="241"/>
        <v>0</v>
      </c>
      <c r="HA238">
        <v>0</v>
      </c>
      <c r="HB238">
        <v>0</v>
      </c>
      <c r="IK238">
        <v>0</v>
      </c>
    </row>
    <row r="239" spans="1:245" x14ac:dyDescent="0.2">
      <c r="A239">
        <v>18</v>
      </c>
      <c r="B239">
        <v>1</v>
      </c>
      <c r="C239">
        <v>355</v>
      </c>
      <c r="E239" t="s">
        <v>554</v>
      </c>
      <c r="F239" t="s">
        <v>555</v>
      </c>
      <c r="G239" t="s">
        <v>556</v>
      </c>
      <c r="H239" t="s">
        <v>37</v>
      </c>
      <c r="I239">
        <f>I238*J239</f>
        <v>23</v>
      </c>
      <c r="J239">
        <v>10</v>
      </c>
      <c r="O239">
        <f t="shared" si="209"/>
        <v>8699</v>
      </c>
      <c r="P239">
        <f t="shared" si="210"/>
        <v>8699</v>
      </c>
      <c r="Q239">
        <f t="shared" si="211"/>
        <v>0</v>
      </c>
      <c r="R239">
        <f t="shared" si="212"/>
        <v>0</v>
      </c>
      <c r="S239">
        <f t="shared" si="213"/>
        <v>0</v>
      </c>
      <c r="T239">
        <f t="shared" si="214"/>
        <v>0</v>
      </c>
      <c r="U239">
        <f t="shared" si="215"/>
        <v>0</v>
      </c>
      <c r="V239">
        <f t="shared" si="216"/>
        <v>0</v>
      </c>
      <c r="W239">
        <f t="shared" si="217"/>
        <v>0</v>
      </c>
      <c r="X239">
        <f t="shared" si="218"/>
        <v>0</v>
      </c>
      <c r="Y239">
        <f t="shared" si="219"/>
        <v>0</v>
      </c>
      <c r="AA239">
        <v>39099382</v>
      </c>
      <c r="AB239">
        <f t="shared" si="220"/>
        <v>57.92</v>
      </c>
      <c r="AC239">
        <f t="shared" si="242"/>
        <v>57.92</v>
      </c>
      <c r="AD239">
        <f t="shared" si="243"/>
        <v>0</v>
      </c>
      <c r="AE239">
        <f t="shared" si="244"/>
        <v>0</v>
      </c>
      <c r="AF239">
        <f t="shared" si="245"/>
        <v>0</v>
      </c>
      <c r="AG239">
        <f t="shared" si="221"/>
        <v>0</v>
      </c>
      <c r="AH239">
        <f t="shared" si="246"/>
        <v>0</v>
      </c>
      <c r="AI239">
        <f t="shared" si="247"/>
        <v>0</v>
      </c>
      <c r="AJ239">
        <f t="shared" si="222"/>
        <v>0</v>
      </c>
      <c r="AK239">
        <v>57.92</v>
      </c>
      <c r="AL239">
        <v>57.92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80</v>
      </c>
      <c r="AU239">
        <v>60</v>
      </c>
      <c r="AV239">
        <v>1</v>
      </c>
      <c r="AW239">
        <v>1</v>
      </c>
      <c r="AZ239">
        <v>6.53</v>
      </c>
      <c r="BA239">
        <v>1</v>
      </c>
      <c r="BB239">
        <v>1</v>
      </c>
      <c r="BC239">
        <v>6.53</v>
      </c>
      <c r="BD239" t="s">
        <v>3</v>
      </c>
      <c r="BE239" t="s">
        <v>3</v>
      </c>
      <c r="BF239" t="s">
        <v>3</v>
      </c>
      <c r="BG239" t="s">
        <v>3</v>
      </c>
      <c r="BH239">
        <v>3</v>
      </c>
      <c r="BI239">
        <v>2</v>
      </c>
      <c r="BJ239" t="s">
        <v>557</v>
      </c>
      <c r="BM239">
        <v>110011</v>
      </c>
      <c r="BN239">
        <v>0</v>
      </c>
      <c r="BO239" t="s">
        <v>3</v>
      </c>
      <c r="BP239">
        <v>0</v>
      </c>
      <c r="BQ239">
        <v>3</v>
      </c>
      <c r="BR239">
        <v>0</v>
      </c>
      <c r="BS239">
        <v>1</v>
      </c>
      <c r="BT239">
        <v>1</v>
      </c>
      <c r="BU239">
        <v>1</v>
      </c>
      <c r="BV239">
        <v>1</v>
      </c>
      <c r="BW239">
        <v>1</v>
      </c>
      <c r="BX239">
        <v>1</v>
      </c>
      <c r="BY239" t="s">
        <v>3</v>
      </c>
      <c r="BZ239">
        <v>80</v>
      </c>
      <c r="CA239">
        <v>60</v>
      </c>
      <c r="CF239">
        <v>0</v>
      </c>
      <c r="CG239">
        <v>0</v>
      </c>
      <c r="CM239">
        <v>0</v>
      </c>
      <c r="CN239" t="s">
        <v>3</v>
      </c>
      <c r="CO239">
        <v>0</v>
      </c>
      <c r="CP239">
        <f t="shared" si="223"/>
        <v>8699</v>
      </c>
      <c r="CQ239">
        <f t="shared" si="224"/>
        <v>378.2176</v>
      </c>
      <c r="CR239">
        <f t="shared" si="225"/>
        <v>0</v>
      </c>
      <c r="CS239">
        <f t="shared" si="226"/>
        <v>0</v>
      </c>
      <c r="CT239">
        <f t="shared" si="227"/>
        <v>0</v>
      </c>
      <c r="CU239">
        <f t="shared" si="228"/>
        <v>0</v>
      </c>
      <c r="CV239">
        <f t="shared" si="229"/>
        <v>0</v>
      </c>
      <c r="CW239">
        <f t="shared" si="230"/>
        <v>0</v>
      </c>
      <c r="CX239">
        <f t="shared" si="231"/>
        <v>0</v>
      </c>
      <c r="CY239">
        <f t="shared" si="232"/>
        <v>0</v>
      </c>
      <c r="CZ239">
        <f t="shared" si="233"/>
        <v>0</v>
      </c>
      <c r="DC239" t="s">
        <v>3</v>
      </c>
      <c r="DD239" t="s">
        <v>3</v>
      </c>
      <c r="DE239" t="s">
        <v>3</v>
      </c>
      <c r="DF239" t="s">
        <v>3</v>
      </c>
      <c r="DG239" t="s">
        <v>3</v>
      </c>
      <c r="DH239" t="s">
        <v>3</v>
      </c>
      <c r="DI239" t="s">
        <v>3</v>
      </c>
      <c r="DJ239" t="s">
        <v>3</v>
      </c>
      <c r="DK239" t="s">
        <v>3</v>
      </c>
      <c r="DL239" t="s">
        <v>3</v>
      </c>
      <c r="DM239" t="s">
        <v>3</v>
      </c>
      <c r="DN239">
        <v>0</v>
      </c>
      <c r="DO239">
        <v>0</v>
      </c>
      <c r="DP239">
        <v>1</v>
      </c>
      <c r="DQ239">
        <v>1</v>
      </c>
      <c r="DU239">
        <v>1010</v>
      </c>
      <c r="DV239" t="s">
        <v>37</v>
      </c>
      <c r="DW239" t="s">
        <v>37</v>
      </c>
      <c r="DX239">
        <v>1</v>
      </c>
      <c r="EE239">
        <v>39174433</v>
      </c>
      <c r="EF239">
        <v>3</v>
      </c>
      <c r="EG239" t="s">
        <v>374</v>
      </c>
      <c r="EH239">
        <v>0</v>
      </c>
      <c r="EI239" t="s">
        <v>3</v>
      </c>
      <c r="EJ239">
        <v>2</v>
      </c>
      <c r="EK239">
        <v>110011</v>
      </c>
      <c r="EL239" t="s">
        <v>412</v>
      </c>
      <c r="EM239" t="s">
        <v>413</v>
      </c>
      <c r="EO239" t="s">
        <v>3</v>
      </c>
      <c r="EQ239">
        <v>0</v>
      </c>
      <c r="ER239">
        <v>57.92</v>
      </c>
      <c r="ES239">
        <v>57.92</v>
      </c>
      <c r="ET239">
        <v>0</v>
      </c>
      <c r="EU239">
        <v>0</v>
      </c>
      <c r="EV239">
        <v>0</v>
      </c>
      <c r="EW239">
        <v>0</v>
      </c>
      <c r="EX239">
        <v>0</v>
      </c>
      <c r="FQ239">
        <v>0</v>
      </c>
      <c r="FR239">
        <f t="shared" si="234"/>
        <v>0</v>
      </c>
      <c r="FS239">
        <v>0</v>
      </c>
      <c r="FX239">
        <v>80</v>
      </c>
      <c r="FY239">
        <v>60</v>
      </c>
      <c r="GA239" t="s">
        <v>3</v>
      </c>
      <c r="GD239">
        <v>0</v>
      </c>
      <c r="GF239">
        <v>-355802124</v>
      </c>
      <c r="GG239">
        <v>1</v>
      </c>
      <c r="GH239">
        <v>1</v>
      </c>
      <c r="GI239">
        <v>4</v>
      </c>
      <c r="GJ239">
        <v>0</v>
      </c>
      <c r="GK239">
        <f>ROUND(R239*(R12)/100,2)</f>
        <v>0</v>
      </c>
      <c r="GL239">
        <f t="shared" si="235"/>
        <v>0</v>
      </c>
      <c r="GM239">
        <f t="shared" si="236"/>
        <v>8699</v>
      </c>
      <c r="GN239">
        <f t="shared" si="237"/>
        <v>0</v>
      </c>
      <c r="GO239">
        <f t="shared" si="238"/>
        <v>8699</v>
      </c>
      <c r="GP239">
        <f t="shared" si="239"/>
        <v>0</v>
      </c>
      <c r="GR239">
        <v>0</v>
      </c>
      <c r="GS239">
        <v>3</v>
      </c>
      <c r="GT239">
        <v>0</v>
      </c>
      <c r="GU239" t="s">
        <v>3</v>
      </c>
      <c r="GV239">
        <f t="shared" si="240"/>
        <v>0</v>
      </c>
      <c r="GW239">
        <v>1</v>
      </c>
      <c r="GX239">
        <f t="shared" si="241"/>
        <v>0</v>
      </c>
      <c r="HA239">
        <v>0</v>
      </c>
      <c r="HB239">
        <v>0</v>
      </c>
      <c r="IK239">
        <v>0</v>
      </c>
    </row>
    <row r="240" spans="1:245" x14ac:dyDescent="0.2">
      <c r="A240">
        <v>17</v>
      </c>
      <c r="B240">
        <v>1</v>
      </c>
      <c r="C240">
        <f>ROW(SmtRes!A360)</f>
        <v>360</v>
      </c>
      <c r="D240">
        <f>ROW(EtalonRes!A341)</f>
        <v>341</v>
      </c>
      <c r="E240" t="s">
        <v>558</v>
      </c>
      <c r="F240" t="s">
        <v>428</v>
      </c>
      <c r="G240" t="s">
        <v>429</v>
      </c>
      <c r="H240" t="s">
        <v>17</v>
      </c>
      <c r="I240">
        <v>0.48</v>
      </c>
      <c r="J240">
        <v>0</v>
      </c>
      <c r="O240">
        <f t="shared" si="209"/>
        <v>490</v>
      </c>
      <c r="P240">
        <f t="shared" si="210"/>
        <v>52.63</v>
      </c>
      <c r="Q240">
        <f t="shared" si="211"/>
        <v>0</v>
      </c>
      <c r="R240">
        <f t="shared" si="212"/>
        <v>0</v>
      </c>
      <c r="S240">
        <f t="shared" si="213"/>
        <v>437.37</v>
      </c>
      <c r="T240">
        <f t="shared" si="214"/>
        <v>0</v>
      </c>
      <c r="U240">
        <f t="shared" si="215"/>
        <v>7.2959999999999994</v>
      </c>
      <c r="V240">
        <f t="shared" si="216"/>
        <v>0</v>
      </c>
      <c r="W240">
        <f t="shared" si="217"/>
        <v>0</v>
      </c>
      <c r="X240">
        <f t="shared" si="218"/>
        <v>415.5</v>
      </c>
      <c r="Y240">
        <f t="shared" si="219"/>
        <v>284.29000000000002</v>
      </c>
      <c r="AA240">
        <v>39099382</v>
      </c>
      <c r="AB240">
        <f t="shared" si="220"/>
        <v>156.33000000000001</v>
      </c>
      <c r="AC240">
        <f t="shared" si="242"/>
        <v>16.79</v>
      </c>
      <c r="AD240">
        <f t="shared" si="243"/>
        <v>0</v>
      </c>
      <c r="AE240">
        <f t="shared" si="244"/>
        <v>0</v>
      </c>
      <c r="AF240">
        <f t="shared" si="245"/>
        <v>139.54</v>
      </c>
      <c r="AG240">
        <f t="shared" si="221"/>
        <v>0</v>
      </c>
      <c r="AH240">
        <f t="shared" si="246"/>
        <v>15.2</v>
      </c>
      <c r="AI240">
        <f t="shared" si="247"/>
        <v>0</v>
      </c>
      <c r="AJ240">
        <f t="shared" si="222"/>
        <v>0</v>
      </c>
      <c r="AK240">
        <v>156.33000000000001</v>
      </c>
      <c r="AL240">
        <v>16.79</v>
      </c>
      <c r="AM240">
        <v>0</v>
      </c>
      <c r="AN240">
        <v>0</v>
      </c>
      <c r="AO240">
        <v>139.54</v>
      </c>
      <c r="AP240">
        <v>0</v>
      </c>
      <c r="AQ240">
        <v>15.2</v>
      </c>
      <c r="AR240">
        <v>0</v>
      </c>
      <c r="AS240">
        <v>0</v>
      </c>
      <c r="AT240">
        <v>95</v>
      </c>
      <c r="AU240">
        <v>65</v>
      </c>
      <c r="AV240">
        <v>1</v>
      </c>
      <c r="AW240">
        <v>1</v>
      </c>
      <c r="AZ240">
        <v>6.53</v>
      </c>
      <c r="BA240">
        <v>6.53</v>
      </c>
      <c r="BB240">
        <v>6.53</v>
      </c>
      <c r="BC240">
        <v>6.53</v>
      </c>
      <c r="BD240" t="s">
        <v>3</v>
      </c>
      <c r="BE240" t="s">
        <v>3</v>
      </c>
      <c r="BF240" t="s">
        <v>3</v>
      </c>
      <c r="BG240" t="s">
        <v>3</v>
      </c>
      <c r="BH240">
        <v>0</v>
      </c>
      <c r="BI240">
        <v>2</v>
      </c>
      <c r="BJ240" t="s">
        <v>430</v>
      </c>
      <c r="BM240">
        <v>108001</v>
      </c>
      <c r="BN240">
        <v>0</v>
      </c>
      <c r="BO240" t="s">
        <v>3</v>
      </c>
      <c r="BP240">
        <v>0</v>
      </c>
      <c r="BQ240">
        <v>3</v>
      </c>
      <c r="BR240">
        <v>0</v>
      </c>
      <c r="BS240">
        <v>6.53</v>
      </c>
      <c r="BT240">
        <v>1</v>
      </c>
      <c r="BU240">
        <v>1</v>
      </c>
      <c r="BV240">
        <v>1</v>
      </c>
      <c r="BW240">
        <v>1</v>
      </c>
      <c r="BX240">
        <v>1</v>
      </c>
      <c r="BY240" t="s">
        <v>3</v>
      </c>
      <c r="BZ240">
        <v>95</v>
      </c>
      <c r="CA240">
        <v>65</v>
      </c>
      <c r="CF240">
        <v>0</v>
      </c>
      <c r="CG240">
        <v>0</v>
      </c>
      <c r="CM240">
        <v>0</v>
      </c>
      <c r="CN240" t="s">
        <v>3</v>
      </c>
      <c r="CO240">
        <v>0</v>
      </c>
      <c r="CP240">
        <f t="shared" si="223"/>
        <v>490</v>
      </c>
      <c r="CQ240">
        <f t="shared" si="224"/>
        <v>109.6387</v>
      </c>
      <c r="CR240">
        <f t="shared" si="225"/>
        <v>0</v>
      </c>
      <c r="CS240">
        <f t="shared" si="226"/>
        <v>0</v>
      </c>
      <c r="CT240">
        <f t="shared" si="227"/>
        <v>911.19619999999998</v>
      </c>
      <c r="CU240">
        <f t="shared" si="228"/>
        <v>0</v>
      </c>
      <c r="CV240">
        <f t="shared" si="229"/>
        <v>15.2</v>
      </c>
      <c r="CW240">
        <f t="shared" si="230"/>
        <v>0</v>
      </c>
      <c r="CX240">
        <f t="shared" si="231"/>
        <v>0</v>
      </c>
      <c r="CY240">
        <f t="shared" si="232"/>
        <v>415.50150000000002</v>
      </c>
      <c r="CZ240">
        <f t="shared" si="233"/>
        <v>284.29050000000001</v>
      </c>
      <c r="DC240" t="s">
        <v>3</v>
      </c>
      <c r="DD240" t="s">
        <v>3</v>
      </c>
      <c r="DE240" t="s">
        <v>3</v>
      </c>
      <c r="DF240" t="s">
        <v>3</v>
      </c>
      <c r="DG240" t="s">
        <v>3</v>
      </c>
      <c r="DH240" t="s">
        <v>3</v>
      </c>
      <c r="DI240" t="s">
        <v>3</v>
      </c>
      <c r="DJ240" t="s">
        <v>3</v>
      </c>
      <c r="DK240" t="s">
        <v>3</v>
      </c>
      <c r="DL240" t="s">
        <v>3</v>
      </c>
      <c r="DM240" t="s">
        <v>3</v>
      </c>
      <c r="DN240">
        <v>0</v>
      </c>
      <c r="DO240">
        <v>0</v>
      </c>
      <c r="DP240">
        <v>1</v>
      </c>
      <c r="DQ240">
        <v>1</v>
      </c>
      <c r="DU240">
        <v>1003</v>
      </c>
      <c r="DV240" t="s">
        <v>17</v>
      </c>
      <c r="DW240" t="s">
        <v>17</v>
      </c>
      <c r="DX240">
        <v>100</v>
      </c>
      <c r="EE240">
        <v>39174386</v>
      </c>
      <c r="EF240">
        <v>3</v>
      </c>
      <c r="EG240" t="s">
        <v>374</v>
      </c>
      <c r="EH240">
        <v>0</v>
      </c>
      <c r="EI240" t="s">
        <v>3</v>
      </c>
      <c r="EJ240">
        <v>2</v>
      </c>
      <c r="EK240">
        <v>108001</v>
      </c>
      <c r="EL240" t="s">
        <v>375</v>
      </c>
      <c r="EM240" t="s">
        <v>376</v>
      </c>
      <c r="EO240" t="s">
        <v>3</v>
      </c>
      <c r="EQ240">
        <v>0</v>
      </c>
      <c r="ER240">
        <v>156.33000000000001</v>
      </c>
      <c r="ES240">
        <v>16.79</v>
      </c>
      <c r="ET240">
        <v>0</v>
      </c>
      <c r="EU240">
        <v>0</v>
      </c>
      <c r="EV240">
        <v>139.54</v>
      </c>
      <c r="EW240">
        <v>15.2</v>
      </c>
      <c r="EX240">
        <v>0</v>
      </c>
      <c r="EY240">
        <v>0</v>
      </c>
      <c r="FQ240">
        <v>0</v>
      </c>
      <c r="FR240">
        <f t="shared" si="234"/>
        <v>0</v>
      </c>
      <c r="FS240">
        <v>0</v>
      </c>
      <c r="FX240">
        <v>95</v>
      </c>
      <c r="FY240">
        <v>65</v>
      </c>
      <c r="GA240" t="s">
        <v>3</v>
      </c>
      <c r="GD240">
        <v>0</v>
      </c>
      <c r="GF240">
        <v>-596386547</v>
      </c>
      <c r="GG240">
        <v>1</v>
      </c>
      <c r="GH240">
        <v>1</v>
      </c>
      <c r="GI240">
        <v>4</v>
      </c>
      <c r="GJ240">
        <v>0</v>
      </c>
      <c r="GK240">
        <f>ROUND(R240*(R12)/100,2)</f>
        <v>0</v>
      </c>
      <c r="GL240">
        <f t="shared" si="235"/>
        <v>0</v>
      </c>
      <c r="GM240">
        <f t="shared" si="236"/>
        <v>1189.79</v>
      </c>
      <c r="GN240">
        <f t="shared" si="237"/>
        <v>0</v>
      </c>
      <c r="GO240">
        <f t="shared" si="238"/>
        <v>1189.79</v>
      </c>
      <c r="GP240">
        <f t="shared" si="239"/>
        <v>0</v>
      </c>
      <c r="GR240">
        <v>0</v>
      </c>
      <c r="GS240">
        <v>3</v>
      </c>
      <c r="GT240">
        <v>0</v>
      </c>
      <c r="GU240" t="s">
        <v>3</v>
      </c>
      <c r="GV240">
        <f t="shared" si="240"/>
        <v>0</v>
      </c>
      <c r="GW240">
        <v>1</v>
      </c>
      <c r="GX240">
        <f t="shared" si="241"/>
        <v>0</v>
      </c>
      <c r="HA240">
        <v>0</v>
      </c>
      <c r="HB240">
        <v>0</v>
      </c>
      <c r="IK240">
        <v>0</v>
      </c>
    </row>
    <row r="241" spans="1:245" x14ac:dyDescent="0.2">
      <c r="A241">
        <v>18</v>
      </c>
      <c r="B241">
        <v>1</v>
      </c>
      <c r="C241">
        <v>359</v>
      </c>
      <c r="E241" t="s">
        <v>559</v>
      </c>
      <c r="F241" t="s">
        <v>560</v>
      </c>
      <c r="G241" t="s">
        <v>561</v>
      </c>
      <c r="H241" t="s">
        <v>406</v>
      </c>
      <c r="I241">
        <f>I240*J241</f>
        <v>4.8</v>
      </c>
      <c r="J241">
        <v>10</v>
      </c>
      <c r="O241">
        <f t="shared" si="209"/>
        <v>769.18</v>
      </c>
      <c r="P241">
        <f t="shared" si="210"/>
        <v>769.18</v>
      </c>
      <c r="Q241">
        <f t="shared" si="211"/>
        <v>0</v>
      </c>
      <c r="R241">
        <f t="shared" si="212"/>
        <v>0</v>
      </c>
      <c r="S241">
        <f t="shared" si="213"/>
        <v>0</v>
      </c>
      <c r="T241">
        <f t="shared" si="214"/>
        <v>0</v>
      </c>
      <c r="U241">
        <f t="shared" si="215"/>
        <v>0</v>
      </c>
      <c r="V241">
        <f t="shared" si="216"/>
        <v>0</v>
      </c>
      <c r="W241">
        <f t="shared" si="217"/>
        <v>0</v>
      </c>
      <c r="X241">
        <f t="shared" si="218"/>
        <v>0</v>
      </c>
      <c r="Y241">
        <f t="shared" si="219"/>
        <v>0</v>
      </c>
      <c r="AA241">
        <v>39099382</v>
      </c>
      <c r="AB241">
        <f t="shared" si="220"/>
        <v>24.54</v>
      </c>
      <c r="AC241">
        <f t="shared" si="242"/>
        <v>24.54</v>
      </c>
      <c r="AD241">
        <f t="shared" si="243"/>
        <v>0</v>
      </c>
      <c r="AE241">
        <f t="shared" si="244"/>
        <v>0</v>
      </c>
      <c r="AF241">
        <f t="shared" si="245"/>
        <v>0</v>
      </c>
      <c r="AG241">
        <f t="shared" si="221"/>
        <v>0</v>
      </c>
      <c r="AH241">
        <f t="shared" si="246"/>
        <v>0</v>
      </c>
      <c r="AI241">
        <f t="shared" si="247"/>
        <v>0</v>
      </c>
      <c r="AJ241">
        <f t="shared" si="222"/>
        <v>0</v>
      </c>
      <c r="AK241">
        <v>24.54</v>
      </c>
      <c r="AL241">
        <v>24.54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95</v>
      </c>
      <c r="AU241">
        <v>65</v>
      </c>
      <c r="AV241">
        <v>1</v>
      </c>
      <c r="AW241">
        <v>1</v>
      </c>
      <c r="AZ241">
        <v>6.53</v>
      </c>
      <c r="BA241">
        <v>1</v>
      </c>
      <c r="BB241">
        <v>1</v>
      </c>
      <c r="BC241">
        <v>6.53</v>
      </c>
      <c r="BD241" t="s">
        <v>3</v>
      </c>
      <c r="BE241" t="s">
        <v>3</v>
      </c>
      <c r="BF241" t="s">
        <v>3</v>
      </c>
      <c r="BG241" t="s">
        <v>3</v>
      </c>
      <c r="BH241">
        <v>3</v>
      </c>
      <c r="BI241">
        <v>2</v>
      </c>
      <c r="BJ241" t="s">
        <v>562</v>
      </c>
      <c r="BM241">
        <v>108001</v>
      </c>
      <c r="BN241">
        <v>0</v>
      </c>
      <c r="BO241" t="s">
        <v>3</v>
      </c>
      <c r="BP241">
        <v>0</v>
      </c>
      <c r="BQ241">
        <v>3</v>
      </c>
      <c r="BR241">
        <v>0</v>
      </c>
      <c r="BS241">
        <v>1</v>
      </c>
      <c r="BT241">
        <v>1</v>
      </c>
      <c r="BU241">
        <v>1</v>
      </c>
      <c r="BV241">
        <v>1</v>
      </c>
      <c r="BW241">
        <v>1</v>
      </c>
      <c r="BX241">
        <v>1</v>
      </c>
      <c r="BY241" t="s">
        <v>3</v>
      </c>
      <c r="BZ241">
        <v>95</v>
      </c>
      <c r="CA241">
        <v>65</v>
      </c>
      <c r="CF241">
        <v>0</v>
      </c>
      <c r="CG241">
        <v>0</v>
      </c>
      <c r="CM241">
        <v>0</v>
      </c>
      <c r="CN241" t="s">
        <v>3</v>
      </c>
      <c r="CO241">
        <v>0</v>
      </c>
      <c r="CP241">
        <f t="shared" si="223"/>
        <v>769.18</v>
      </c>
      <c r="CQ241">
        <f t="shared" si="224"/>
        <v>160.24619999999999</v>
      </c>
      <c r="CR241">
        <f t="shared" si="225"/>
        <v>0</v>
      </c>
      <c r="CS241">
        <f t="shared" si="226"/>
        <v>0</v>
      </c>
      <c r="CT241">
        <f t="shared" si="227"/>
        <v>0</v>
      </c>
      <c r="CU241">
        <f t="shared" si="228"/>
        <v>0</v>
      </c>
      <c r="CV241">
        <f t="shared" si="229"/>
        <v>0</v>
      </c>
      <c r="CW241">
        <f t="shared" si="230"/>
        <v>0</v>
      </c>
      <c r="CX241">
        <f t="shared" si="231"/>
        <v>0</v>
      </c>
      <c r="CY241">
        <f t="shared" si="232"/>
        <v>0</v>
      </c>
      <c r="CZ241">
        <f t="shared" si="233"/>
        <v>0</v>
      </c>
      <c r="DC241" t="s">
        <v>3</v>
      </c>
      <c r="DD241" t="s">
        <v>3</v>
      </c>
      <c r="DE241" t="s">
        <v>3</v>
      </c>
      <c r="DF241" t="s">
        <v>3</v>
      </c>
      <c r="DG241" t="s">
        <v>3</v>
      </c>
      <c r="DH241" t="s">
        <v>3</v>
      </c>
      <c r="DI241" t="s">
        <v>3</v>
      </c>
      <c r="DJ241" t="s">
        <v>3</v>
      </c>
      <c r="DK241" t="s">
        <v>3</v>
      </c>
      <c r="DL241" t="s">
        <v>3</v>
      </c>
      <c r="DM241" t="s">
        <v>3</v>
      </c>
      <c r="DN241">
        <v>0</v>
      </c>
      <c r="DO241">
        <v>0</v>
      </c>
      <c r="DP241">
        <v>1</v>
      </c>
      <c r="DQ241">
        <v>1</v>
      </c>
      <c r="DU241">
        <v>1003</v>
      </c>
      <c r="DV241" t="s">
        <v>406</v>
      </c>
      <c r="DW241" t="s">
        <v>406</v>
      </c>
      <c r="DX241">
        <v>10</v>
      </c>
      <c r="EE241">
        <v>39174386</v>
      </c>
      <c r="EF241">
        <v>3</v>
      </c>
      <c r="EG241" t="s">
        <v>374</v>
      </c>
      <c r="EH241">
        <v>0</v>
      </c>
      <c r="EI241" t="s">
        <v>3</v>
      </c>
      <c r="EJ241">
        <v>2</v>
      </c>
      <c r="EK241">
        <v>108001</v>
      </c>
      <c r="EL241" t="s">
        <v>375</v>
      </c>
      <c r="EM241" t="s">
        <v>376</v>
      </c>
      <c r="EO241" t="s">
        <v>3</v>
      </c>
      <c r="EQ241">
        <v>0</v>
      </c>
      <c r="ER241">
        <v>24.54</v>
      </c>
      <c r="ES241">
        <v>24.54</v>
      </c>
      <c r="ET241">
        <v>0</v>
      </c>
      <c r="EU241">
        <v>0</v>
      </c>
      <c r="EV241">
        <v>0</v>
      </c>
      <c r="EW241">
        <v>0</v>
      </c>
      <c r="EX241">
        <v>0</v>
      </c>
      <c r="FQ241">
        <v>0</v>
      </c>
      <c r="FR241">
        <f t="shared" si="234"/>
        <v>0</v>
      </c>
      <c r="FS241">
        <v>0</v>
      </c>
      <c r="FX241">
        <v>95</v>
      </c>
      <c r="FY241">
        <v>65</v>
      </c>
      <c r="GA241" t="s">
        <v>3</v>
      </c>
      <c r="GD241">
        <v>0</v>
      </c>
      <c r="GF241">
        <v>1802750156</v>
      </c>
      <c r="GG241">
        <v>1</v>
      </c>
      <c r="GH241">
        <v>1</v>
      </c>
      <c r="GI241">
        <v>4</v>
      </c>
      <c r="GJ241">
        <v>0</v>
      </c>
      <c r="GK241">
        <f>ROUND(R241*(R12)/100,2)</f>
        <v>0</v>
      </c>
      <c r="GL241">
        <f t="shared" si="235"/>
        <v>0</v>
      </c>
      <c r="GM241">
        <f t="shared" si="236"/>
        <v>769.18</v>
      </c>
      <c r="GN241">
        <f t="shared" si="237"/>
        <v>0</v>
      </c>
      <c r="GO241">
        <f t="shared" si="238"/>
        <v>769.18</v>
      </c>
      <c r="GP241">
        <f t="shared" si="239"/>
        <v>0</v>
      </c>
      <c r="GR241">
        <v>0</v>
      </c>
      <c r="GS241">
        <v>3</v>
      </c>
      <c r="GT241">
        <v>0</v>
      </c>
      <c r="GU241" t="s">
        <v>3</v>
      </c>
      <c r="GV241">
        <f t="shared" si="240"/>
        <v>0</v>
      </c>
      <c r="GW241">
        <v>1</v>
      </c>
      <c r="GX241">
        <f t="shared" si="241"/>
        <v>0</v>
      </c>
      <c r="HA241">
        <v>0</v>
      </c>
      <c r="HB241">
        <v>0</v>
      </c>
      <c r="IK241">
        <v>0</v>
      </c>
    </row>
    <row r="242" spans="1:245" x14ac:dyDescent="0.2">
      <c r="A242">
        <v>17</v>
      </c>
      <c r="B242">
        <v>1</v>
      </c>
      <c r="C242">
        <f>ROW(SmtRes!A371)</f>
        <v>371</v>
      </c>
      <c r="D242">
        <f>ROW(EtalonRes!A351)</f>
        <v>351</v>
      </c>
      <c r="E242" t="s">
        <v>563</v>
      </c>
      <c r="F242" t="s">
        <v>564</v>
      </c>
      <c r="G242" t="s">
        <v>565</v>
      </c>
      <c r="H242" t="s">
        <v>17</v>
      </c>
      <c r="I242">
        <f>ROUND(64/100,9)</f>
        <v>0.64</v>
      </c>
      <c r="J242">
        <v>0</v>
      </c>
      <c r="O242">
        <f t="shared" si="209"/>
        <v>287.11</v>
      </c>
      <c r="P242">
        <f t="shared" si="210"/>
        <v>60.51</v>
      </c>
      <c r="Q242">
        <f t="shared" si="211"/>
        <v>14.84</v>
      </c>
      <c r="R242">
        <f t="shared" si="212"/>
        <v>2.09</v>
      </c>
      <c r="S242">
        <f t="shared" si="213"/>
        <v>211.76</v>
      </c>
      <c r="T242">
        <f t="shared" si="214"/>
        <v>0</v>
      </c>
      <c r="U242">
        <f t="shared" si="215"/>
        <v>3.4495999999999998</v>
      </c>
      <c r="V242">
        <f t="shared" si="216"/>
        <v>2.5600000000000001E-2</v>
      </c>
      <c r="W242">
        <f t="shared" si="217"/>
        <v>0</v>
      </c>
      <c r="X242">
        <f t="shared" si="218"/>
        <v>203.16</v>
      </c>
      <c r="Y242">
        <f t="shared" si="219"/>
        <v>139</v>
      </c>
      <c r="AA242">
        <v>39099382</v>
      </c>
      <c r="AB242">
        <f t="shared" si="220"/>
        <v>68.7</v>
      </c>
      <c r="AC242">
        <f t="shared" si="242"/>
        <v>14.48</v>
      </c>
      <c r="AD242">
        <f t="shared" si="243"/>
        <v>3.55</v>
      </c>
      <c r="AE242">
        <f t="shared" si="244"/>
        <v>0.5</v>
      </c>
      <c r="AF242">
        <f t="shared" si="245"/>
        <v>50.67</v>
      </c>
      <c r="AG242">
        <f t="shared" si="221"/>
        <v>0</v>
      </c>
      <c r="AH242">
        <f t="shared" si="246"/>
        <v>5.39</v>
      </c>
      <c r="AI242">
        <f t="shared" si="247"/>
        <v>0.04</v>
      </c>
      <c r="AJ242">
        <f t="shared" si="222"/>
        <v>0</v>
      </c>
      <c r="AK242">
        <v>68.7</v>
      </c>
      <c r="AL242">
        <v>14.48</v>
      </c>
      <c r="AM242">
        <v>3.55</v>
      </c>
      <c r="AN242">
        <v>0.5</v>
      </c>
      <c r="AO242">
        <v>50.67</v>
      </c>
      <c r="AP242">
        <v>0</v>
      </c>
      <c r="AQ242">
        <v>5.39</v>
      </c>
      <c r="AR242">
        <v>0.04</v>
      </c>
      <c r="AS242">
        <v>0</v>
      </c>
      <c r="AT242">
        <v>95</v>
      </c>
      <c r="AU242">
        <v>65</v>
      </c>
      <c r="AV242">
        <v>1</v>
      </c>
      <c r="AW242">
        <v>1</v>
      </c>
      <c r="AZ242">
        <v>6.53</v>
      </c>
      <c r="BA242">
        <v>6.53</v>
      </c>
      <c r="BB242">
        <v>6.53</v>
      </c>
      <c r="BC242">
        <v>6.53</v>
      </c>
      <c r="BD242" t="s">
        <v>3</v>
      </c>
      <c r="BE242" t="s">
        <v>3</v>
      </c>
      <c r="BF242" t="s">
        <v>3</v>
      </c>
      <c r="BG242" t="s">
        <v>3</v>
      </c>
      <c r="BH242">
        <v>0</v>
      </c>
      <c r="BI242">
        <v>2</v>
      </c>
      <c r="BJ242" t="s">
        <v>566</v>
      </c>
      <c r="BM242">
        <v>108001</v>
      </c>
      <c r="BN242">
        <v>0</v>
      </c>
      <c r="BO242" t="s">
        <v>3</v>
      </c>
      <c r="BP242">
        <v>0</v>
      </c>
      <c r="BQ242">
        <v>3</v>
      </c>
      <c r="BR242">
        <v>0</v>
      </c>
      <c r="BS242">
        <v>6.53</v>
      </c>
      <c r="BT242">
        <v>1</v>
      </c>
      <c r="BU242">
        <v>1</v>
      </c>
      <c r="BV242">
        <v>1</v>
      </c>
      <c r="BW242">
        <v>1</v>
      </c>
      <c r="BX242">
        <v>1</v>
      </c>
      <c r="BY242" t="s">
        <v>3</v>
      </c>
      <c r="BZ242">
        <v>95</v>
      </c>
      <c r="CA242">
        <v>65</v>
      </c>
      <c r="CF242">
        <v>0</v>
      </c>
      <c r="CG242">
        <v>0</v>
      </c>
      <c r="CM242">
        <v>0</v>
      </c>
      <c r="CN242" t="s">
        <v>3</v>
      </c>
      <c r="CO242">
        <v>0</v>
      </c>
      <c r="CP242">
        <f t="shared" si="223"/>
        <v>287.11</v>
      </c>
      <c r="CQ242">
        <f t="shared" si="224"/>
        <v>94.554400000000001</v>
      </c>
      <c r="CR242">
        <f t="shared" si="225"/>
        <v>23.1815</v>
      </c>
      <c r="CS242">
        <f t="shared" si="226"/>
        <v>3.2650000000000001</v>
      </c>
      <c r="CT242">
        <f t="shared" si="227"/>
        <v>330.87510000000003</v>
      </c>
      <c r="CU242">
        <f t="shared" si="228"/>
        <v>0</v>
      </c>
      <c r="CV242">
        <f t="shared" si="229"/>
        <v>5.39</v>
      </c>
      <c r="CW242">
        <f t="shared" si="230"/>
        <v>0.04</v>
      </c>
      <c r="CX242">
        <f t="shared" si="231"/>
        <v>0</v>
      </c>
      <c r="CY242">
        <f t="shared" si="232"/>
        <v>203.1575</v>
      </c>
      <c r="CZ242">
        <f t="shared" si="233"/>
        <v>139.0025</v>
      </c>
      <c r="DC242" t="s">
        <v>3</v>
      </c>
      <c r="DD242" t="s">
        <v>3</v>
      </c>
      <c r="DE242" t="s">
        <v>3</v>
      </c>
      <c r="DF242" t="s">
        <v>3</v>
      </c>
      <c r="DG242" t="s">
        <v>3</v>
      </c>
      <c r="DH242" t="s">
        <v>3</v>
      </c>
      <c r="DI242" t="s">
        <v>3</v>
      </c>
      <c r="DJ242" t="s">
        <v>3</v>
      </c>
      <c r="DK242" t="s">
        <v>3</v>
      </c>
      <c r="DL242" t="s">
        <v>3</v>
      </c>
      <c r="DM242" t="s">
        <v>3</v>
      </c>
      <c r="DN242">
        <v>0</v>
      </c>
      <c r="DO242">
        <v>0</v>
      </c>
      <c r="DP242">
        <v>1</v>
      </c>
      <c r="DQ242">
        <v>1</v>
      </c>
      <c r="DU242">
        <v>1003</v>
      </c>
      <c r="DV242" t="s">
        <v>17</v>
      </c>
      <c r="DW242" t="s">
        <v>17</v>
      </c>
      <c r="DX242">
        <v>100</v>
      </c>
      <c r="EE242">
        <v>39174386</v>
      </c>
      <c r="EF242">
        <v>3</v>
      </c>
      <c r="EG242" t="s">
        <v>374</v>
      </c>
      <c r="EH242">
        <v>0</v>
      </c>
      <c r="EI242" t="s">
        <v>3</v>
      </c>
      <c r="EJ242">
        <v>2</v>
      </c>
      <c r="EK242">
        <v>108001</v>
      </c>
      <c r="EL242" t="s">
        <v>375</v>
      </c>
      <c r="EM242" t="s">
        <v>376</v>
      </c>
      <c r="EO242" t="s">
        <v>3</v>
      </c>
      <c r="EQ242">
        <v>0</v>
      </c>
      <c r="ER242">
        <v>68.7</v>
      </c>
      <c r="ES242">
        <v>14.48</v>
      </c>
      <c r="ET242">
        <v>3.55</v>
      </c>
      <c r="EU242">
        <v>0.5</v>
      </c>
      <c r="EV242">
        <v>50.67</v>
      </c>
      <c r="EW242">
        <v>5.39</v>
      </c>
      <c r="EX242">
        <v>0.04</v>
      </c>
      <c r="EY242">
        <v>0</v>
      </c>
      <c r="FQ242">
        <v>0</v>
      </c>
      <c r="FR242">
        <f t="shared" si="234"/>
        <v>0</v>
      </c>
      <c r="FS242">
        <v>0</v>
      </c>
      <c r="FX242">
        <v>95</v>
      </c>
      <c r="FY242">
        <v>65</v>
      </c>
      <c r="GA242" t="s">
        <v>3</v>
      </c>
      <c r="GD242">
        <v>0</v>
      </c>
      <c r="GF242">
        <v>-1215790049</v>
      </c>
      <c r="GG242">
        <v>1</v>
      </c>
      <c r="GH242">
        <v>1</v>
      </c>
      <c r="GI242">
        <v>4</v>
      </c>
      <c r="GJ242">
        <v>0</v>
      </c>
      <c r="GK242">
        <f>ROUND(R242*(R12)/100,2)</f>
        <v>0</v>
      </c>
      <c r="GL242">
        <f t="shared" si="235"/>
        <v>0</v>
      </c>
      <c r="GM242">
        <f t="shared" si="236"/>
        <v>629.27</v>
      </c>
      <c r="GN242">
        <f t="shared" si="237"/>
        <v>0</v>
      </c>
      <c r="GO242">
        <f t="shared" si="238"/>
        <v>629.27</v>
      </c>
      <c r="GP242">
        <f t="shared" si="239"/>
        <v>0</v>
      </c>
      <c r="GR242">
        <v>0</v>
      </c>
      <c r="GS242">
        <v>3</v>
      </c>
      <c r="GT242">
        <v>0</v>
      </c>
      <c r="GU242" t="s">
        <v>3</v>
      </c>
      <c r="GV242">
        <f t="shared" si="240"/>
        <v>0</v>
      </c>
      <c r="GW242">
        <v>1</v>
      </c>
      <c r="GX242">
        <f t="shared" si="241"/>
        <v>0</v>
      </c>
      <c r="HA242">
        <v>0</v>
      </c>
      <c r="HB242">
        <v>0</v>
      </c>
      <c r="IK242">
        <v>0</v>
      </c>
    </row>
    <row r="243" spans="1:245" x14ac:dyDescent="0.2">
      <c r="A243">
        <v>18</v>
      </c>
      <c r="B243">
        <v>1</v>
      </c>
      <c r="C243">
        <v>370</v>
      </c>
      <c r="E243" t="s">
        <v>567</v>
      </c>
      <c r="F243" t="s">
        <v>568</v>
      </c>
      <c r="G243" t="s">
        <v>940</v>
      </c>
      <c r="H243" t="s">
        <v>442</v>
      </c>
      <c r="I243">
        <f>I242*J243</f>
        <v>6.4000000000000001E-2</v>
      </c>
      <c r="J243">
        <v>0.1</v>
      </c>
      <c r="O243">
        <f t="shared" si="209"/>
        <v>1790.38</v>
      </c>
      <c r="P243">
        <f t="shared" si="210"/>
        <v>1790.38</v>
      </c>
      <c r="Q243">
        <f t="shared" si="211"/>
        <v>0</v>
      </c>
      <c r="R243">
        <f t="shared" si="212"/>
        <v>0</v>
      </c>
      <c r="S243">
        <f t="shared" si="213"/>
        <v>0</v>
      </c>
      <c r="T243">
        <f t="shared" si="214"/>
        <v>0</v>
      </c>
      <c r="U243">
        <f t="shared" si="215"/>
        <v>0</v>
      </c>
      <c r="V243">
        <f t="shared" si="216"/>
        <v>0</v>
      </c>
      <c r="W243">
        <f t="shared" si="217"/>
        <v>0</v>
      </c>
      <c r="X243">
        <f t="shared" si="218"/>
        <v>0</v>
      </c>
      <c r="Y243">
        <f t="shared" si="219"/>
        <v>0</v>
      </c>
      <c r="AA243">
        <v>39099382</v>
      </c>
      <c r="AB243">
        <f t="shared" si="220"/>
        <v>4284.0200000000004</v>
      </c>
      <c r="AC243">
        <f t="shared" si="242"/>
        <v>4284.0200000000004</v>
      </c>
      <c r="AD243">
        <f t="shared" si="243"/>
        <v>0</v>
      </c>
      <c r="AE243">
        <f t="shared" si="244"/>
        <v>0</v>
      </c>
      <c r="AF243">
        <f t="shared" si="245"/>
        <v>0</v>
      </c>
      <c r="AG243">
        <f t="shared" si="221"/>
        <v>0</v>
      </c>
      <c r="AH243">
        <f t="shared" si="246"/>
        <v>0</v>
      </c>
      <c r="AI243">
        <f t="shared" si="247"/>
        <v>0</v>
      </c>
      <c r="AJ243">
        <f t="shared" si="222"/>
        <v>0</v>
      </c>
      <c r="AK243">
        <v>4284.0200000000004</v>
      </c>
      <c r="AL243">
        <v>4284.0200000000004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95</v>
      </c>
      <c r="AU243">
        <v>65</v>
      </c>
      <c r="AV243">
        <v>1</v>
      </c>
      <c r="AW243">
        <v>1</v>
      </c>
      <c r="AZ243">
        <v>6.53</v>
      </c>
      <c r="BA243">
        <v>1</v>
      </c>
      <c r="BB243">
        <v>1</v>
      </c>
      <c r="BC243">
        <v>6.53</v>
      </c>
      <c r="BD243" t="s">
        <v>3</v>
      </c>
      <c r="BE243" t="s">
        <v>3</v>
      </c>
      <c r="BF243" t="s">
        <v>3</v>
      </c>
      <c r="BG243" t="s">
        <v>3</v>
      </c>
      <c r="BH243">
        <v>3</v>
      </c>
      <c r="BI243">
        <v>2</v>
      </c>
      <c r="BJ243" t="s">
        <v>569</v>
      </c>
      <c r="BM243">
        <v>108001</v>
      </c>
      <c r="BN243">
        <v>0</v>
      </c>
      <c r="BO243" t="s">
        <v>3</v>
      </c>
      <c r="BP243">
        <v>0</v>
      </c>
      <c r="BQ243">
        <v>3</v>
      </c>
      <c r="BR243">
        <v>0</v>
      </c>
      <c r="BS243">
        <v>1</v>
      </c>
      <c r="BT243">
        <v>1</v>
      </c>
      <c r="BU243">
        <v>1</v>
      </c>
      <c r="BV243">
        <v>1</v>
      </c>
      <c r="BW243">
        <v>1</v>
      </c>
      <c r="BX243">
        <v>1</v>
      </c>
      <c r="BY243" t="s">
        <v>3</v>
      </c>
      <c r="BZ243">
        <v>95</v>
      </c>
      <c r="CA243">
        <v>65</v>
      </c>
      <c r="CF243">
        <v>0</v>
      </c>
      <c r="CG243">
        <v>0</v>
      </c>
      <c r="CM243">
        <v>0</v>
      </c>
      <c r="CN243" t="s">
        <v>3</v>
      </c>
      <c r="CO243">
        <v>0</v>
      </c>
      <c r="CP243">
        <f t="shared" si="223"/>
        <v>1790.38</v>
      </c>
      <c r="CQ243">
        <f t="shared" si="224"/>
        <v>27974.650600000004</v>
      </c>
      <c r="CR243">
        <f t="shared" si="225"/>
        <v>0</v>
      </c>
      <c r="CS243">
        <f t="shared" si="226"/>
        <v>0</v>
      </c>
      <c r="CT243">
        <f t="shared" si="227"/>
        <v>0</v>
      </c>
      <c r="CU243">
        <f t="shared" si="228"/>
        <v>0</v>
      </c>
      <c r="CV243">
        <f t="shared" si="229"/>
        <v>0</v>
      </c>
      <c r="CW243">
        <f t="shared" si="230"/>
        <v>0</v>
      </c>
      <c r="CX243">
        <f t="shared" si="231"/>
        <v>0</v>
      </c>
      <c r="CY243">
        <f t="shared" si="232"/>
        <v>0</v>
      </c>
      <c r="CZ243">
        <f t="shared" si="233"/>
        <v>0</v>
      </c>
      <c r="DC243" t="s">
        <v>3</v>
      </c>
      <c r="DD243" t="s">
        <v>3</v>
      </c>
      <c r="DE243" t="s">
        <v>3</v>
      </c>
      <c r="DF243" t="s">
        <v>3</v>
      </c>
      <c r="DG243" t="s">
        <v>3</v>
      </c>
      <c r="DH243" t="s">
        <v>3</v>
      </c>
      <c r="DI243" t="s">
        <v>3</v>
      </c>
      <c r="DJ243" t="s">
        <v>3</v>
      </c>
      <c r="DK243" t="s">
        <v>3</v>
      </c>
      <c r="DL243" t="s">
        <v>3</v>
      </c>
      <c r="DM243" t="s">
        <v>3</v>
      </c>
      <c r="DN243">
        <v>0</v>
      </c>
      <c r="DO243">
        <v>0</v>
      </c>
      <c r="DP243">
        <v>1</v>
      </c>
      <c r="DQ243">
        <v>1</v>
      </c>
      <c r="DU243">
        <v>1013</v>
      </c>
      <c r="DV243" t="s">
        <v>442</v>
      </c>
      <c r="DW243" t="s">
        <v>444</v>
      </c>
      <c r="DX243">
        <v>1</v>
      </c>
      <c r="EE243">
        <v>39174386</v>
      </c>
      <c r="EF243">
        <v>3</v>
      </c>
      <c r="EG243" t="s">
        <v>374</v>
      </c>
      <c r="EH243">
        <v>0</v>
      </c>
      <c r="EI243" t="s">
        <v>3</v>
      </c>
      <c r="EJ243">
        <v>2</v>
      </c>
      <c r="EK243">
        <v>108001</v>
      </c>
      <c r="EL243" t="s">
        <v>375</v>
      </c>
      <c r="EM243" t="s">
        <v>376</v>
      </c>
      <c r="EO243" t="s">
        <v>3</v>
      </c>
      <c r="EQ243">
        <v>0</v>
      </c>
      <c r="ER243">
        <v>4284.0200000000004</v>
      </c>
      <c r="ES243">
        <v>4284.0200000000004</v>
      </c>
      <c r="ET243">
        <v>0</v>
      </c>
      <c r="EU243">
        <v>0</v>
      </c>
      <c r="EV243">
        <v>0</v>
      </c>
      <c r="EW243">
        <v>0</v>
      </c>
      <c r="EX243">
        <v>0</v>
      </c>
      <c r="FQ243">
        <v>0</v>
      </c>
      <c r="FR243">
        <f t="shared" si="234"/>
        <v>0</v>
      </c>
      <c r="FS243">
        <v>0</v>
      </c>
      <c r="FX243">
        <v>95</v>
      </c>
      <c r="FY243">
        <v>65</v>
      </c>
      <c r="GA243" t="s">
        <v>3</v>
      </c>
      <c r="GD243">
        <v>0</v>
      </c>
      <c r="GF243">
        <v>1970573084</v>
      </c>
      <c r="GG243">
        <v>1</v>
      </c>
      <c r="GH243">
        <v>1</v>
      </c>
      <c r="GI243">
        <v>4</v>
      </c>
      <c r="GJ243">
        <v>0</v>
      </c>
      <c r="GK243">
        <f>ROUND(R243*(R12)/100,2)</f>
        <v>0</v>
      </c>
      <c r="GL243">
        <f t="shared" si="235"/>
        <v>0</v>
      </c>
      <c r="GM243">
        <f t="shared" si="236"/>
        <v>1790.38</v>
      </c>
      <c r="GN243">
        <f t="shared" si="237"/>
        <v>0</v>
      </c>
      <c r="GO243">
        <f t="shared" si="238"/>
        <v>1790.38</v>
      </c>
      <c r="GP243">
        <f t="shared" si="239"/>
        <v>0</v>
      </c>
      <c r="GR243">
        <v>0</v>
      </c>
      <c r="GS243">
        <v>3</v>
      </c>
      <c r="GT243">
        <v>0</v>
      </c>
      <c r="GU243" t="s">
        <v>3</v>
      </c>
      <c r="GV243">
        <f t="shared" si="240"/>
        <v>0</v>
      </c>
      <c r="GW243">
        <v>1</v>
      </c>
      <c r="GX243">
        <f t="shared" si="241"/>
        <v>0</v>
      </c>
      <c r="HA243">
        <v>0</v>
      </c>
      <c r="HB243">
        <v>0</v>
      </c>
      <c r="IK243">
        <v>0</v>
      </c>
    </row>
    <row r="244" spans="1:245" x14ac:dyDescent="0.2">
      <c r="A244">
        <v>17</v>
      </c>
      <c r="B244">
        <v>1</v>
      </c>
      <c r="C244">
        <f>ROW(SmtRes!A373)</f>
        <v>373</v>
      </c>
      <c r="D244">
        <f>ROW(EtalonRes!A353)</f>
        <v>353</v>
      </c>
      <c r="E244" t="s">
        <v>570</v>
      </c>
      <c r="F244" t="s">
        <v>571</v>
      </c>
      <c r="G244" t="s">
        <v>572</v>
      </c>
      <c r="H244" t="s">
        <v>385</v>
      </c>
      <c r="I244">
        <v>1</v>
      </c>
      <c r="J244">
        <v>0</v>
      </c>
      <c r="O244">
        <f t="shared" si="209"/>
        <v>29.58</v>
      </c>
      <c r="P244">
        <f t="shared" si="210"/>
        <v>0.59</v>
      </c>
      <c r="Q244">
        <f t="shared" si="211"/>
        <v>0</v>
      </c>
      <c r="R244">
        <f t="shared" si="212"/>
        <v>0</v>
      </c>
      <c r="S244">
        <f t="shared" si="213"/>
        <v>28.99</v>
      </c>
      <c r="T244">
        <f t="shared" si="214"/>
        <v>0</v>
      </c>
      <c r="U244">
        <f t="shared" si="215"/>
        <v>0.4</v>
      </c>
      <c r="V244">
        <f t="shared" si="216"/>
        <v>0</v>
      </c>
      <c r="W244">
        <f t="shared" si="217"/>
        <v>0</v>
      </c>
      <c r="X244">
        <f t="shared" si="218"/>
        <v>23.19</v>
      </c>
      <c r="Y244">
        <f t="shared" si="219"/>
        <v>17.39</v>
      </c>
      <c r="AA244">
        <v>39099382</v>
      </c>
      <c r="AB244">
        <f t="shared" si="220"/>
        <v>4.53</v>
      </c>
      <c r="AC244">
        <f t="shared" si="242"/>
        <v>0.09</v>
      </c>
      <c r="AD244">
        <f t="shared" si="243"/>
        <v>0</v>
      </c>
      <c r="AE244">
        <f t="shared" si="244"/>
        <v>0</v>
      </c>
      <c r="AF244">
        <f t="shared" si="245"/>
        <v>4.4400000000000004</v>
      </c>
      <c r="AG244">
        <f t="shared" si="221"/>
        <v>0</v>
      </c>
      <c r="AH244">
        <f t="shared" si="246"/>
        <v>0.4</v>
      </c>
      <c r="AI244">
        <f t="shared" si="247"/>
        <v>0</v>
      </c>
      <c r="AJ244">
        <f t="shared" si="222"/>
        <v>0</v>
      </c>
      <c r="AK244">
        <v>4.53</v>
      </c>
      <c r="AL244">
        <v>0.09</v>
      </c>
      <c r="AM244">
        <v>0</v>
      </c>
      <c r="AN244">
        <v>0</v>
      </c>
      <c r="AO244">
        <v>4.4400000000000004</v>
      </c>
      <c r="AP244">
        <v>0</v>
      </c>
      <c r="AQ244">
        <v>0.4</v>
      </c>
      <c r="AR244">
        <v>0</v>
      </c>
      <c r="AS244">
        <v>0</v>
      </c>
      <c r="AT244">
        <v>80</v>
      </c>
      <c r="AU244">
        <v>60</v>
      </c>
      <c r="AV244">
        <v>1</v>
      </c>
      <c r="AW244">
        <v>1</v>
      </c>
      <c r="AZ244">
        <v>6.53</v>
      </c>
      <c r="BA244">
        <v>6.53</v>
      </c>
      <c r="BB244">
        <v>6.53</v>
      </c>
      <c r="BC244">
        <v>6.53</v>
      </c>
      <c r="BD244" t="s">
        <v>3</v>
      </c>
      <c r="BE244" t="s">
        <v>3</v>
      </c>
      <c r="BF244" t="s">
        <v>3</v>
      </c>
      <c r="BG244" t="s">
        <v>3</v>
      </c>
      <c r="BH244">
        <v>0</v>
      </c>
      <c r="BI244">
        <v>2</v>
      </c>
      <c r="BJ244" t="s">
        <v>573</v>
      </c>
      <c r="BM244">
        <v>110001</v>
      </c>
      <c r="BN244">
        <v>0</v>
      </c>
      <c r="BO244" t="s">
        <v>3</v>
      </c>
      <c r="BP244">
        <v>0</v>
      </c>
      <c r="BQ244">
        <v>3</v>
      </c>
      <c r="BR244">
        <v>0</v>
      </c>
      <c r="BS244">
        <v>6.53</v>
      </c>
      <c r="BT244">
        <v>1</v>
      </c>
      <c r="BU244">
        <v>1</v>
      </c>
      <c r="BV244">
        <v>1</v>
      </c>
      <c r="BW244">
        <v>1</v>
      </c>
      <c r="BX244">
        <v>1</v>
      </c>
      <c r="BY244" t="s">
        <v>3</v>
      </c>
      <c r="BZ244">
        <v>80</v>
      </c>
      <c r="CA244">
        <v>60</v>
      </c>
      <c r="CF244">
        <v>0</v>
      </c>
      <c r="CG244">
        <v>0</v>
      </c>
      <c r="CM244">
        <v>0</v>
      </c>
      <c r="CN244" t="s">
        <v>3</v>
      </c>
      <c r="CO244">
        <v>0</v>
      </c>
      <c r="CP244">
        <f t="shared" si="223"/>
        <v>29.58</v>
      </c>
      <c r="CQ244">
        <f t="shared" si="224"/>
        <v>0.5877</v>
      </c>
      <c r="CR244">
        <f t="shared" si="225"/>
        <v>0</v>
      </c>
      <c r="CS244">
        <f t="shared" si="226"/>
        <v>0</v>
      </c>
      <c r="CT244">
        <f t="shared" si="227"/>
        <v>28.993200000000005</v>
      </c>
      <c r="CU244">
        <f t="shared" si="228"/>
        <v>0</v>
      </c>
      <c r="CV244">
        <f t="shared" si="229"/>
        <v>0.4</v>
      </c>
      <c r="CW244">
        <f t="shared" si="230"/>
        <v>0</v>
      </c>
      <c r="CX244">
        <f t="shared" si="231"/>
        <v>0</v>
      </c>
      <c r="CY244">
        <f t="shared" si="232"/>
        <v>23.191999999999997</v>
      </c>
      <c r="CZ244">
        <f t="shared" si="233"/>
        <v>17.393999999999998</v>
      </c>
      <c r="DC244" t="s">
        <v>3</v>
      </c>
      <c r="DD244" t="s">
        <v>3</v>
      </c>
      <c r="DE244" t="s">
        <v>3</v>
      </c>
      <c r="DF244" t="s">
        <v>3</v>
      </c>
      <c r="DG244" t="s">
        <v>3</v>
      </c>
      <c r="DH244" t="s">
        <v>3</v>
      </c>
      <c r="DI244" t="s">
        <v>3</v>
      </c>
      <c r="DJ244" t="s">
        <v>3</v>
      </c>
      <c r="DK244" t="s">
        <v>3</v>
      </c>
      <c r="DL244" t="s">
        <v>3</v>
      </c>
      <c r="DM244" t="s">
        <v>3</v>
      </c>
      <c r="DN244">
        <v>0</v>
      </c>
      <c r="DO244">
        <v>0</v>
      </c>
      <c r="DP244">
        <v>1</v>
      </c>
      <c r="DQ244">
        <v>1</v>
      </c>
      <c r="DU244">
        <v>1013</v>
      </c>
      <c r="DV244" t="s">
        <v>385</v>
      </c>
      <c r="DW244" t="s">
        <v>385</v>
      </c>
      <c r="DX244">
        <v>1</v>
      </c>
      <c r="EE244">
        <v>39174389</v>
      </c>
      <c r="EF244">
        <v>3</v>
      </c>
      <c r="EG244" t="s">
        <v>374</v>
      </c>
      <c r="EH244">
        <v>0</v>
      </c>
      <c r="EI244" t="s">
        <v>3</v>
      </c>
      <c r="EJ244">
        <v>2</v>
      </c>
      <c r="EK244">
        <v>110001</v>
      </c>
      <c r="EL244" t="s">
        <v>574</v>
      </c>
      <c r="EM244" t="s">
        <v>413</v>
      </c>
      <c r="EO244" t="s">
        <v>3</v>
      </c>
      <c r="EQ244">
        <v>0</v>
      </c>
      <c r="ER244">
        <v>4.53</v>
      </c>
      <c r="ES244">
        <v>0.09</v>
      </c>
      <c r="ET244">
        <v>0</v>
      </c>
      <c r="EU244">
        <v>0</v>
      </c>
      <c r="EV244">
        <v>4.4400000000000004</v>
      </c>
      <c r="EW244">
        <v>0.4</v>
      </c>
      <c r="EX244">
        <v>0</v>
      </c>
      <c r="EY244">
        <v>0</v>
      </c>
      <c r="FQ244">
        <v>0</v>
      </c>
      <c r="FR244">
        <f t="shared" si="234"/>
        <v>0</v>
      </c>
      <c r="FS244">
        <v>0</v>
      </c>
      <c r="FX244">
        <v>80</v>
      </c>
      <c r="FY244">
        <v>60</v>
      </c>
      <c r="GA244" t="s">
        <v>3</v>
      </c>
      <c r="GD244">
        <v>0</v>
      </c>
      <c r="GF244">
        <v>-1346137888</v>
      </c>
      <c r="GG244">
        <v>1</v>
      </c>
      <c r="GH244">
        <v>1</v>
      </c>
      <c r="GI244">
        <v>4</v>
      </c>
      <c r="GJ244">
        <v>0</v>
      </c>
      <c r="GK244">
        <f>ROUND(R244*(R12)/100,2)</f>
        <v>0</v>
      </c>
      <c r="GL244">
        <f t="shared" si="235"/>
        <v>0</v>
      </c>
      <c r="GM244">
        <f t="shared" si="236"/>
        <v>70.16</v>
      </c>
      <c r="GN244">
        <f t="shared" si="237"/>
        <v>0</v>
      </c>
      <c r="GO244">
        <f t="shared" si="238"/>
        <v>70.16</v>
      </c>
      <c r="GP244">
        <f t="shared" si="239"/>
        <v>0</v>
      </c>
      <c r="GR244">
        <v>0</v>
      </c>
      <c r="GS244">
        <v>3</v>
      </c>
      <c r="GT244">
        <v>0</v>
      </c>
      <c r="GU244" t="s">
        <v>3</v>
      </c>
      <c r="GV244">
        <f t="shared" si="240"/>
        <v>0</v>
      </c>
      <c r="GW244">
        <v>1</v>
      </c>
      <c r="GX244">
        <f t="shared" si="241"/>
        <v>0</v>
      </c>
      <c r="HA244">
        <v>0</v>
      </c>
      <c r="HB244">
        <v>0</v>
      </c>
      <c r="IK244">
        <v>0</v>
      </c>
    </row>
    <row r="246" spans="1:245" x14ac:dyDescent="0.2">
      <c r="A246" s="2">
        <v>51</v>
      </c>
      <c r="B246" s="2">
        <f>B231</f>
        <v>1</v>
      </c>
      <c r="C246" s="2">
        <f>A231</f>
        <v>4</v>
      </c>
      <c r="D246" s="2">
        <f>ROW(A231)</f>
        <v>231</v>
      </c>
      <c r="E246" s="2"/>
      <c r="F246" s="2" t="str">
        <f>IF(F231&lt;&gt;"",F231,"")</f>
        <v>Новый раздел</v>
      </c>
      <c r="G246" s="2" t="str">
        <f>IF(G231&lt;&gt;"",G231,"")</f>
        <v>4 АПС</v>
      </c>
      <c r="H246" s="2">
        <v>0</v>
      </c>
      <c r="I246" s="2"/>
      <c r="J246" s="2"/>
      <c r="K246" s="2"/>
      <c r="L246" s="2"/>
      <c r="M246" s="2"/>
      <c r="N246" s="2"/>
      <c r="O246" s="2">
        <f t="shared" ref="O246:T246" si="248">ROUND(AB246,2)</f>
        <v>24863.55</v>
      </c>
      <c r="P246" s="2">
        <f t="shared" si="248"/>
        <v>20575.490000000002</v>
      </c>
      <c r="Q246" s="2">
        <f t="shared" si="248"/>
        <v>14.84</v>
      </c>
      <c r="R246" s="2">
        <f t="shared" si="248"/>
        <v>2.09</v>
      </c>
      <c r="S246" s="2">
        <f t="shared" si="248"/>
        <v>4273.22</v>
      </c>
      <c r="T246" s="2">
        <f t="shared" si="248"/>
        <v>0</v>
      </c>
      <c r="U246" s="2">
        <f>AH246</f>
        <v>68.00160000000001</v>
      </c>
      <c r="V246" s="2">
        <f>AI246</f>
        <v>2.5600000000000001E-2</v>
      </c>
      <c r="W246" s="2">
        <f>ROUND(AJ246,2)</f>
        <v>0</v>
      </c>
      <c r="X246" s="2">
        <f>ROUND(AK246,2)</f>
        <v>3517.94</v>
      </c>
      <c r="Y246" s="2">
        <f>ROUND(AL246,2)</f>
        <v>2597.7399999999998</v>
      </c>
      <c r="Z246" s="2"/>
      <c r="AA246" s="2"/>
      <c r="AB246" s="2">
        <f>ROUND(SUMIF(AA235:AA244,"=39099382",O235:O244),2)</f>
        <v>24863.55</v>
      </c>
      <c r="AC246" s="2">
        <f>ROUND(SUMIF(AA235:AA244,"=39099382",P235:P244),2)</f>
        <v>20575.490000000002</v>
      </c>
      <c r="AD246" s="2">
        <f>ROUND(SUMIF(AA235:AA244,"=39099382",Q235:Q244),2)</f>
        <v>14.84</v>
      </c>
      <c r="AE246" s="2">
        <f>ROUND(SUMIF(AA235:AA244,"=39099382",R235:R244),2)</f>
        <v>2.09</v>
      </c>
      <c r="AF246" s="2">
        <f>ROUND(SUMIF(AA235:AA244,"=39099382",S235:S244),2)</f>
        <v>4273.22</v>
      </c>
      <c r="AG246" s="2">
        <f>ROUND(SUMIF(AA235:AA244,"=39099382",T235:T244),2)</f>
        <v>0</v>
      </c>
      <c r="AH246" s="2">
        <f>SUMIF(AA235:AA244,"=39099382",U235:U244)</f>
        <v>68.00160000000001</v>
      </c>
      <c r="AI246" s="2">
        <f>SUMIF(AA235:AA244,"=39099382",V235:V244)</f>
        <v>2.5600000000000001E-2</v>
      </c>
      <c r="AJ246" s="2">
        <f>ROUND(SUMIF(AA235:AA244,"=39099382",W235:W244),2)</f>
        <v>0</v>
      </c>
      <c r="AK246" s="2">
        <f>ROUND(SUMIF(AA235:AA244,"=39099382",X235:X244),2)</f>
        <v>3517.94</v>
      </c>
      <c r="AL246" s="2">
        <f>ROUND(SUMIF(AA235:AA244,"=39099382",Y235:Y244),2)</f>
        <v>2597.7399999999998</v>
      </c>
      <c r="AM246" s="2"/>
      <c r="AN246" s="2"/>
      <c r="AO246" s="2">
        <f t="shared" ref="AO246:BC246" si="249">ROUND(BX246,2)</f>
        <v>0</v>
      </c>
      <c r="AP246" s="2">
        <f t="shared" si="249"/>
        <v>0</v>
      </c>
      <c r="AQ246" s="2">
        <f t="shared" si="249"/>
        <v>0</v>
      </c>
      <c r="AR246" s="2">
        <f t="shared" si="249"/>
        <v>30979.23</v>
      </c>
      <c r="AS246" s="2">
        <f t="shared" si="249"/>
        <v>0</v>
      </c>
      <c r="AT246" s="2">
        <f t="shared" si="249"/>
        <v>30979.23</v>
      </c>
      <c r="AU246" s="2">
        <f t="shared" si="249"/>
        <v>0</v>
      </c>
      <c r="AV246" s="2">
        <f t="shared" si="249"/>
        <v>20575.490000000002</v>
      </c>
      <c r="AW246" s="2">
        <f t="shared" si="249"/>
        <v>20575.490000000002</v>
      </c>
      <c r="AX246" s="2">
        <f t="shared" si="249"/>
        <v>0</v>
      </c>
      <c r="AY246" s="2">
        <f t="shared" si="249"/>
        <v>20575.490000000002</v>
      </c>
      <c r="AZ246" s="2">
        <f t="shared" si="249"/>
        <v>0</v>
      </c>
      <c r="BA246" s="2">
        <f t="shared" si="249"/>
        <v>0</v>
      </c>
      <c r="BB246" s="2">
        <f t="shared" si="249"/>
        <v>0</v>
      </c>
      <c r="BC246" s="2">
        <f t="shared" si="249"/>
        <v>0</v>
      </c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>
        <f>ROUND(SUMIF(AA235:AA244,"=39099382",FQ235:FQ244),2)</f>
        <v>0</v>
      </c>
      <c r="BY246" s="2">
        <f>ROUND(SUMIF(AA235:AA244,"=39099382",FR235:FR244),2)</f>
        <v>0</v>
      </c>
      <c r="BZ246" s="2">
        <f>ROUND(SUMIF(AA235:AA244,"=39099382",GL235:GL244),2)</f>
        <v>0</v>
      </c>
      <c r="CA246" s="2">
        <f>ROUND(SUMIF(AA235:AA244,"=39099382",GM235:GM244),2)</f>
        <v>30979.23</v>
      </c>
      <c r="CB246" s="2">
        <f>ROUND(SUMIF(AA235:AA244,"=39099382",GN235:GN244),2)</f>
        <v>0</v>
      </c>
      <c r="CC246" s="2">
        <f>ROUND(SUMIF(AA235:AA244,"=39099382",GO235:GO244),2)</f>
        <v>30979.23</v>
      </c>
      <c r="CD246" s="2">
        <f>ROUND(SUMIF(AA235:AA244,"=39099382",GP235:GP244),2)</f>
        <v>0</v>
      </c>
      <c r="CE246" s="2">
        <f>AC246-BX246</f>
        <v>20575.490000000002</v>
      </c>
      <c r="CF246" s="2">
        <f>AC246-BY246</f>
        <v>20575.490000000002</v>
      </c>
      <c r="CG246" s="2">
        <f>BX246-BZ246</f>
        <v>0</v>
      </c>
      <c r="CH246" s="2">
        <f>AC246-BX246-BY246+BZ246</f>
        <v>20575.490000000002</v>
      </c>
      <c r="CI246" s="2">
        <f>BY246-BZ246</f>
        <v>0</v>
      </c>
      <c r="CJ246" s="2">
        <f>ROUND(SUMIF(AA235:AA244,"=39099382",GX235:GX244),2)</f>
        <v>0</v>
      </c>
      <c r="CK246" s="2">
        <f>ROUND(SUMIF(AA235:AA244,"=39099382",GY235:GY244),2)</f>
        <v>0</v>
      </c>
      <c r="CL246" s="2">
        <f>ROUND(SUMIF(AA235:AA244,"=39099382",GZ235:GZ244),2)</f>
        <v>0</v>
      </c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3"/>
      <c r="DH246" s="3"/>
      <c r="DI246" s="3"/>
      <c r="DJ246" s="3"/>
      <c r="DK246" s="3"/>
      <c r="DL246" s="3"/>
      <c r="DM246" s="3"/>
      <c r="DN246" s="3"/>
      <c r="DO246" s="3"/>
      <c r="DP246" s="3"/>
      <c r="DQ246" s="3"/>
      <c r="DR246" s="3"/>
      <c r="DS246" s="3"/>
      <c r="DT246" s="3"/>
      <c r="DU246" s="3"/>
      <c r="DV246" s="3"/>
      <c r="DW246" s="3"/>
      <c r="DX246" s="3"/>
      <c r="DY246" s="3"/>
      <c r="DZ246" s="3"/>
      <c r="EA246" s="3"/>
      <c r="EB246" s="3"/>
      <c r="EC246" s="3"/>
      <c r="ED246" s="3"/>
      <c r="EE246" s="3"/>
      <c r="EF246" s="3"/>
      <c r="EG246" s="3"/>
      <c r="EH246" s="3"/>
      <c r="EI246" s="3"/>
      <c r="EJ246" s="3"/>
      <c r="EK246" s="3"/>
      <c r="EL246" s="3"/>
      <c r="EM246" s="3"/>
      <c r="EN246" s="3"/>
      <c r="EO246" s="3"/>
      <c r="EP246" s="3"/>
      <c r="EQ246" s="3"/>
      <c r="ER246" s="3"/>
      <c r="ES246" s="3"/>
      <c r="ET246" s="3"/>
      <c r="EU246" s="3"/>
      <c r="EV246" s="3"/>
      <c r="EW246" s="3"/>
      <c r="EX246" s="3"/>
      <c r="EY246" s="3"/>
      <c r="EZ246" s="3"/>
      <c r="FA246" s="3"/>
      <c r="FB246" s="3"/>
      <c r="FC246" s="3"/>
      <c r="FD246" s="3"/>
      <c r="FE246" s="3"/>
      <c r="FF246" s="3"/>
      <c r="FG246" s="3"/>
      <c r="FH246" s="3"/>
      <c r="FI246" s="3"/>
      <c r="FJ246" s="3"/>
      <c r="FK246" s="3"/>
      <c r="FL246" s="3"/>
      <c r="FM246" s="3"/>
      <c r="FN246" s="3"/>
      <c r="FO246" s="3"/>
      <c r="FP246" s="3"/>
      <c r="FQ246" s="3"/>
      <c r="FR246" s="3"/>
      <c r="FS246" s="3"/>
      <c r="FT246" s="3"/>
      <c r="FU246" s="3"/>
      <c r="FV246" s="3"/>
      <c r="FW246" s="3"/>
      <c r="FX246" s="3"/>
      <c r="FY246" s="3"/>
      <c r="FZ246" s="3"/>
      <c r="GA246" s="3"/>
      <c r="GB246" s="3"/>
      <c r="GC246" s="3"/>
      <c r="GD246" s="3"/>
      <c r="GE246" s="3"/>
      <c r="GF246" s="3"/>
      <c r="GG246" s="3"/>
      <c r="GH246" s="3"/>
      <c r="GI246" s="3"/>
      <c r="GJ246" s="3"/>
      <c r="GK246" s="3"/>
      <c r="GL246" s="3"/>
      <c r="GM246" s="3"/>
      <c r="GN246" s="3"/>
      <c r="GO246" s="3"/>
      <c r="GP246" s="3"/>
      <c r="GQ246" s="3"/>
      <c r="GR246" s="3"/>
      <c r="GS246" s="3"/>
      <c r="GT246" s="3"/>
      <c r="GU246" s="3"/>
      <c r="GV246" s="3"/>
      <c r="GW246" s="3"/>
      <c r="GX246" s="3">
        <v>0</v>
      </c>
    </row>
    <row r="248" spans="1:245" x14ac:dyDescent="0.2">
      <c r="A248" s="4">
        <v>50</v>
      </c>
      <c r="B248" s="4">
        <v>0</v>
      </c>
      <c r="C248" s="4">
        <v>0</v>
      </c>
      <c r="D248" s="4">
        <v>1</v>
      </c>
      <c r="E248" s="4">
        <v>201</v>
      </c>
      <c r="F248" s="4">
        <f>ROUND(Source!O246,O248)</f>
        <v>24863.55</v>
      </c>
      <c r="G248" s="4" t="s">
        <v>263</v>
      </c>
      <c r="H248" s="4" t="s">
        <v>264</v>
      </c>
      <c r="I248" s="4"/>
      <c r="J248" s="4"/>
      <c r="K248" s="4">
        <v>201</v>
      </c>
      <c r="L248" s="4">
        <v>1</v>
      </c>
      <c r="M248" s="4">
        <v>3</v>
      </c>
      <c r="N248" s="4" t="s">
        <v>3</v>
      </c>
      <c r="O248" s="4">
        <v>2</v>
      </c>
      <c r="P248" s="4"/>
      <c r="Q248" s="4"/>
      <c r="R248" s="4"/>
      <c r="S248" s="4"/>
      <c r="T248" s="4"/>
      <c r="U248" s="4"/>
      <c r="V248" s="4"/>
      <c r="W248" s="4"/>
    </row>
    <row r="249" spans="1:245" x14ac:dyDescent="0.2">
      <c r="A249" s="4">
        <v>50</v>
      </c>
      <c r="B249" s="4">
        <v>0</v>
      </c>
      <c r="C249" s="4">
        <v>0</v>
      </c>
      <c r="D249" s="4">
        <v>1</v>
      </c>
      <c r="E249" s="4">
        <v>202</v>
      </c>
      <c r="F249" s="4">
        <f>ROUND(Source!P246,O249)</f>
        <v>20575.490000000002</v>
      </c>
      <c r="G249" s="4" t="s">
        <v>265</v>
      </c>
      <c r="H249" s="4" t="s">
        <v>266</v>
      </c>
      <c r="I249" s="4"/>
      <c r="J249" s="4"/>
      <c r="K249" s="4">
        <v>202</v>
      </c>
      <c r="L249" s="4">
        <v>2</v>
      </c>
      <c r="M249" s="4">
        <v>3</v>
      </c>
      <c r="N249" s="4" t="s">
        <v>3</v>
      </c>
      <c r="O249" s="4">
        <v>2</v>
      </c>
      <c r="P249" s="4"/>
      <c r="Q249" s="4"/>
      <c r="R249" s="4"/>
      <c r="S249" s="4"/>
      <c r="T249" s="4"/>
      <c r="U249" s="4"/>
      <c r="V249" s="4"/>
      <c r="W249" s="4"/>
    </row>
    <row r="250" spans="1:245" x14ac:dyDescent="0.2">
      <c r="A250" s="4">
        <v>50</v>
      </c>
      <c r="B250" s="4">
        <v>0</v>
      </c>
      <c r="C250" s="4">
        <v>0</v>
      </c>
      <c r="D250" s="4">
        <v>1</v>
      </c>
      <c r="E250" s="4">
        <v>222</v>
      </c>
      <c r="F250" s="4">
        <f>ROUND(Source!AO246,O250)</f>
        <v>0</v>
      </c>
      <c r="G250" s="4" t="s">
        <v>267</v>
      </c>
      <c r="H250" s="4" t="s">
        <v>268</v>
      </c>
      <c r="I250" s="4"/>
      <c r="J250" s="4"/>
      <c r="K250" s="4">
        <v>222</v>
      </c>
      <c r="L250" s="4">
        <v>3</v>
      </c>
      <c r="M250" s="4">
        <v>3</v>
      </c>
      <c r="N250" s="4" t="s">
        <v>3</v>
      </c>
      <c r="O250" s="4">
        <v>2</v>
      </c>
      <c r="P250" s="4"/>
      <c r="Q250" s="4"/>
      <c r="R250" s="4"/>
      <c r="S250" s="4"/>
      <c r="T250" s="4"/>
      <c r="U250" s="4"/>
      <c r="V250" s="4"/>
      <c r="W250" s="4"/>
    </row>
    <row r="251" spans="1:245" x14ac:dyDescent="0.2">
      <c r="A251" s="4">
        <v>50</v>
      </c>
      <c r="B251" s="4">
        <v>0</v>
      </c>
      <c r="C251" s="4">
        <v>0</v>
      </c>
      <c r="D251" s="4">
        <v>1</v>
      </c>
      <c r="E251" s="4">
        <v>225</v>
      </c>
      <c r="F251" s="4">
        <f>ROUND(Source!AV246,O251)</f>
        <v>20575.490000000002</v>
      </c>
      <c r="G251" s="4" t="s">
        <v>269</v>
      </c>
      <c r="H251" s="4" t="s">
        <v>270</v>
      </c>
      <c r="I251" s="4"/>
      <c r="J251" s="4"/>
      <c r="K251" s="4">
        <v>225</v>
      </c>
      <c r="L251" s="4">
        <v>4</v>
      </c>
      <c r="M251" s="4">
        <v>3</v>
      </c>
      <c r="N251" s="4" t="s">
        <v>3</v>
      </c>
      <c r="O251" s="4">
        <v>2</v>
      </c>
      <c r="P251" s="4"/>
      <c r="Q251" s="4"/>
      <c r="R251" s="4"/>
      <c r="S251" s="4"/>
      <c r="T251" s="4"/>
      <c r="U251" s="4"/>
      <c r="V251" s="4"/>
      <c r="W251" s="4"/>
    </row>
    <row r="252" spans="1:245" x14ac:dyDescent="0.2">
      <c r="A252" s="4">
        <v>50</v>
      </c>
      <c r="B252" s="4">
        <v>0</v>
      </c>
      <c r="C252" s="4">
        <v>0</v>
      </c>
      <c r="D252" s="4">
        <v>1</v>
      </c>
      <c r="E252" s="4">
        <v>226</v>
      </c>
      <c r="F252" s="4">
        <f>ROUND(Source!AW246,O252)</f>
        <v>20575.490000000002</v>
      </c>
      <c r="G252" s="4" t="s">
        <v>271</v>
      </c>
      <c r="H252" s="4" t="s">
        <v>272</v>
      </c>
      <c r="I252" s="4"/>
      <c r="J252" s="4"/>
      <c r="K252" s="4">
        <v>226</v>
      </c>
      <c r="L252" s="4">
        <v>5</v>
      </c>
      <c r="M252" s="4">
        <v>3</v>
      </c>
      <c r="N252" s="4" t="s">
        <v>3</v>
      </c>
      <c r="O252" s="4">
        <v>2</v>
      </c>
      <c r="P252" s="4"/>
      <c r="Q252" s="4"/>
      <c r="R252" s="4"/>
      <c r="S252" s="4"/>
      <c r="T252" s="4"/>
      <c r="U252" s="4"/>
      <c r="V252" s="4"/>
      <c r="W252" s="4"/>
    </row>
    <row r="253" spans="1:245" x14ac:dyDescent="0.2">
      <c r="A253" s="4">
        <v>50</v>
      </c>
      <c r="B253" s="4">
        <v>0</v>
      </c>
      <c r="C253" s="4">
        <v>0</v>
      </c>
      <c r="D253" s="4">
        <v>1</v>
      </c>
      <c r="E253" s="4">
        <v>227</v>
      </c>
      <c r="F253" s="4">
        <f>ROUND(Source!AX246,O253)</f>
        <v>0</v>
      </c>
      <c r="G253" s="4" t="s">
        <v>273</v>
      </c>
      <c r="H253" s="4" t="s">
        <v>274</v>
      </c>
      <c r="I253" s="4"/>
      <c r="J253" s="4"/>
      <c r="K253" s="4">
        <v>227</v>
      </c>
      <c r="L253" s="4">
        <v>6</v>
      </c>
      <c r="M253" s="4">
        <v>3</v>
      </c>
      <c r="N253" s="4" t="s">
        <v>3</v>
      </c>
      <c r="O253" s="4">
        <v>2</v>
      </c>
      <c r="P253" s="4"/>
      <c r="Q253" s="4"/>
      <c r="R253" s="4"/>
      <c r="S253" s="4"/>
      <c r="T253" s="4"/>
      <c r="U253" s="4"/>
      <c r="V253" s="4"/>
      <c r="W253" s="4"/>
    </row>
    <row r="254" spans="1:245" x14ac:dyDescent="0.2">
      <c r="A254" s="4">
        <v>50</v>
      </c>
      <c r="B254" s="4">
        <v>0</v>
      </c>
      <c r="C254" s="4">
        <v>0</v>
      </c>
      <c r="D254" s="4">
        <v>1</v>
      </c>
      <c r="E254" s="4">
        <v>228</v>
      </c>
      <c r="F254" s="4">
        <f>ROUND(Source!AY246,O254)</f>
        <v>20575.490000000002</v>
      </c>
      <c r="G254" s="4" t="s">
        <v>275</v>
      </c>
      <c r="H254" s="4" t="s">
        <v>276</v>
      </c>
      <c r="I254" s="4"/>
      <c r="J254" s="4"/>
      <c r="K254" s="4">
        <v>228</v>
      </c>
      <c r="L254" s="4">
        <v>7</v>
      </c>
      <c r="M254" s="4">
        <v>3</v>
      </c>
      <c r="N254" s="4" t="s">
        <v>3</v>
      </c>
      <c r="O254" s="4">
        <v>2</v>
      </c>
      <c r="P254" s="4"/>
      <c r="Q254" s="4"/>
      <c r="R254" s="4"/>
      <c r="S254" s="4"/>
      <c r="T254" s="4"/>
      <c r="U254" s="4"/>
      <c r="V254" s="4"/>
      <c r="W254" s="4"/>
    </row>
    <row r="255" spans="1:245" x14ac:dyDescent="0.2">
      <c r="A255" s="4">
        <v>50</v>
      </c>
      <c r="B255" s="4">
        <v>0</v>
      </c>
      <c r="C255" s="4">
        <v>0</v>
      </c>
      <c r="D255" s="4">
        <v>1</v>
      </c>
      <c r="E255" s="4">
        <v>216</v>
      </c>
      <c r="F255" s="4">
        <f>ROUND(Source!AP246,O255)</f>
        <v>0</v>
      </c>
      <c r="G255" s="4" t="s">
        <v>277</v>
      </c>
      <c r="H255" s="4" t="s">
        <v>278</v>
      </c>
      <c r="I255" s="4"/>
      <c r="J255" s="4"/>
      <c r="K255" s="4">
        <v>216</v>
      </c>
      <c r="L255" s="4">
        <v>8</v>
      </c>
      <c r="M255" s="4">
        <v>3</v>
      </c>
      <c r="N255" s="4" t="s">
        <v>3</v>
      </c>
      <c r="O255" s="4">
        <v>2</v>
      </c>
      <c r="P255" s="4"/>
      <c r="Q255" s="4"/>
      <c r="R255" s="4"/>
      <c r="S255" s="4"/>
      <c r="T255" s="4"/>
      <c r="U255" s="4"/>
      <c r="V255" s="4"/>
      <c r="W255" s="4"/>
    </row>
    <row r="256" spans="1:245" x14ac:dyDescent="0.2">
      <c r="A256" s="4">
        <v>50</v>
      </c>
      <c r="B256" s="4">
        <v>0</v>
      </c>
      <c r="C256" s="4">
        <v>0</v>
      </c>
      <c r="D256" s="4">
        <v>1</v>
      </c>
      <c r="E256" s="4">
        <v>223</v>
      </c>
      <c r="F256" s="4">
        <f>ROUND(Source!AQ246,O256)</f>
        <v>0</v>
      </c>
      <c r="G256" s="4" t="s">
        <v>279</v>
      </c>
      <c r="H256" s="4" t="s">
        <v>280</v>
      </c>
      <c r="I256" s="4"/>
      <c r="J256" s="4"/>
      <c r="K256" s="4">
        <v>223</v>
      </c>
      <c r="L256" s="4">
        <v>9</v>
      </c>
      <c r="M256" s="4">
        <v>3</v>
      </c>
      <c r="N256" s="4" t="s">
        <v>3</v>
      </c>
      <c r="O256" s="4">
        <v>2</v>
      </c>
      <c r="P256" s="4"/>
      <c r="Q256" s="4"/>
      <c r="R256" s="4"/>
      <c r="S256" s="4"/>
      <c r="T256" s="4"/>
      <c r="U256" s="4"/>
      <c r="V256" s="4"/>
      <c r="W256" s="4"/>
    </row>
    <row r="257" spans="1:23" x14ac:dyDescent="0.2">
      <c r="A257" s="4">
        <v>50</v>
      </c>
      <c r="B257" s="4">
        <v>0</v>
      </c>
      <c r="C257" s="4">
        <v>0</v>
      </c>
      <c r="D257" s="4">
        <v>1</v>
      </c>
      <c r="E257" s="4">
        <v>229</v>
      </c>
      <c r="F257" s="4">
        <f>ROUND(Source!AZ246,O257)</f>
        <v>0</v>
      </c>
      <c r="G257" s="4" t="s">
        <v>281</v>
      </c>
      <c r="H257" s="4" t="s">
        <v>282</v>
      </c>
      <c r="I257" s="4"/>
      <c r="J257" s="4"/>
      <c r="K257" s="4">
        <v>229</v>
      </c>
      <c r="L257" s="4">
        <v>10</v>
      </c>
      <c r="M257" s="4">
        <v>3</v>
      </c>
      <c r="N257" s="4" t="s">
        <v>3</v>
      </c>
      <c r="O257" s="4">
        <v>2</v>
      </c>
      <c r="P257" s="4"/>
      <c r="Q257" s="4"/>
      <c r="R257" s="4"/>
      <c r="S257" s="4"/>
      <c r="T257" s="4"/>
      <c r="U257" s="4"/>
      <c r="V257" s="4"/>
      <c r="W257" s="4"/>
    </row>
    <row r="258" spans="1:23" x14ac:dyDescent="0.2">
      <c r="A258" s="4">
        <v>50</v>
      </c>
      <c r="B258" s="4">
        <v>0</v>
      </c>
      <c r="C258" s="4">
        <v>0</v>
      </c>
      <c r="D258" s="4">
        <v>1</v>
      </c>
      <c r="E258" s="4">
        <v>203</v>
      </c>
      <c r="F258" s="4">
        <f>ROUND(Source!Q246,O258)</f>
        <v>14.84</v>
      </c>
      <c r="G258" s="4" t="s">
        <v>283</v>
      </c>
      <c r="H258" s="4" t="s">
        <v>284</v>
      </c>
      <c r="I258" s="4"/>
      <c r="J258" s="4"/>
      <c r="K258" s="4">
        <v>203</v>
      </c>
      <c r="L258" s="4">
        <v>11</v>
      </c>
      <c r="M258" s="4">
        <v>3</v>
      </c>
      <c r="N258" s="4" t="s">
        <v>3</v>
      </c>
      <c r="O258" s="4">
        <v>2</v>
      </c>
      <c r="P258" s="4"/>
      <c r="Q258" s="4"/>
      <c r="R258" s="4"/>
      <c r="S258" s="4"/>
      <c r="T258" s="4"/>
      <c r="U258" s="4"/>
      <c r="V258" s="4"/>
      <c r="W258" s="4"/>
    </row>
    <row r="259" spans="1:23" x14ac:dyDescent="0.2">
      <c r="A259" s="4">
        <v>50</v>
      </c>
      <c r="B259" s="4">
        <v>0</v>
      </c>
      <c r="C259" s="4">
        <v>0</v>
      </c>
      <c r="D259" s="4">
        <v>1</v>
      </c>
      <c r="E259" s="4">
        <v>231</v>
      </c>
      <c r="F259" s="4">
        <f>ROUND(Source!BB246,O259)</f>
        <v>0</v>
      </c>
      <c r="G259" s="4" t="s">
        <v>285</v>
      </c>
      <c r="H259" s="4" t="s">
        <v>286</v>
      </c>
      <c r="I259" s="4"/>
      <c r="J259" s="4"/>
      <c r="K259" s="4">
        <v>231</v>
      </c>
      <c r="L259" s="4">
        <v>12</v>
      </c>
      <c r="M259" s="4">
        <v>3</v>
      </c>
      <c r="N259" s="4" t="s">
        <v>3</v>
      </c>
      <c r="O259" s="4">
        <v>2</v>
      </c>
      <c r="P259" s="4"/>
      <c r="Q259" s="4"/>
      <c r="R259" s="4"/>
      <c r="S259" s="4"/>
      <c r="T259" s="4"/>
      <c r="U259" s="4"/>
      <c r="V259" s="4"/>
      <c r="W259" s="4"/>
    </row>
    <row r="260" spans="1:23" x14ac:dyDescent="0.2">
      <c r="A260" s="4">
        <v>50</v>
      </c>
      <c r="B260" s="4">
        <v>0</v>
      </c>
      <c r="C260" s="4">
        <v>0</v>
      </c>
      <c r="D260" s="4">
        <v>1</v>
      </c>
      <c r="E260" s="4">
        <v>204</v>
      </c>
      <c r="F260" s="4">
        <f>ROUND(Source!R246,O260)</f>
        <v>2.09</v>
      </c>
      <c r="G260" s="4" t="s">
        <v>287</v>
      </c>
      <c r="H260" s="4" t="s">
        <v>288</v>
      </c>
      <c r="I260" s="4"/>
      <c r="J260" s="4"/>
      <c r="K260" s="4">
        <v>204</v>
      </c>
      <c r="L260" s="4">
        <v>13</v>
      </c>
      <c r="M260" s="4">
        <v>3</v>
      </c>
      <c r="N260" s="4" t="s">
        <v>3</v>
      </c>
      <c r="O260" s="4">
        <v>2</v>
      </c>
      <c r="P260" s="4"/>
      <c r="Q260" s="4"/>
      <c r="R260" s="4"/>
      <c r="S260" s="4"/>
      <c r="T260" s="4"/>
      <c r="U260" s="4"/>
      <c r="V260" s="4"/>
      <c r="W260" s="4"/>
    </row>
    <row r="261" spans="1:23" x14ac:dyDescent="0.2">
      <c r="A261" s="4">
        <v>50</v>
      </c>
      <c r="B261" s="4">
        <v>0</v>
      </c>
      <c r="C261" s="4">
        <v>0</v>
      </c>
      <c r="D261" s="4">
        <v>1</v>
      </c>
      <c r="E261" s="4">
        <v>205</v>
      </c>
      <c r="F261" s="4">
        <f>ROUND(Source!S246,O261)</f>
        <v>4273.22</v>
      </c>
      <c r="G261" s="4" t="s">
        <v>289</v>
      </c>
      <c r="H261" s="4" t="s">
        <v>290</v>
      </c>
      <c r="I261" s="4"/>
      <c r="J261" s="4"/>
      <c r="K261" s="4">
        <v>205</v>
      </c>
      <c r="L261" s="4">
        <v>14</v>
      </c>
      <c r="M261" s="4">
        <v>3</v>
      </c>
      <c r="N261" s="4" t="s">
        <v>3</v>
      </c>
      <c r="O261" s="4">
        <v>2</v>
      </c>
      <c r="P261" s="4"/>
      <c r="Q261" s="4"/>
      <c r="R261" s="4"/>
      <c r="S261" s="4"/>
      <c r="T261" s="4"/>
      <c r="U261" s="4"/>
      <c r="V261" s="4"/>
      <c r="W261" s="4"/>
    </row>
    <row r="262" spans="1:23" x14ac:dyDescent="0.2">
      <c r="A262" s="4">
        <v>50</v>
      </c>
      <c r="B262" s="4">
        <v>0</v>
      </c>
      <c r="C262" s="4">
        <v>0</v>
      </c>
      <c r="D262" s="4">
        <v>1</v>
      </c>
      <c r="E262" s="4">
        <v>232</v>
      </c>
      <c r="F262" s="4">
        <f>ROUND(Source!BC246,O262)</f>
        <v>0</v>
      </c>
      <c r="G262" s="4" t="s">
        <v>291</v>
      </c>
      <c r="H262" s="4" t="s">
        <v>292</v>
      </c>
      <c r="I262" s="4"/>
      <c r="J262" s="4"/>
      <c r="K262" s="4">
        <v>232</v>
      </c>
      <c r="L262" s="4">
        <v>15</v>
      </c>
      <c r="M262" s="4">
        <v>3</v>
      </c>
      <c r="N262" s="4" t="s">
        <v>3</v>
      </c>
      <c r="O262" s="4">
        <v>2</v>
      </c>
      <c r="P262" s="4"/>
      <c r="Q262" s="4"/>
      <c r="R262" s="4"/>
      <c r="S262" s="4"/>
      <c r="T262" s="4"/>
      <c r="U262" s="4"/>
      <c r="V262" s="4"/>
      <c r="W262" s="4"/>
    </row>
    <row r="263" spans="1:23" x14ac:dyDescent="0.2">
      <c r="A263" s="4">
        <v>50</v>
      </c>
      <c r="B263" s="4">
        <v>0</v>
      </c>
      <c r="C263" s="4">
        <v>0</v>
      </c>
      <c r="D263" s="4">
        <v>1</v>
      </c>
      <c r="E263" s="4">
        <v>214</v>
      </c>
      <c r="F263" s="4">
        <f>ROUND(Source!AS246,O263)</f>
        <v>0</v>
      </c>
      <c r="G263" s="4" t="s">
        <v>293</v>
      </c>
      <c r="H263" s="4" t="s">
        <v>294</v>
      </c>
      <c r="I263" s="4"/>
      <c r="J263" s="4"/>
      <c r="K263" s="4">
        <v>214</v>
      </c>
      <c r="L263" s="4">
        <v>16</v>
      </c>
      <c r="M263" s="4">
        <v>3</v>
      </c>
      <c r="N263" s="4" t="s">
        <v>3</v>
      </c>
      <c r="O263" s="4">
        <v>2</v>
      </c>
      <c r="P263" s="4"/>
      <c r="Q263" s="4"/>
      <c r="R263" s="4"/>
      <c r="S263" s="4"/>
      <c r="T263" s="4"/>
      <c r="U263" s="4"/>
      <c r="V263" s="4"/>
      <c r="W263" s="4"/>
    </row>
    <row r="264" spans="1:23" x14ac:dyDescent="0.2">
      <c r="A264" s="4">
        <v>50</v>
      </c>
      <c r="B264" s="4">
        <v>0</v>
      </c>
      <c r="C264" s="4">
        <v>0</v>
      </c>
      <c r="D264" s="4">
        <v>1</v>
      </c>
      <c r="E264" s="4">
        <v>215</v>
      </c>
      <c r="F264" s="4">
        <f>ROUND(Source!AT246,O264)</f>
        <v>30979.23</v>
      </c>
      <c r="G264" s="4" t="s">
        <v>295</v>
      </c>
      <c r="H264" s="4" t="s">
        <v>296</v>
      </c>
      <c r="I264" s="4"/>
      <c r="J264" s="4"/>
      <c r="K264" s="4">
        <v>215</v>
      </c>
      <c r="L264" s="4">
        <v>17</v>
      </c>
      <c r="M264" s="4">
        <v>3</v>
      </c>
      <c r="N264" s="4" t="s">
        <v>3</v>
      </c>
      <c r="O264" s="4">
        <v>2</v>
      </c>
      <c r="P264" s="4"/>
      <c r="Q264" s="4"/>
      <c r="R264" s="4"/>
      <c r="S264" s="4"/>
      <c r="T264" s="4"/>
      <c r="U264" s="4"/>
      <c r="V264" s="4"/>
      <c r="W264" s="4"/>
    </row>
    <row r="265" spans="1:23" x14ac:dyDescent="0.2">
      <c r="A265" s="4">
        <v>50</v>
      </c>
      <c r="B265" s="4">
        <v>0</v>
      </c>
      <c r="C265" s="4">
        <v>0</v>
      </c>
      <c r="D265" s="4">
        <v>1</v>
      </c>
      <c r="E265" s="4">
        <v>217</v>
      </c>
      <c r="F265" s="4">
        <f>ROUND(Source!AU246,O265)</f>
        <v>0</v>
      </c>
      <c r="G265" s="4" t="s">
        <v>297</v>
      </c>
      <c r="H265" s="4" t="s">
        <v>298</v>
      </c>
      <c r="I265" s="4"/>
      <c r="J265" s="4"/>
      <c r="K265" s="4">
        <v>217</v>
      </c>
      <c r="L265" s="4">
        <v>18</v>
      </c>
      <c r="M265" s="4">
        <v>3</v>
      </c>
      <c r="N265" s="4" t="s">
        <v>3</v>
      </c>
      <c r="O265" s="4">
        <v>2</v>
      </c>
      <c r="P265" s="4"/>
      <c r="Q265" s="4"/>
      <c r="R265" s="4"/>
      <c r="S265" s="4"/>
      <c r="T265" s="4"/>
      <c r="U265" s="4"/>
      <c r="V265" s="4"/>
      <c r="W265" s="4"/>
    </row>
    <row r="266" spans="1:23" x14ac:dyDescent="0.2">
      <c r="A266" s="4">
        <v>50</v>
      </c>
      <c r="B266" s="4">
        <v>0</v>
      </c>
      <c r="C266" s="4">
        <v>0</v>
      </c>
      <c r="D266" s="4">
        <v>1</v>
      </c>
      <c r="E266" s="4">
        <v>230</v>
      </c>
      <c r="F266" s="4">
        <f>ROUND(Source!BA246,O266)</f>
        <v>0</v>
      </c>
      <c r="G266" s="4" t="s">
        <v>299</v>
      </c>
      <c r="H266" s="4" t="s">
        <v>300</v>
      </c>
      <c r="I266" s="4"/>
      <c r="J266" s="4"/>
      <c r="K266" s="4">
        <v>230</v>
      </c>
      <c r="L266" s="4">
        <v>19</v>
      </c>
      <c r="M266" s="4">
        <v>3</v>
      </c>
      <c r="N266" s="4" t="s">
        <v>3</v>
      </c>
      <c r="O266" s="4">
        <v>2</v>
      </c>
      <c r="P266" s="4"/>
      <c r="Q266" s="4"/>
      <c r="R266" s="4"/>
      <c r="S266" s="4"/>
      <c r="T266" s="4"/>
      <c r="U266" s="4"/>
      <c r="V266" s="4"/>
      <c r="W266" s="4"/>
    </row>
    <row r="267" spans="1:23" x14ac:dyDescent="0.2">
      <c r="A267" s="4">
        <v>50</v>
      </c>
      <c r="B267" s="4">
        <v>0</v>
      </c>
      <c r="C267" s="4">
        <v>0</v>
      </c>
      <c r="D267" s="4">
        <v>1</v>
      </c>
      <c r="E267" s="4">
        <v>206</v>
      </c>
      <c r="F267" s="4">
        <f>ROUND(Source!T246,O267)</f>
        <v>0</v>
      </c>
      <c r="G267" s="4" t="s">
        <v>301</v>
      </c>
      <c r="H267" s="4" t="s">
        <v>302</v>
      </c>
      <c r="I267" s="4"/>
      <c r="J267" s="4"/>
      <c r="K267" s="4">
        <v>206</v>
      </c>
      <c r="L267" s="4">
        <v>20</v>
      </c>
      <c r="M267" s="4">
        <v>3</v>
      </c>
      <c r="N267" s="4" t="s">
        <v>3</v>
      </c>
      <c r="O267" s="4">
        <v>2</v>
      </c>
      <c r="P267" s="4"/>
      <c r="Q267" s="4"/>
      <c r="R267" s="4"/>
      <c r="S267" s="4"/>
      <c r="T267" s="4"/>
      <c r="U267" s="4"/>
      <c r="V267" s="4"/>
      <c r="W267" s="4"/>
    </row>
    <row r="268" spans="1:23" x14ac:dyDescent="0.2">
      <c r="A268" s="4">
        <v>50</v>
      </c>
      <c r="B268" s="4">
        <v>0</v>
      </c>
      <c r="C268" s="4">
        <v>0</v>
      </c>
      <c r="D268" s="4">
        <v>1</v>
      </c>
      <c r="E268" s="4">
        <v>207</v>
      </c>
      <c r="F268" s="4">
        <f>Source!U246</f>
        <v>68.00160000000001</v>
      </c>
      <c r="G268" s="4" t="s">
        <v>303</v>
      </c>
      <c r="H268" s="4" t="s">
        <v>304</v>
      </c>
      <c r="I268" s="4"/>
      <c r="J268" s="4"/>
      <c r="K268" s="4">
        <v>207</v>
      </c>
      <c r="L268" s="4">
        <v>21</v>
      </c>
      <c r="M268" s="4">
        <v>3</v>
      </c>
      <c r="N268" s="4" t="s">
        <v>3</v>
      </c>
      <c r="O268" s="4">
        <v>-1</v>
      </c>
      <c r="P268" s="4"/>
      <c r="Q268" s="4"/>
      <c r="R268" s="4"/>
      <c r="S268" s="4"/>
      <c r="T268" s="4"/>
      <c r="U268" s="4"/>
      <c r="V268" s="4"/>
      <c r="W268" s="4"/>
    </row>
    <row r="269" spans="1:23" x14ac:dyDescent="0.2">
      <c r="A269" s="4">
        <v>50</v>
      </c>
      <c r="B269" s="4">
        <v>0</v>
      </c>
      <c r="C269" s="4">
        <v>0</v>
      </c>
      <c r="D269" s="4">
        <v>1</v>
      </c>
      <c r="E269" s="4">
        <v>208</v>
      </c>
      <c r="F269" s="4">
        <f>Source!V246</f>
        <v>2.5600000000000001E-2</v>
      </c>
      <c r="G269" s="4" t="s">
        <v>305</v>
      </c>
      <c r="H269" s="4" t="s">
        <v>306</v>
      </c>
      <c r="I269" s="4"/>
      <c r="J269" s="4"/>
      <c r="K269" s="4">
        <v>208</v>
      </c>
      <c r="L269" s="4">
        <v>22</v>
      </c>
      <c r="M269" s="4">
        <v>3</v>
      </c>
      <c r="N269" s="4" t="s">
        <v>3</v>
      </c>
      <c r="O269" s="4">
        <v>-1</v>
      </c>
      <c r="P269" s="4"/>
      <c r="Q269" s="4"/>
      <c r="R269" s="4"/>
      <c r="S269" s="4"/>
      <c r="T269" s="4"/>
      <c r="U269" s="4"/>
      <c r="V269" s="4"/>
      <c r="W269" s="4"/>
    </row>
    <row r="270" spans="1:23" x14ac:dyDescent="0.2">
      <c r="A270" s="4">
        <v>50</v>
      </c>
      <c r="B270" s="4">
        <v>0</v>
      </c>
      <c r="C270" s="4">
        <v>0</v>
      </c>
      <c r="D270" s="4">
        <v>1</v>
      </c>
      <c r="E270" s="4">
        <v>209</v>
      </c>
      <c r="F270" s="4">
        <f>ROUND(Source!W246,O270)</f>
        <v>0</v>
      </c>
      <c r="G270" s="4" t="s">
        <v>307</v>
      </c>
      <c r="H270" s="4" t="s">
        <v>308</v>
      </c>
      <c r="I270" s="4"/>
      <c r="J270" s="4"/>
      <c r="K270" s="4">
        <v>209</v>
      </c>
      <c r="L270" s="4">
        <v>23</v>
      </c>
      <c r="M270" s="4">
        <v>3</v>
      </c>
      <c r="N270" s="4" t="s">
        <v>3</v>
      </c>
      <c r="O270" s="4">
        <v>2</v>
      </c>
      <c r="P270" s="4"/>
      <c r="Q270" s="4"/>
      <c r="R270" s="4"/>
      <c r="S270" s="4"/>
      <c r="T270" s="4"/>
      <c r="U270" s="4"/>
      <c r="V270" s="4"/>
      <c r="W270" s="4"/>
    </row>
    <row r="271" spans="1:23" x14ac:dyDescent="0.2">
      <c r="A271" s="4">
        <v>50</v>
      </c>
      <c r="B271" s="4">
        <v>0</v>
      </c>
      <c r="C271" s="4">
        <v>0</v>
      </c>
      <c r="D271" s="4">
        <v>1</v>
      </c>
      <c r="E271" s="4">
        <v>210</v>
      </c>
      <c r="F271" s="4">
        <f>ROUND(Source!X246,O271)</f>
        <v>3517.94</v>
      </c>
      <c r="G271" s="4" t="s">
        <v>309</v>
      </c>
      <c r="H271" s="4" t="s">
        <v>310</v>
      </c>
      <c r="I271" s="4"/>
      <c r="J271" s="4"/>
      <c r="K271" s="4">
        <v>210</v>
      </c>
      <c r="L271" s="4">
        <v>24</v>
      </c>
      <c r="M271" s="4">
        <v>3</v>
      </c>
      <c r="N271" s="4" t="s">
        <v>3</v>
      </c>
      <c r="O271" s="4">
        <v>2</v>
      </c>
      <c r="P271" s="4"/>
      <c r="Q271" s="4"/>
      <c r="R271" s="4"/>
      <c r="S271" s="4"/>
      <c r="T271" s="4"/>
      <c r="U271" s="4"/>
      <c r="V271" s="4"/>
      <c r="W271" s="4"/>
    </row>
    <row r="272" spans="1:23" x14ac:dyDescent="0.2">
      <c r="A272" s="4">
        <v>50</v>
      </c>
      <c r="B272" s="4">
        <v>0</v>
      </c>
      <c r="C272" s="4">
        <v>0</v>
      </c>
      <c r="D272" s="4">
        <v>1</v>
      </c>
      <c r="E272" s="4">
        <v>211</v>
      </c>
      <c r="F272" s="4">
        <f>ROUND(Source!Y246,O272)</f>
        <v>2597.7399999999998</v>
      </c>
      <c r="G272" s="4" t="s">
        <v>311</v>
      </c>
      <c r="H272" s="4" t="s">
        <v>312</v>
      </c>
      <c r="I272" s="4"/>
      <c r="J272" s="4"/>
      <c r="K272" s="4">
        <v>211</v>
      </c>
      <c r="L272" s="4">
        <v>25</v>
      </c>
      <c r="M272" s="4">
        <v>3</v>
      </c>
      <c r="N272" s="4" t="s">
        <v>3</v>
      </c>
      <c r="O272" s="4">
        <v>2</v>
      </c>
      <c r="P272" s="4"/>
      <c r="Q272" s="4"/>
      <c r="R272" s="4"/>
      <c r="S272" s="4"/>
      <c r="T272" s="4"/>
      <c r="U272" s="4"/>
      <c r="V272" s="4"/>
      <c r="W272" s="4"/>
    </row>
    <row r="273" spans="1:206" x14ac:dyDescent="0.2">
      <c r="A273" s="4">
        <v>50</v>
      </c>
      <c r="B273" s="4">
        <v>0</v>
      </c>
      <c r="C273" s="4">
        <v>0</v>
      </c>
      <c r="D273" s="4">
        <v>1</v>
      </c>
      <c r="E273" s="4">
        <v>224</v>
      </c>
      <c r="F273" s="4">
        <f>ROUND(Source!AR246,O273)</f>
        <v>30979.23</v>
      </c>
      <c r="G273" s="4" t="s">
        <v>313</v>
      </c>
      <c r="H273" s="4" t="s">
        <v>314</v>
      </c>
      <c r="I273" s="4"/>
      <c r="J273" s="4"/>
      <c r="K273" s="4">
        <v>224</v>
      </c>
      <c r="L273" s="4">
        <v>26</v>
      </c>
      <c r="M273" s="4">
        <v>3</v>
      </c>
      <c r="N273" s="4" t="s">
        <v>3</v>
      </c>
      <c r="O273" s="4">
        <v>2</v>
      </c>
      <c r="P273" s="4"/>
      <c r="Q273" s="4"/>
      <c r="R273" s="4"/>
      <c r="S273" s="4"/>
      <c r="T273" s="4"/>
      <c r="U273" s="4"/>
      <c r="V273" s="4"/>
      <c r="W273" s="4"/>
    </row>
    <row r="275" spans="1:206" x14ac:dyDescent="0.2">
      <c r="A275" s="2">
        <v>51</v>
      </c>
      <c r="B275" s="2">
        <f>B20</f>
        <v>1</v>
      </c>
      <c r="C275" s="2">
        <f>A20</f>
        <v>3</v>
      </c>
      <c r="D275" s="2">
        <f>ROW(A20)</f>
        <v>20</v>
      </c>
      <c r="E275" s="2"/>
      <c r="F275" s="2" t="str">
        <f>IF(F20&lt;&gt;"",F20,"")</f>
        <v>Новая локальная смета</v>
      </c>
      <c r="G275" s="2" t="str">
        <f>IF(G20&lt;&gt;"",G20,"")</f>
        <v>Новая локальная смета</v>
      </c>
      <c r="H275" s="2">
        <v>0</v>
      </c>
      <c r="I275" s="2"/>
      <c r="J275" s="2"/>
      <c r="K275" s="2"/>
      <c r="L275" s="2"/>
      <c r="M275" s="2"/>
      <c r="N275" s="2"/>
      <c r="O275" s="2">
        <f t="shared" ref="O275:T275" si="250">ROUND(O83+O127+O199+O246+AB275,2)</f>
        <v>1970855.46</v>
      </c>
      <c r="P275" s="2">
        <f t="shared" si="250"/>
        <v>1794567.45</v>
      </c>
      <c r="Q275" s="2">
        <f t="shared" si="250"/>
        <v>14459.14</v>
      </c>
      <c r="R275" s="2">
        <f t="shared" si="250"/>
        <v>3141.31</v>
      </c>
      <c r="S275" s="2">
        <f t="shared" si="250"/>
        <v>161828.87</v>
      </c>
      <c r="T275" s="2">
        <f t="shared" si="250"/>
        <v>0</v>
      </c>
      <c r="U275" s="2">
        <f>U83+U127+U199+U246+AH275</f>
        <v>2288.6531055</v>
      </c>
      <c r="V275" s="2">
        <f>V83+V127+V199+V246+AI275</f>
        <v>42.035352250000003</v>
      </c>
      <c r="W275" s="2">
        <f>ROUND(W83+W127+W199+W246+AJ275,2)</f>
        <v>0</v>
      </c>
      <c r="X275" s="2">
        <f>ROUND(X83+X127+X199+X246+AK275,2)</f>
        <v>145731.99</v>
      </c>
      <c r="Y275" s="2">
        <f>ROUND(Y83+Y127+Y199+Y246+AL275,2)</f>
        <v>87729.21</v>
      </c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>
        <f t="shared" ref="AO275:BC275" si="251">ROUND(AO83+AO127+AO199+AO246+BX275,2)</f>
        <v>0</v>
      </c>
      <c r="AP275" s="2">
        <f t="shared" si="251"/>
        <v>0</v>
      </c>
      <c r="AQ275" s="2">
        <f t="shared" si="251"/>
        <v>0</v>
      </c>
      <c r="AR275" s="2">
        <f t="shared" si="251"/>
        <v>2204929.04</v>
      </c>
      <c r="AS275" s="2">
        <f t="shared" si="251"/>
        <v>1374710.65</v>
      </c>
      <c r="AT275" s="2">
        <f t="shared" si="251"/>
        <v>758771.75</v>
      </c>
      <c r="AU275" s="2">
        <f t="shared" si="251"/>
        <v>71446.64</v>
      </c>
      <c r="AV275" s="2">
        <f t="shared" si="251"/>
        <v>1794567.45</v>
      </c>
      <c r="AW275" s="2">
        <f t="shared" si="251"/>
        <v>1794567.45</v>
      </c>
      <c r="AX275" s="2">
        <f t="shared" si="251"/>
        <v>0</v>
      </c>
      <c r="AY275" s="2">
        <f t="shared" si="251"/>
        <v>1794567.45</v>
      </c>
      <c r="AZ275" s="2">
        <f t="shared" si="251"/>
        <v>0</v>
      </c>
      <c r="BA275" s="2">
        <f t="shared" si="251"/>
        <v>0</v>
      </c>
      <c r="BB275" s="2">
        <f t="shared" si="251"/>
        <v>0</v>
      </c>
      <c r="BC275" s="2">
        <f t="shared" si="251"/>
        <v>0</v>
      </c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3"/>
      <c r="DH275" s="3"/>
      <c r="DI275" s="3"/>
      <c r="DJ275" s="3"/>
      <c r="DK275" s="3"/>
      <c r="DL275" s="3"/>
      <c r="DM275" s="3"/>
      <c r="DN275" s="3"/>
      <c r="DO275" s="3"/>
      <c r="DP275" s="3"/>
      <c r="DQ275" s="3"/>
      <c r="DR275" s="3"/>
      <c r="DS275" s="3"/>
      <c r="DT275" s="3"/>
      <c r="DU275" s="3"/>
      <c r="DV275" s="3"/>
      <c r="DW275" s="3"/>
      <c r="DX275" s="3"/>
      <c r="DY275" s="3"/>
      <c r="DZ275" s="3"/>
      <c r="EA275" s="3"/>
      <c r="EB275" s="3"/>
      <c r="EC275" s="3"/>
      <c r="ED275" s="3"/>
      <c r="EE275" s="3"/>
      <c r="EF275" s="3"/>
      <c r="EG275" s="3"/>
      <c r="EH275" s="3"/>
      <c r="EI275" s="3"/>
      <c r="EJ275" s="3"/>
      <c r="EK275" s="3"/>
      <c r="EL275" s="3"/>
      <c r="EM275" s="3"/>
      <c r="EN275" s="3"/>
      <c r="EO275" s="3"/>
      <c r="EP275" s="3"/>
      <c r="EQ275" s="3"/>
      <c r="ER275" s="3"/>
      <c r="ES275" s="3"/>
      <c r="ET275" s="3"/>
      <c r="EU275" s="3"/>
      <c r="EV275" s="3"/>
      <c r="EW275" s="3"/>
      <c r="EX275" s="3"/>
      <c r="EY275" s="3"/>
      <c r="EZ275" s="3"/>
      <c r="FA275" s="3"/>
      <c r="FB275" s="3"/>
      <c r="FC275" s="3"/>
      <c r="FD275" s="3"/>
      <c r="FE275" s="3"/>
      <c r="FF275" s="3"/>
      <c r="FG275" s="3"/>
      <c r="FH275" s="3"/>
      <c r="FI275" s="3"/>
      <c r="FJ275" s="3"/>
      <c r="FK275" s="3"/>
      <c r="FL275" s="3"/>
      <c r="FM275" s="3"/>
      <c r="FN275" s="3"/>
      <c r="FO275" s="3"/>
      <c r="FP275" s="3"/>
      <c r="FQ275" s="3"/>
      <c r="FR275" s="3"/>
      <c r="FS275" s="3"/>
      <c r="FT275" s="3"/>
      <c r="FU275" s="3"/>
      <c r="FV275" s="3"/>
      <c r="FW275" s="3"/>
      <c r="FX275" s="3"/>
      <c r="FY275" s="3"/>
      <c r="FZ275" s="3"/>
      <c r="GA275" s="3"/>
      <c r="GB275" s="3"/>
      <c r="GC275" s="3"/>
      <c r="GD275" s="3"/>
      <c r="GE275" s="3"/>
      <c r="GF275" s="3"/>
      <c r="GG275" s="3"/>
      <c r="GH275" s="3"/>
      <c r="GI275" s="3"/>
      <c r="GJ275" s="3"/>
      <c r="GK275" s="3"/>
      <c r="GL275" s="3"/>
      <c r="GM275" s="3"/>
      <c r="GN275" s="3"/>
      <c r="GO275" s="3"/>
      <c r="GP275" s="3"/>
      <c r="GQ275" s="3"/>
      <c r="GR275" s="3"/>
      <c r="GS275" s="3"/>
      <c r="GT275" s="3"/>
      <c r="GU275" s="3"/>
      <c r="GV275" s="3"/>
      <c r="GW275" s="3"/>
      <c r="GX275" s="3">
        <v>0</v>
      </c>
    </row>
    <row r="277" spans="1:206" x14ac:dyDescent="0.2">
      <c r="A277" s="4">
        <v>50</v>
      </c>
      <c r="B277" s="4">
        <v>0</v>
      </c>
      <c r="C277" s="4">
        <v>0</v>
      </c>
      <c r="D277" s="4">
        <v>1</v>
      </c>
      <c r="E277" s="4">
        <v>201</v>
      </c>
      <c r="F277" s="4">
        <f>ROUND(Source!O275,O277)</f>
        <v>1970855.46</v>
      </c>
      <c r="G277" s="4" t="s">
        <v>263</v>
      </c>
      <c r="H277" s="4" t="s">
        <v>264</v>
      </c>
      <c r="I277" s="4"/>
      <c r="J277" s="4"/>
      <c r="K277" s="4">
        <v>201</v>
      </c>
      <c r="L277" s="4">
        <v>1</v>
      </c>
      <c r="M277" s="4">
        <v>3</v>
      </c>
      <c r="N277" s="4" t="s">
        <v>3</v>
      </c>
      <c r="O277" s="4">
        <v>2</v>
      </c>
      <c r="P277" s="4"/>
      <c r="Q277" s="4"/>
      <c r="R277" s="4"/>
      <c r="S277" s="4"/>
      <c r="T277" s="4"/>
      <c r="U277" s="4"/>
      <c r="V277" s="4"/>
      <c r="W277" s="4"/>
    </row>
    <row r="278" spans="1:206" x14ac:dyDescent="0.2">
      <c r="A278" s="4">
        <v>50</v>
      </c>
      <c r="B278" s="4">
        <v>0</v>
      </c>
      <c r="C278" s="4">
        <v>0</v>
      </c>
      <c r="D278" s="4">
        <v>1</v>
      </c>
      <c r="E278" s="4">
        <v>202</v>
      </c>
      <c r="F278" s="4">
        <f>ROUND(Source!P275,O278)</f>
        <v>1794567.45</v>
      </c>
      <c r="G278" s="4" t="s">
        <v>265</v>
      </c>
      <c r="H278" s="4" t="s">
        <v>266</v>
      </c>
      <c r="I278" s="4"/>
      <c r="J278" s="4"/>
      <c r="K278" s="4">
        <v>202</v>
      </c>
      <c r="L278" s="4">
        <v>2</v>
      </c>
      <c r="M278" s="4">
        <v>3</v>
      </c>
      <c r="N278" s="4" t="s">
        <v>3</v>
      </c>
      <c r="O278" s="4">
        <v>2</v>
      </c>
      <c r="P278" s="4"/>
      <c r="Q278" s="4"/>
      <c r="R278" s="4"/>
      <c r="S278" s="4"/>
      <c r="T278" s="4"/>
      <c r="U278" s="4"/>
      <c r="V278" s="4"/>
      <c r="W278" s="4"/>
    </row>
    <row r="279" spans="1:206" x14ac:dyDescent="0.2">
      <c r="A279" s="4">
        <v>50</v>
      </c>
      <c r="B279" s="4">
        <v>0</v>
      </c>
      <c r="C279" s="4">
        <v>0</v>
      </c>
      <c r="D279" s="4">
        <v>1</v>
      </c>
      <c r="E279" s="4">
        <v>222</v>
      </c>
      <c r="F279" s="4">
        <f>ROUND(Source!AO275,O279)</f>
        <v>0</v>
      </c>
      <c r="G279" s="4" t="s">
        <v>267</v>
      </c>
      <c r="H279" s="4" t="s">
        <v>268</v>
      </c>
      <c r="I279" s="4"/>
      <c r="J279" s="4"/>
      <c r="K279" s="4">
        <v>222</v>
      </c>
      <c r="L279" s="4">
        <v>3</v>
      </c>
      <c r="M279" s="4">
        <v>3</v>
      </c>
      <c r="N279" s="4" t="s">
        <v>3</v>
      </c>
      <c r="O279" s="4">
        <v>2</v>
      </c>
      <c r="P279" s="4"/>
      <c r="Q279" s="4"/>
      <c r="R279" s="4"/>
      <c r="S279" s="4"/>
      <c r="T279" s="4"/>
      <c r="U279" s="4"/>
      <c r="V279" s="4"/>
      <c r="W279" s="4"/>
    </row>
    <row r="280" spans="1:206" x14ac:dyDescent="0.2">
      <c r="A280" s="4">
        <v>50</v>
      </c>
      <c r="B280" s="4">
        <v>0</v>
      </c>
      <c r="C280" s="4">
        <v>0</v>
      </c>
      <c r="D280" s="4">
        <v>1</v>
      </c>
      <c r="E280" s="4">
        <v>225</v>
      </c>
      <c r="F280" s="4">
        <f>ROUND(Source!AV275,O280)</f>
        <v>1794567.45</v>
      </c>
      <c r="G280" s="4" t="s">
        <v>269</v>
      </c>
      <c r="H280" s="4" t="s">
        <v>270</v>
      </c>
      <c r="I280" s="4"/>
      <c r="J280" s="4"/>
      <c r="K280" s="4">
        <v>225</v>
      </c>
      <c r="L280" s="4">
        <v>4</v>
      </c>
      <c r="M280" s="4">
        <v>3</v>
      </c>
      <c r="N280" s="4" t="s">
        <v>3</v>
      </c>
      <c r="O280" s="4">
        <v>2</v>
      </c>
      <c r="P280" s="4"/>
      <c r="Q280" s="4"/>
      <c r="R280" s="4"/>
      <c r="S280" s="4"/>
      <c r="T280" s="4"/>
      <c r="U280" s="4"/>
      <c r="V280" s="4"/>
      <c r="W280" s="4"/>
    </row>
    <row r="281" spans="1:206" x14ac:dyDescent="0.2">
      <c r="A281" s="4">
        <v>50</v>
      </c>
      <c r="B281" s="4">
        <v>0</v>
      </c>
      <c r="C281" s="4">
        <v>0</v>
      </c>
      <c r="D281" s="4">
        <v>1</v>
      </c>
      <c r="E281" s="4">
        <v>226</v>
      </c>
      <c r="F281" s="4">
        <f>ROUND(Source!AW275,O281)</f>
        <v>1794567.45</v>
      </c>
      <c r="G281" s="4" t="s">
        <v>271</v>
      </c>
      <c r="H281" s="4" t="s">
        <v>272</v>
      </c>
      <c r="I281" s="4"/>
      <c r="J281" s="4"/>
      <c r="K281" s="4">
        <v>226</v>
      </c>
      <c r="L281" s="4">
        <v>5</v>
      </c>
      <c r="M281" s="4">
        <v>3</v>
      </c>
      <c r="N281" s="4" t="s">
        <v>3</v>
      </c>
      <c r="O281" s="4">
        <v>2</v>
      </c>
      <c r="P281" s="4"/>
      <c r="Q281" s="4"/>
      <c r="R281" s="4"/>
      <c r="S281" s="4"/>
      <c r="T281" s="4"/>
      <c r="U281" s="4"/>
      <c r="V281" s="4"/>
      <c r="W281" s="4"/>
    </row>
    <row r="282" spans="1:206" x14ac:dyDescent="0.2">
      <c r="A282" s="4">
        <v>50</v>
      </c>
      <c r="B282" s="4">
        <v>0</v>
      </c>
      <c r="C282" s="4">
        <v>0</v>
      </c>
      <c r="D282" s="4">
        <v>1</v>
      </c>
      <c r="E282" s="4">
        <v>227</v>
      </c>
      <c r="F282" s="4">
        <f>ROUND(Source!AX275,O282)</f>
        <v>0</v>
      </c>
      <c r="G282" s="4" t="s">
        <v>273</v>
      </c>
      <c r="H282" s="4" t="s">
        <v>274</v>
      </c>
      <c r="I282" s="4"/>
      <c r="J282" s="4"/>
      <c r="K282" s="4">
        <v>227</v>
      </c>
      <c r="L282" s="4">
        <v>6</v>
      </c>
      <c r="M282" s="4">
        <v>3</v>
      </c>
      <c r="N282" s="4" t="s">
        <v>3</v>
      </c>
      <c r="O282" s="4">
        <v>2</v>
      </c>
      <c r="P282" s="4"/>
      <c r="Q282" s="4"/>
      <c r="R282" s="4"/>
      <c r="S282" s="4"/>
      <c r="T282" s="4"/>
      <c r="U282" s="4"/>
      <c r="V282" s="4"/>
      <c r="W282" s="4"/>
    </row>
    <row r="283" spans="1:206" x14ac:dyDescent="0.2">
      <c r="A283" s="4">
        <v>50</v>
      </c>
      <c r="B283" s="4">
        <v>0</v>
      </c>
      <c r="C283" s="4">
        <v>0</v>
      </c>
      <c r="D283" s="4">
        <v>1</v>
      </c>
      <c r="E283" s="4">
        <v>228</v>
      </c>
      <c r="F283" s="4">
        <f>ROUND(Source!AY275,O283)</f>
        <v>1794567.45</v>
      </c>
      <c r="G283" s="4" t="s">
        <v>275</v>
      </c>
      <c r="H283" s="4" t="s">
        <v>276</v>
      </c>
      <c r="I283" s="4"/>
      <c r="J283" s="4"/>
      <c r="K283" s="4">
        <v>228</v>
      </c>
      <c r="L283" s="4">
        <v>7</v>
      </c>
      <c r="M283" s="4">
        <v>3</v>
      </c>
      <c r="N283" s="4" t="s">
        <v>3</v>
      </c>
      <c r="O283" s="4">
        <v>2</v>
      </c>
      <c r="P283" s="4"/>
      <c r="Q283" s="4"/>
      <c r="R283" s="4"/>
      <c r="S283" s="4"/>
      <c r="T283" s="4"/>
      <c r="U283" s="4"/>
      <c r="V283" s="4"/>
      <c r="W283" s="4"/>
    </row>
    <row r="284" spans="1:206" x14ac:dyDescent="0.2">
      <c r="A284" s="4">
        <v>50</v>
      </c>
      <c r="B284" s="4">
        <v>0</v>
      </c>
      <c r="C284" s="4">
        <v>0</v>
      </c>
      <c r="D284" s="4">
        <v>1</v>
      </c>
      <c r="E284" s="4">
        <v>216</v>
      </c>
      <c r="F284" s="4">
        <f>ROUND(Source!AP275,O284)</f>
        <v>0</v>
      </c>
      <c r="G284" s="4" t="s">
        <v>277</v>
      </c>
      <c r="H284" s="4" t="s">
        <v>278</v>
      </c>
      <c r="I284" s="4"/>
      <c r="J284" s="4"/>
      <c r="K284" s="4">
        <v>216</v>
      </c>
      <c r="L284" s="4">
        <v>8</v>
      </c>
      <c r="M284" s="4">
        <v>3</v>
      </c>
      <c r="N284" s="4" t="s">
        <v>3</v>
      </c>
      <c r="O284" s="4">
        <v>2</v>
      </c>
      <c r="P284" s="4"/>
      <c r="Q284" s="4"/>
      <c r="R284" s="4"/>
      <c r="S284" s="4"/>
      <c r="T284" s="4"/>
      <c r="U284" s="4"/>
      <c r="V284" s="4"/>
      <c r="W284" s="4"/>
    </row>
    <row r="285" spans="1:206" x14ac:dyDescent="0.2">
      <c r="A285" s="4">
        <v>50</v>
      </c>
      <c r="B285" s="4">
        <v>0</v>
      </c>
      <c r="C285" s="4">
        <v>0</v>
      </c>
      <c r="D285" s="4">
        <v>1</v>
      </c>
      <c r="E285" s="4">
        <v>223</v>
      </c>
      <c r="F285" s="4">
        <f>ROUND(Source!AQ275,O285)</f>
        <v>0</v>
      </c>
      <c r="G285" s="4" t="s">
        <v>279</v>
      </c>
      <c r="H285" s="4" t="s">
        <v>280</v>
      </c>
      <c r="I285" s="4"/>
      <c r="J285" s="4"/>
      <c r="K285" s="4">
        <v>223</v>
      </c>
      <c r="L285" s="4">
        <v>9</v>
      </c>
      <c r="M285" s="4">
        <v>3</v>
      </c>
      <c r="N285" s="4" t="s">
        <v>3</v>
      </c>
      <c r="O285" s="4">
        <v>2</v>
      </c>
      <c r="P285" s="4"/>
      <c r="Q285" s="4"/>
      <c r="R285" s="4"/>
      <c r="S285" s="4"/>
      <c r="T285" s="4"/>
      <c r="U285" s="4"/>
      <c r="V285" s="4"/>
      <c r="W285" s="4"/>
    </row>
    <row r="286" spans="1:206" x14ac:dyDescent="0.2">
      <c r="A286" s="4">
        <v>50</v>
      </c>
      <c r="B286" s="4">
        <v>0</v>
      </c>
      <c r="C286" s="4">
        <v>0</v>
      </c>
      <c r="D286" s="4">
        <v>1</v>
      </c>
      <c r="E286" s="4">
        <v>229</v>
      </c>
      <c r="F286" s="4">
        <f>ROUND(Source!AZ275,O286)</f>
        <v>0</v>
      </c>
      <c r="G286" s="4" t="s">
        <v>281</v>
      </c>
      <c r="H286" s="4" t="s">
        <v>282</v>
      </c>
      <c r="I286" s="4"/>
      <c r="J286" s="4"/>
      <c r="K286" s="4">
        <v>229</v>
      </c>
      <c r="L286" s="4">
        <v>10</v>
      </c>
      <c r="M286" s="4">
        <v>3</v>
      </c>
      <c r="N286" s="4" t="s">
        <v>3</v>
      </c>
      <c r="O286" s="4">
        <v>2</v>
      </c>
      <c r="P286" s="4"/>
      <c r="Q286" s="4"/>
      <c r="R286" s="4"/>
      <c r="S286" s="4"/>
      <c r="T286" s="4"/>
      <c r="U286" s="4"/>
      <c r="V286" s="4"/>
      <c r="W286" s="4"/>
    </row>
    <row r="287" spans="1:206" x14ac:dyDescent="0.2">
      <c r="A287" s="4">
        <v>50</v>
      </c>
      <c r="B287" s="4">
        <v>0</v>
      </c>
      <c r="C287" s="4">
        <v>0</v>
      </c>
      <c r="D287" s="4">
        <v>1</v>
      </c>
      <c r="E287" s="4">
        <v>203</v>
      </c>
      <c r="F287" s="4">
        <f>ROUND(Source!Q275,O287)</f>
        <v>14459.14</v>
      </c>
      <c r="G287" s="4" t="s">
        <v>283</v>
      </c>
      <c r="H287" s="4" t="s">
        <v>284</v>
      </c>
      <c r="I287" s="4"/>
      <c r="J287" s="4"/>
      <c r="K287" s="4">
        <v>203</v>
      </c>
      <c r="L287" s="4">
        <v>11</v>
      </c>
      <c r="M287" s="4">
        <v>3</v>
      </c>
      <c r="N287" s="4" t="s">
        <v>3</v>
      </c>
      <c r="O287" s="4">
        <v>2</v>
      </c>
      <c r="P287" s="4"/>
      <c r="Q287" s="4"/>
      <c r="R287" s="4"/>
      <c r="S287" s="4"/>
      <c r="T287" s="4"/>
      <c r="U287" s="4"/>
      <c r="V287" s="4"/>
      <c r="W287" s="4"/>
    </row>
    <row r="288" spans="1:206" x14ac:dyDescent="0.2">
      <c r="A288" s="4">
        <v>50</v>
      </c>
      <c r="B288" s="4">
        <v>0</v>
      </c>
      <c r="C288" s="4">
        <v>0</v>
      </c>
      <c r="D288" s="4">
        <v>1</v>
      </c>
      <c r="E288" s="4">
        <v>231</v>
      </c>
      <c r="F288" s="4">
        <f>ROUND(Source!BB275,O288)</f>
        <v>0</v>
      </c>
      <c r="G288" s="4" t="s">
        <v>285</v>
      </c>
      <c r="H288" s="4" t="s">
        <v>286</v>
      </c>
      <c r="I288" s="4"/>
      <c r="J288" s="4"/>
      <c r="K288" s="4">
        <v>231</v>
      </c>
      <c r="L288" s="4">
        <v>12</v>
      </c>
      <c r="M288" s="4">
        <v>3</v>
      </c>
      <c r="N288" s="4" t="s">
        <v>3</v>
      </c>
      <c r="O288" s="4">
        <v>2</v>
      </c>
      <c r="P288" s="4"/>
      <c r="Q288" s="4"/>
      <c r="R288" s="4"/>
      <c r="S288" s="4"/>
      <c r="T288" s="4"/>
      <c r="U288" s="4"/>
      <c r="V288" s="4"/>
      <c r="W288" s="4"/>
    </row>
    <row r="289" spans="1:23" x14ac:dyDescent="0.2">
      <c r="A289" s="4">
        <v>50</v>
      </c>
      <c r="B289" s="4">
        <v>0</v>
      </c>
      <c r="C289" s="4">
        <v>0</v>
      </c>
      <c r="D289" s="4">
        <v>1</v>
      </c>
      <c r="E289" s="4">
        <v>204</v>
      </c>
      <c r="F289" s="4">
        <f>ROUND(Source!R275,O289)</f>
        <v>3141.31</v>
      </c>
      <c r="G289" s="4" t="s">
        <v>287</v>
      </c>
      <c r="H289" s="4" t="s">
        <v>288</v>
      </c>
      <c r="I289" s="4"/>
      <c r="J289" s="4"/>
      <c r="K289" s="4">
        <v>204</v>
      </c>
      <c r="L289" s="4">
        <v>13</v>
      </c>
      <c r="M289" s="4">
        <v>3</v>
      </c>
      <c r="N289" s="4" t="s">
        <v>3</v>
      </c>
      <c r="O289" s="4">
        <v>2</v>
      </c>
      <c r="P289" s="4"/>
      <c r="Q289" s="4"/>
      <c r="R289" s="4"/>
      <c r="S289" s="4"/>
      <c r="T289" s="4"/>
      <c r="U289" s="4"/>
      <c r="V289" s="4"/>
      <c r="W289" s="4"/>
    </row>
    <row r="290" spans="1:23" x14ac:dyDescent="0.2">
      <c r="A290" s="4">
        <v>50</v>
      </c>
      <c r="B290" s="4">
        <v>0</v>
      </c>
      <c r="C290" s="4">
        <v>0</v>
      </c>
      <c r="D290" s="4">
        <v>1</v>
      </c>
      <c r="E290" s="4">
        <v>205</v>
      </c>
      <c r="F290" s="4">
        <f>ROUND(Source!S275,O290)</f>
        <v>161828.87</v>
      </c>
      <c r="G290" s="4" t="s">
        <v>289</v>
      </c>
      <c r="H290" s="4" t="s">
        <v>290</v>
      </c>
      <c r="I290" s="4"/>
      <c r="J290" s="4"/>
      <c r="K290" s="4">
        <v>205</v>
      </c>
      <c r="L290" s="4">
        <v>14</v>
      </c>
      <c r="M290" s="4">
        <v>3</v>
      </c>
      <c r="N290" s="4" t="s">
        <v>3</v>
      </c>
      <c r="O290" s="4">
        <v>2</v>
      </c>
      <c r="P290" s="4"/>
      <c r="Q290" s="4"/>
      <c r="R290" s="4"/>
      <c r="S290" s="4"/>
      <c r="T290" s="4"/>
      <c r="U290" s="4"/>
      <c r="V290" s="4"/>
      <c r="W290" s="4"/>
    </row>
    <row r="291" spans="1:23" x14ac:dyDescent="0.2">
      <c r="A291" s="4">
        <v>50</v>
      </c>
      <c r="B291" s="4">
        <v>0</v>
      </c>
      <c r="C291" s="4">
        <v>0</v>
      </c>
      <c r="D291" s="4">
        <v>1</v>
      </c>
      <c r="E291" s="4">
        <v>232</v>
      </c>
      <c r="F291" s="4">
        <f>ROUND(Source!BC275,O291)</f>
        <v>0</v>
      </c>
      <c r="G291" s="4" t="s">
        <v>291</v>
      </c>
      <c r="H291" s="4" t="s">
        <v>292</v>
      </c>
      <c r="I291" s="4"/>
      <c r="J291" s="4"/>
      <c r="K291" s="4">
        <v>232</v>
      </c>
      <c r="L291" s="4">
        <v>15</v>
      </c>
      <c r="M291" s="4">
        <v>3</v>
      </c>
      <c r="N291" s="4" t="s">
        <v>3</v>
      </c>
      <c r="O291" s="4">
        <v>2</v>
      </c>
      <c r="P291" s="4"/>
      <c r="Q291" s="4"/>
      <c r="R291" s="4"/>
      <c r="S291" s="4"/>
      <c r="T291" s="4"/>
      <c r="U291" s="4"/>
      <c r="V291" s="4"/>
      <c r="W291" s="4"/>
    </row>
    <row r="292" spans="1:23" x14ac:dyDescent="0.2">
      <c r="A292" s="4">
        <v>50</v>
      </c>
      <c r="B292" s="4">
        <v>0</v>
      </c>
      <c r="C292" s="4">
        <v>0</v>
      </c>
      <c r="D292" s="4">
        <v>1</v>
      </c>
      <c r="E292" s="4">
        <v>214</v>
      </c>
      <c r="F292" s="4">
        <f>ROUND(Source!AS275,O292)</f>
        <v>1374710.65</v>
      </c>
      <c r="G292" s="4" t="s">
        <v>293</v>
      </c>
      <c r="H292" s="4" t="s">
        <v>294</v>
      </c>
      <c r="I292" s="4"/>
      <c r="J292" s="4"/>
      <c r="K292" s="4">
        <v>214</v>
      </c>
      <c r="L292" s="4">
        <v>16</v>
      </c>
      <c r="M292" s="4">
        <v>3</v>
      </c>
      <c r="N292" s="4" t="s">
        <v>3</v>
      </c>
      <c r="O292" s="4">
        <v>2</v>
      </c>
      <c r="P292" s="4"/>
      <c r="Q292" s="4"/>
      <c r="R292" s="4"/>
      <c r="S292" s="4"/>
      <c r="T292" s="4"/>
      <c r="U292" s="4"/>
      <c r="V292" s="4"/>
      <c r="W292" s="4"/>
    </row>
    <row r="293" spans="1:23" x14ac:dyDescent="0.2">
      <c r="A293" s="4">
        <v>50</v>
      </c>
      <c r="B293" s="4">
        <v>0</v>
      </c>
      <c r="C293" s="4">
        <v>0</v>
      </c>
      <c r="D293" s="4">
        <v>1</v>
      </c>
      <c r="E293" s="4">
        <v>215</v>
      </c>
      <c r="F293" s="4">
        <f>ROUND(Source!AT275,O293)</f>
        <v>758771.75</v>
      </c>
      <c r="G293" s="4" t="s">
        <v>295</v>
      </c>
      <c r="H293" s="4" t="s">
        <v>296</v>
      </c>
      <c r="I293" s="4"/>
      <c r="J293" s="4"/>
      <c r="K293" s="4">
        <v>215</v>
      </c>
      <c r="L293" s="4">
        <v>17</v>
      </c>
      <c r="M293" s="4">
        <v>3</v>
      </c>
      <c r="N293" s="4" t="s">
        <v>3</v>
      </c>
      <c r="O293" s="4">
        <v>2</v>
      </c>
      <c r="P293" s="4"/>
      <c r="Q293" s="4"/>
      <c r="R293" s="4"/>
      <c r="S293" s="4"/>
      <c r="T293" s="4"/>
      <c r="U293" s="4"/>
      <c r="V293" s="4"/>
      <c r="W293" s="4"/>
    </row>
    <row r="294" spans="1:23" x14ac:dyDescent="0.2">
      <c r="A294" s="4">
        <v>50</v>
      </c>
      <c r="B294" s="4">
        <v>0</v>
      </c>
      <c r="C294" s="4">
        <v>0</v>
      </c>
      <c r="D294" s="4">
        <v>1</v>
      </c>
      <c r="E294" s="4">
        <v>217</v>
      </c>
      <c r="F294" s="4">
        <f>ROUND(Source!AU275,O294)</f>
        <v>71446.64</v>
      </c>
      <c r="G294" s="4" t="s">
        <v>297</v>
      </c>
      <c r="H294" s="4" t="s">
        <v>298</v>
      </c>
      <c r="I294" s="4"/>
      <c r="J294" s="4"/>
      <c r="K294" s="4">
        <v>217</v>
      </c>
      <c r="L294" s="4">
        <v>18</v>
      </c>
      <c r="M294" s="4">
        <v>3</v>
      </c>
      <c r="N294" s="4" t="s">
        <v>3</v>
      </c>
      <c r="O294" s="4">
        <v>2</v>
      </c>
      <c r="P294" s="4"/>
      <c r="Q294" s="4"/>
      <c r="R294" s="4"/>
      <c r="S294" s="4"/>
      <c r="T294" s="4"/>
      <c r="U294" s="4"/>
      <c r="V294" s="4"/>
      <c r="W294" s="4"/>
    </row>
    <row r="295" spans="1:23" x14ac:dyDescent="0.2">
      <c r="A295" s="4">
        <v>50</v>
      </c>
      <c r="B295" s="4">
        <v>0</v>
      </c>
      <c r="C295" s="4">
        <v>0</v>
      </c>
      <c r="D295" s="4">
        <v>1</v>
      </c>
      <c r="E295" s="4">
        <v>230</v>
      </c>
      <c r="F295" s="4">
        <f>ROUND(Source!BA275,O295)</f>
        <v>0</v>
      </c>
      <c r="G295" s="4" t="s">
        <v>299</v>
      </c>
      <c r="H295" s="4" t="s">
        <v>300</v>
      </c>
      <c r="I295" s="4"/>
      <c r="J295" s="4"/>
      <c r="K295" s="4">
        <v>230</v>
      </c>
      <c r="L295" s="4">
        <v>19</v>
      </c>
      <c r="M295" s="4">
        <v>3</v>
      </c>
      <c r="N295" s="4" t="s">
        <v>3</v>
      </c>
      <c r="O295" s="4">
        <v>2</v>
      </c>
      <c r="P295" s="4"/>
      <c r="Q295" s="4"/>
      <c r="R295" s="4"/>
      <c r="S295" s="4"/>
      <c r="T295" s="4"/>
      <c r="U295" s="4"/>
      <c r="V295" s="4"/>
      <c r="W295" s="4"/>
    </row>
    <row r="296" spans="1:23" x14ac:dyDescent="0.2">
      <c r="A296" s="4">
        <v>50</v>
      </c>
      <c r="B296" s="4">
        <v>0</v>
      </c>
      <c r="C296" s="4">
        <v>0</v>
      </c>
      <c r="D296" s="4">
        <v>1</v>
      </c>
      <c r="E296" s="4">
        <v>206</v>
      </c>
      <c r="F296" s="4">
        <f>ROUND(Source!T275,O296)</f>
        <v>0</v>
      </c>
      <c r="G296" s="4" t="s">
        <v>301</v>
      </c>
      <c r="H296" s="4" t="s">
        <v>302</v>
      </c>
      <c r="I296" s="4"/>
      <c r="J296" s="4"/>
      <c r="K296" s="4">
        <v>206</v>
      </c>
      <c r="L296" s="4">
        <v>20</v>
      </c>
      <c r="M296" s="4">
        <v>3</v>
      </c>
      <c r="N296" s="4" t="s">
        <v>3</v>
      </c>
      <c r="O296" s="4">
        <v>2</v>
      </c>
      <c r="P296" s="4"/>
      <c r="Q296" s="4"/>
      <c r="R296" s="4"/>
      <c r="S296" s="4"/>
      <c r="T296" s="4"/>
      <c r="U296" s="4"/>
      <c r="V296" s="4"/>
      <c r="W296" s="4"/>
    </row>
    <row r="297" spans="1:23" x14ac:dyDescent="0.2">
      <c r="A297" s="4">
        <v>50</v>
      </c>
      <c r="B297" s="4">
        <v>0</v>
      </c>
      <c r="C297" s="4">
        <v>0</v>
      </c>
      <c r="D297" s="4">
        <v>1</v>
      </c>
      <c r="E297" s="4">
        <v>207</v>
      </c>
      <c r="F297" s="4">
        <f>Source!U275</f>
        <v>2288.6531055</v>
      </c>
      <c r="G297" s="4" t="s">
        <v>303</v>
      </c>
      <c r="H297" s="4" t="s">
        <v>304</v>
      </c>
      <c r="I297" s="4"/>
      <c r="J297" s="4"/>
      <c r="K297" s="4">
        <v>207</v>
      </c>
      <c r="L297" s="4">
        <v>21</v>
      </c>
      <c r="M297" s="4">
        <v>3</v>
      </c>
      <c r="N297" s="4" t="s">
        <v>3</v>
      </c>
      <c r="O297" s="4">
        <v>-1</v>
      </c>
      <c r="P297" s="4"/>
      <c r="Q297" s="4"/>
      <c r="R297" s="4"/>
      <c r="S297" s="4"/>
      <c r="T297" s="4"/>
      <c r="U297" s="4"/>
      <c r="V297" s="4"/>
      <c r="W297" s="4"/>
    </row>
    <row r="298" spans="1:23" x14ac:dyDescent="0.2">
      <c r="A298" s="4">
        <v>50</v>
      </c>
      <c r="B298" s="4">
        <v>0</v>
      </c>
      <c r="C298" s="4">
        <v>0</v>
      </c>
      <c r="D298" s="4">
        <v>1</v>
      </c>
      <c r="E298" s="4">
        <v>208</v>
      </c>
      <c r="F298" s="4">
        <f>Source!V275</f>
        <v>42.035352250000003</v>
      </c>
      <c r="G298" s="4" t="s">
        <v>305</v>
      </c>
      <c r="H298" s="4" t="s">
        <v>306</v>
      </c>
      <c r="I298" s="4"/>
      <c r="J298" s="4"/>
      <c r="K298" s="4">
        <v>208</v>
      </c>
      <c r="L298" s="4">
        <v>22</v>
      </c>
      <c r="M298" s="4">
        <v>3</v>
      </c>
      <c r="N298" s="4" t="s">
        <v>3</v>
      </c>
      <c r="O298" s="4">
        <v>-1</v>
      </c>
      <c r="P298" s="4"/>
      <c r="Q298" s="4"/>
      <c r="R298" s="4"/>
      <c r="S298" s="4"/>
      <c r="T298" s="4"/>
      <c r="U298" s="4"/>
      <c r="V298" s="4"/>
      <c r="W298" s="4"/>
    </row>
    <row r="299" spans="1:23" x14ac:dyDescent="0.2">
      <c r="A299" s="4">
        <v>50</v>
      </c>
      <c r="B299" s="4">
        <v>0</v>
      </c>
      <c r="C299" s="4">
        <v>0</v>
      </c>
      <c r="D299" s="4">
        <v>1</v>
      </c>
      <c r="E299" s="4">
        <v>209</v>
      </c>
      <c r="F299" s="4">
        <f>ROUND(Source!W275,O299)</f>
        <v>0</v>
      </c>
      <c r="G299" s="4" t="s">
        <v>307</v>
      </c>
      <c r="H299" s="4" t="s">
        <v>308</v>
      </c>
      <c r="I299" s="4"/>
      <c r="J299" s="4"/>
      <c r="K299" s="4">
        <v>209</v>
      </c>
      <c r="L299" s="4">
        <v>23</v>
      </c>
      <c r="M299" s="4">
        <v>3</v>
      </c>
      <c r="N299" s="4" t="s">
        <v>3</v>
      </c>
      <c r="O299" s="4">
        <v>2</v>
      </c>
      <c r="P299" s="4"/>
      <c r="Q299" s="4"/>
      <c r="R299" s="4"/>
      <c r="S299" s="4"/>
      <c r="T299" s="4"/>
      <c r="U299" s="4"/>
      <c r="V299" s="4"/>
      <c r="W299" s="4"/>
    </row>
    <row r="300" spans="1:23" x14ac:dyDescent="0.2">
      <c r="A300" s="4">
        <v>50</v>
      </c>
      <c r="B300" s="4">
        <v>0</v>
      </c>
      <c r="C300" s="4">
        <v>0</v>
      </c>
      <c r="D300" s="4">
        <v>1</v>
      </c>
      <c r="E300" s="4">
        <v>210</v>
      </c>
      <c r="F300" s="4">
        <f>ROUND(Source!X275,O300)</f>
        <v>145731.99</v>
      </c>
      <c r="G300" s="4" t="s">
        <v>309</v>
      </c>
      <c r="H300" s="4" t="s">
        <v>310</v>
      </c>
      <c r="I300" s="4"/>
      <c r="J300" s="4"/>
      <c r="K300" s="4">
        <v>210</v>
      </c>
      <c r="L300" s="4">
        <v>24</v>
      </c>
      <c r="M300" s="4">
        <v>3</v>
      </c>
      <c r="N300" s="4" t="s">
        <v>3</v>
      </c>
      <c r="O300" s="4">
        <v>2</v>
      </c>
      <c r="P300" s="4"/>
      <c r="Q300" s="4"/>
      <c r="R300" s="4"/>
      <c r="S300" s="4"/>
      <c r="T300" s="4"/>
      <c r="U300" s="4"/>
      <c r="V300" s="4"/>
      <c r="W300" s="4"/>
    </row>
    <row r="301" spans="1:23" x14ac:dyDescent="0.2">
      <c r="A301" s="4">
        <v>50</v>
      </c>
      <c r="B301" s="4">
        <v>0</v>
      </c>
      <c r="C301" s="4">
        <v>0</v>
      </c>
      <c r="D301" s="4">
        <v>1</v>
      </c>
      <c r="E301" s="4">
        <v>211</v>
      </c>
      <c r="F301" s="4">
        <f>ROUND(Source!Y275,O301)</f>
        <v>87729.21</v>
      </c>
      <c r="G301" s="4" t="s">
        <v>311</v>
      </c>
      <c r="H301" s="4" t="s">
        <v>312</v>
      </c>
      <c r="I301" s="4"/>
      <c r="J301" s="4"/>
      <c r="K301" s="4">
        <v>211</v>
      </c>
      <c r="L301" s="4">
        <v>25</v>
      </c>
      <c r="M301" s="4">
        <v>3</v>
      </c>
      <c r="N301" s="4" t="s">
        <v>3</v>
      </c>
      <c r="O301" s="4">
        <v>2</v>
      </c>
      <c r="P301" s="4"/>
      <c r="Q301" s="4"/>
      <c r="R301" s="4"/>
      <c r="S301" s="4"/>
      <c r="T301" s="4"/>
      <c r="U301" s="4"/>
      <c r="V301" s="4"/>
      <c r="W301" s="4"/>
    </row>
    <row r="302" spans="1:23" x14ac:dyDescent="0.2">
      <c r="A302" s="4">
        <v>50</v>
      </c>
      <c r="B302" s="4">
        <v>0</v>
      </c>
      <c r="C302" s="4">
        <v>0</v>
      </c>
      <c r="D302" s="4">
        <v>1</v>
      </c>
      <c r="E302" s="4">
        <v>224</v>
      </c>
      <c r="F302" s="4">
        <f>ROUND(Source!AR275,O302)</f>
        <v>2204929.04</v>
      </c>
      <c r="G302" s="4" t="s">
        <v>313</v>
      </c>
      <c r="H302" s="4" t="s">
        <v>314</v>
      </c>
      <c r="I302" s="4"/>
      <c r="J302" s="4"/>
      <c r="K302" s="4">
        <v>224</v>
      </c>
      <c r="L302" s="4">
        <v>26</v>
      </c>
      <c r="M302" s="4">
        <v>3</v>
      </c>
      <c r="N302" s="4" t="s">
        <v>3</v>
      </c>
      <c r="O302" s="4">
        <v>2</v>
      </c>
      <c r="P302" s="4"/>
      <c r="Q302" s="4"/>
      <c r="R302" s="4"/>
      <c r="S302" s="4"/>
      <c r="T302" s="4"/>
      <c r="U302" s="4"/>
      <c r="V302" s="4"/>
      <c r="W302" s="4"/>
    </row>
    <row r="303" spans="1:23" x14ac:dyDescent="0.2">
      <c r="A303" s="4">
        <v>50</v>
      </c>
      <c r="B303" s="4">
        <v>1</v>
      </c>
      <c r="C303" s="4">
        <v>0</v>
      </c>
      <c r="D303" s="4">
        <v>2</v>
      </c>
      <c r="E303" s="4">
        <v>0</v>
      </c>
      <c r="F303" s="4">
        <f>ROUND(F302,O303)</f>
        <v>2204929.04</v>
      </c>
      <c r="G303" s="4" t="s">
        <v>533</v>
      </c>
      <c r="H303" s="4" t="s">
        <v>534</v>
      </c>
      <c r="I303" s="4"/>
      <c r="J303" s="4"/>
      <c r="K303" s="4">
        <v>212</v>
      </c>
      <c r="L303" s="4">
        <v>27</v>
      </c>
      <c r="M303" s="4">
        <v>0</v>
      </c>
      <c r="N303" s="4" t="s">
        <v>3</v>
      </c>
      <c r="O303" s="4">
        <v>2</v>
      </c>
      <c r="P303" s="4"/>
      <c r="Q303" s="4"/>
      <c r="R303" s="4"/>
      <c r="S303" s="4"/>
      <c r="T303" s="4"/>
      <c r="U303" s="4"/>
      <c r="V303" s="4"/>
      <c r="W303" s="4"/>
    </row>
    <row r="304" spans="1:23" x14ac:dyDescent="0.2">
      <c r="A304" s="4">
        <v>50</v>
      </c>
      <c r="B304" s="4">
        <v>1</v>
      </c>
      <c r="C304" s="4">
        <v>0</v>
      </c>
      <c r="D304" s="4">
        <v>2</v>
      </c>
      <c r="E304" s="4">
        <v>0</v>
      </c>
      <c r="F304" s="4">
        <f>ROUND(F303*0.18,O304)</f>
        <v>396887.23</v>
      </c>
      <c r="G304" s="4" t="s">
        <v>535</v>
      </c>
      <c r="H304" s="4" t="s">
        <v>536</v>
      </c>
      <c r="I304" s="4"/>
      <c r="J304" s="4"/>
      <c r="K304" s="4">
        <v>212</v>
      </c>
      <c r="L304" s="4">
        <v>28</v>
      </c>
      <c r="M304" s="4">
        <v>0</v>
      </c>
      <c r="N304" s="4" t="s">
        <v>3</v>
      </c>
      <c r="O304" s="4">
        <v>2</v>
      </c>
      <c r="P304" s="4"/>
      <c r="Q304" s="4"/>
      <c r="R304" s="4"/>
      <c r="S304" s="4"/>
      <c r="T304" s="4"/>
      <c r="U304" s="4"/>
      <c r="V304" s="4"/>
      <c r="W304" s="4"/>
    </row>
    <row r="305" spans="1:206" x14ac:dyDescent="0.2">
      <c r="A305" s="4">
        <v>50</v>
      </c>
      <c r="B305" s="4">
        <v>1</v>
      </c>
      <c r="C305" s="4">
        <v>0</v>
      </c>
      <c r="D305" s="4">
        <v>2</v>
      </c>
      <c r="E305" s="4">
        <v>213</v>
      </c>
      <c r="F305" s="4">
        <f>ROUND(F303+F304,O305)</f>
        <v>2601816.27</v>
      </c>
      <c r="G305" s="4" t="s">
        <v>537</v>
      </c>
      <c r="H305" s="4" t="s">
        <v>313</v>
      </c>
      <c r="I305" s="4"/>
      <c r="J305" s="4"/>
      <c r="K305" s="4">
        <v>212</v>
      </c>
      <c r="L305" s="4">
        <v>29</v>
      </c>
      <c r="M305" s="4">
        <v>0</v>
      </c>
      <c r="N305" s="4" t="s">
        <v>3</v>
      </c>
      <c r="O305" s="4">
        <v>2</v>
      </c>
      <c r="P305" s="4"/>
      <c r="Q305" s="4"/>
      <c r="R305" s="4"/>
      <c r="S305" s="4"/>
      <c r="T305" s="4"/>
      <c r="U305" s="4"/>
      <c r="V305" s="4"/>
      <c r="W305" s="4"/>
    </row>
    <row r="307" spans="1:206" x14ac:dyDescent="0.2">
      <c r="A307" s="2">
        <v>51</v>
      </c>
      <c r="B307" s="2">
        <f>B12</f>
        <v>365</v>
      </c>
      <c r="C307" s="2">
        <f>A12</f>
        <v>1</v>
      </c>
      <c r="D307" s="2">
        <f>ROW(A12)</f>
        <v>12</v>
      </c>
      <c r="E307" s="2"/>
      <c r="F307" s="2" t="str">
        <f>IF(F12&lt;&gt;"",F12,"")</f>
        <v>Новый объект_(Копия)_(Копия)</v>
      </c>
      <c r="G307" s="2" t="str">
        <f>IF(G12&lt;&gt;"",G12,"")</f>
        <v>на капитальный ремонт  учебных аудиторий  4-го этажа учебно-научного корпуса "К" НИЯУ МИФИ по адресу: г. Москва, Каширское шоссе, д.31, стр.46</v>
      </c>
      <c r="H307" s="2">
        <v>0</v>
      </c>
      <c r="I307" s="2"/>
      <c r="J307" s="2"/>
      <c r="K307" s="2"/>
      <c r="L307" s="2"/>
      <c r="M307" s="2"/>
      <c r="N307" s="2"/>
      <c r="O307" s="2">
        <f t="shared" ref="O307:T307" si="252">ROUND(O275,2)</f>
        <v>1970855.46</v>
      </c>
      <c r="P307" s="2">
        <f t="shared" si="252"/>
        <v>1794567.45</v>
      </c>
      <c r="Q307" s="2">
        <f t="shared" si="252"/>
        <v>14459.14</v>
      </c>
      <c r="R307" s="2">
        <f t="shared" si="252"/>
        <v>3141.31</v>
      </c>
      <c r="S307" s="2">
        <f t="shared" si="252"/>
        <v>161828.87</v>
      </c>
      <c r="T307" s="2">
        <f t="shared" si="252"/>
        <v>0</v>
      </c>
      <c r="U307" s="2">
        <f>U275</f>
        <v>2288.6531055</v>
      </c>
      <c r="V307" s="2">
        <f>V275</f>
        <v>42.035352250000003</v>
      </c>
      <c r="W307" s="2">
        <f>ROUND(W275,2)</f>
        <v>0</v>
      </c>
      <c r="X307" s="2">
        <f>ROUND(X275,2)</f>
        <v>145731.99</v>
      </c>
      <c r="Y307" s="2">
        <f>ROUND(Y275,2)</f>
        <v>87729.21</v>
      </c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>
        <f t="shared" ref="AO307:BC307" si="253">ROUND(AO275,2)</f>
        <v>0</v>
      </c>
      <c r="AP307" s="2">
        <f t="shared" si="253"/>
        <v>0</v>
      </c>
      <c r="AQ307" s="2">
        <f t="shared" si="253"/>
        <v>0</v>
      </c>
      <c r="AR307" s="2">
        <f t="shared" si="253"/>
        <v>2204929.04</v>
      </c>
      <c r="AS307" s="2">
        <f t="shared" si="253"/>
        <v>1374710.65</v>
      </c>
      <c r="AT307" s="2">
        <f t="shared" si="253"/>
        <v>758771.75</v>
      </c>
      <c r="AU307" s="2">
        <f t="shared" si="253"/>
        <v>71446.64</v>
      </c>
      <c r="AV307" s="2">
        <f t="shared" si="253"/>
        <v>1794567.45</v>
      </c>
      <c r="AW307" s="2">
        <f t="shared" si="253"/>
        <v>1794567.45</v>
      </c>
      <c r="AX307" s="2">
        <f t="shared" si="253"/>
        <v>0</v>
      </c>
      <c r="AY307" s="2">
        <f t="shared" si="253"/>
        <v>1794567.45</v>
      </c>
      <c r="AZ307" s="2">
        <f t="shared" si="253"/>
        <v>0</v>
      </c>
      <c r="BA307" s="2">
        <f t="shared" si="253"/>
        <v>0</v>
      </c>
      <c r="BB307" s="2">
        <f t="shared" si="253"/>
        <v>0</v>
      </c>
      <c r="BC307" s="2">
        <f t="shared" si="253"/>
        <v>0</v>
      </c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3"/>
      <c r="DH307" s="3"/>
      <c r="DI307" s="3"/>
      <c r="DJ307" s="3"/>
      <c r="DK307" s="3"/>
      <c r="DL307" s="3"/>
      <c r="DM307" s="3"/>
      <c r="DN307" s="3"/>
      <c r="DO307" s="3"/>
      <c r="DP307" s="3"/>
      <c r="DQ307" s="3"/>
      <c r="DR307" s="3"/>
      <c r="DS307" s="3"/>
      <c r="DT307" s="3"/>
      <c r="DU307" s="3"/>
      <c r="DV307" s="3"/>
      <c r="DW307" s="3"/>
      <c r="DX307" s="3"/>
      <c r="DY307" s="3"/>
      <c r="DZ307" s="3"/>
      <c r="EA307" s="3"/>
      <c r="EB307" s="3"/>
      <c r="EC307" s="3"/>
      <c r="ED307" s="3"/>
      <c r="EE307" s="3"/>
      <c r="EF307" s="3"/>
      <c r="EG307" s="3"/>
      <c r="EH307" s="3"/>
      <c r="EI307" s="3"/>
      <c r="EJ307" s="3"/>
      <c r="EK307" s="3"/>
      <c r="EL307" s="3"/>
      <c r="EM307" s="3"/>
      <c r="EN307" s="3"/>
      <c r="EO307" s="3"/>
      <c r="EP307" s="3"/>
      <c r="EQ307" s="3"/>
      <c r="ER307" s="3"/>
      <c r="ES307" s="3"/>
      <c r="ET307" s="3"/>
      <c r="EU307" s="3"/>
      <c r="EV307" s="3"/>
      <c r="EW307" s="3"/>
      <c r="EX307" s="3"/>
      <c r="EY307" s="3"/>
      <c r="EZ307" s="3"/>
      <c r="FA307" s="3"/>
      <c r="FB307" s="3"/>
      <c r="FC307" s="3"/>
      <c r="FD307" s="3"/>
      <c r="FE307" s="3"/>
      <c r="FF307" s="3"/>
      <c r="FG307" s="3"/>
      <c r="FH307" s="3"/>
      <c r="FI307" s="3"/>
      <c r="FJ307" s="3"/>
      <c r="FK307" s="3"/>
      <c r="FL307" s="3"/>
      <c r="FM307" s="3"/>
      <c r="FN307" s="3"/>
      <c r="FO307" s="3"/>
      <c r="FP307" s="3"/>
      <c r="FQ307" s="3"/>
      <c r="FR307" s="3"/>
      <c r="FS307" s="3"/>
      <c r="FT307" s="3"/>
      <c r="FU307" s="3"/>
      <c r="FV307" s="3"/>
      <c r="FW307" s="3"/>
      <c r="FX307" s="3"/>
      <c r="FY307" s="3"/>
      <c r="FZ307" s="3"/>
      <c r="GA307" s="3"/>
      <c r="GB307" s="3"/>
      <c r="GC307" s="3"/>
      <c r="GD307" s="3"/>
      <c r="GE307" s="3"/>
      <c r="GF307" s="3"/>
      <c r="GG307" s="3"/>
      <c r="GH307" s="3"/>
      <c r="GI307" s="3"/>
      <c r="GJ307" s="3"/>
      <c r="GK307" s="3"/>
      <c r="GL307" s="3"/>
      <c r="GM307" s="3"/>
      <c r="GN307" s="3"/>
      <c r="GO307" s="3"/>
      <c r="GP307" s="3"/>
      <c r="GQ307" s="3"/>
      <c r="GR307" s="3"/>
      <c r="GS307" s="3"/>
      <c r="GT307" s="3"/>
      <c r="GU307" s="3"/>
      <c r="GV307" s="3"/>
      <c r="GW307" s="3"/>
      <c r="GX307" s="3">
        <v>0</v>
      </c>
    </row>
    <row r="309" spans="1:206" x14ac:dyDescent="0.2">
      <c r="A309" s="4">
        <v>50</v>
      </c>
      <c r="B309" s="4">
        <v>0</v>
      </c>
      <c r="C309" s="4">
        <v>0</v>
      </c>
      <c r="D309" s="4">
        <v>1</v>
      </c>
      <c r="E309" s="4">
        <v>201</v>
      </c>
      <c r="F309" s="4">
        <f>ROUND(Source!O307,O309)</f>
        <v>1970855.46</v>
      </c>
      <c r="G309" s="4" t="s">
        <v>263</v>
      </c>
      <c r="H309" s="4" t="s">
        <v>264</v>
      </c>
      <c r="I309" s="4"/>
      <c r="J309" s="4"/>
      <c r="K309" s="4">
        <v>201</v>
      </c>
      <c r="L309" s="4">
        <v>1</v>
      </c>
      <c r="M309" s="4">
        <v>3</v>
      </c>
      <c r="N309" s="4" t="s">
        <v>3</v>
      </c>
      <c r="O309" s="4">
        <v>2</v>
      </c>
      <c r="P309" s="4"/>
      <c r="Q309" s="4"/>
      <c r="R309" s="4"/>
      <c r="S309" s="4"/>
      <c r="T309" s="4"/>
      <c r="U309" s="4"/>
      <c r="V309" s="4"/>
      <c r="W309" s="4"/>
    </row>
    <row r="310" spans="1:206" x14ac:dyDescent="0.2">
      <c r="A310" s="4">
        <v>50</v>
      </c>
      <c r="B310" s="4">
        <v>0</v>
      </c>
      <c r="C310" s="4">
        <v>0</v>
      </c>
      <c r="D310" s="4">
        <v>1</v>
      </c>
      <c r="E310" s="4">
        <v>202</v>
      </c>
      <c r="F310" s="4">
        <f>ROUND(Source!P307,O310)</f>
        <v>1794567.45</v>
      </c>
      <c r="G310" s="4" t="s">
        <v>265</v>
      </c>
      <c r="H310" s="4" t="s">
        <v>266</v>
      </c>
      <c r="I310" s="4"/>
      <c r="J310" s="4"/>
      <c r="K310" s="4">
        <v>202</v>
      </c>
      <c r="L310" s="4">
        <v>2</v>
      </c>
      <c r="M310" s="4">
        <v>3</v>
      </c>
      <c r="N310" s="4" t="s">
        <v>3</v>
      </c>
      <c r="O310" s="4">
        <v>2</v>
      </c>
      <c r="P310" s="4"/>
      <c r="Q310" s="4"/>
      <c r="R310" s="4"/>
      <c r="S310" s="4"/>
      <c r="T310" s="4"/>
      <c r="U310" s="4"/>
      <c r="V310" s="4"/>
      <c r="W310" s="4"/>
    </row>
    <row r="311" spans="1:206" x14ac:dyDescent="0.2">
      <c r="A311" s="4">
        <v>50</v>
      </c>
      <c r="B311" s="4">
        <v>0</v>
      </c>
      <c r="C311" s="4">
        <v>0</v>
      </c>
      <c r="D311" s="4">
        <v>1</v>
      </c>
      <c r="E311" s="4">
        <v>222</v>
      </c>
      <c r="F311" s="4">
        <f>ROUND(Source!AO307,O311)</f>
        <v>0</v>
      </c>
      <c r="G311" s="4" t="s">
        <v>267</v>
      </c>
      <c r="H311" s="4" t="s">
        <v>268</v>
      </c>
      <c r="I311" s="4"/>
      <c r="J311" s="4"/>
      <c r="K311" s="4">
        <v>222</v>
      </c>
      <c r="L311" s="4">
        <v>3</v>
      </c>
      <c r="M311" s="4">
        <v>3</v>
      </c>
      <c r="N311" s="4" t="s">
        <v>3</v>
      </c>
      <c r="O311" s="4">
        <v>2</v>
      </c>
      <c r="P311" s="4"/>
      <c r="Q311" s="4"/>
      <c r="R311" s="4"/>
      <c r="S311" s="4"/>
      <c r="T311" s="4"/>
      <c r="U311" s="4"/>
      <c r="V311" s="4"/>
      <c r="W311" s="4"/>
    </row>
    <row r="312" spans="1:206" x14ac:dyDescent="0.2">
      <c r="A312" s="4">
        <v>50</v>
      </c>
      <c r="B312" s="4">
        <v>0</v>
      </c>
      <c r="C312" s="4">
        <v>0</v>
      </c>
      <c r="D312" s="4">
        <v>1</v>
      </c>
      <c r="E312" s="4">
        <v>225</v>
      </c>
      <c r="F312" s="4">
        <f>ROUND(Source!AV307,O312)</f>
        <v>1794567.45</v>
      </c>
      <c r="G312" s="4" t="s">
        <v>269</v>
      </c>
      <c r="H312" s="4" t="s">
        <v>270</v>
      </c>
      <c r="I312" s="4"/>
      <c r="J312" s="4"/>
      <c r="K312" s="4">
        <v>225</v>
      </c>
      <c r="L312" s="4">
        <v>4</v>
      </c>
      <c r="M312" s="4">
        <v>3</v>
      </c>
      <c r="N312" s="4" t="s">
        <v>3</v>
      </c>
      <c r="O312" s="4">
        <v>2</v>
      </c>
      <c r="P312" s="4"/>
      <c r="Q312" s="4"/>
      <c r="R312" s="4"/>
      <c r="S312" s="4"/>
      <c r="T312" s="4"/>
      <c r="U312" s="4"/>
      <c r="V312" s="4"/>
      <c r="W312" s="4"/>
    </row>
    <row r="313" spans="1:206" x14ac:dyDescent="0.2">
      <c r="A313" s="4">
        <v>50</v>
      </c>
      <c r="B313" s="4">
        <v>0</v>
      </c>
      <c r="C313" s="4">
        <v>0</v>
      </c>
      <c r="D313" s="4">
        <v>1</v>
      </c>
      <c r="E313" s="4">
        <v>226</v>
      </c>
      <c r="F313" s="4">
        <f>ROUND(Source!AW307,O313)</f>
        <v>1794567.45</v>
      </c>
      <c r="G313" s="4" t="s">
        <v>271</v>
      </c>
      <c r="H313" s="4" t="s">
        <v>272</v>
      </c>
      <c r="I313" s="4"/>
      <c r="J313" s="4"/>
      <c r="K313" s="4">
        <v>226</v>
      </c>
      <c r="L313" s="4">
        <v>5</v>
      </c>
      <c r="M313" s="4">
        <v>3</v>
      </c>
      <c r="N313" s="4" t="s">
        <v>3</v>
      </c>
      <c r="O313" s="4">
        <v>2</v>
      </c>
      <c r="P313" s="4"/>
      <c r="Q313" s="4"/>
      <c r="R313" s="4"/>
      <c r="S313" s="4"/>
      <c r="T313" s="4"/>
      <c r="U313" s="4"/>
      <c r="V313" s="4"/>
      <c r="W313" s="4"/>
    </row>
    <row r="314" spans="1:206" x14ac:dyDescent="0.2">
      <c r="A314" s="4">
        <v>50</v>
      </c>
      <c r="B314" s="4">
        <v>0</v>
      </c>
      <c r="C314" s="4">
        <v>0</v>
      </c>
      <c r="D314" s="4">
        <v>1</v>
      </c>
      <c r="E314" s="4">
        <v>227</v>
      </c>
      <c r="F314" s="4">
        <f>ROUND(Source!AX307,O314)</f>
        <v>0</v>
      </c>
      <c r="G314" s="4" t="s">
        <v>273</v>
      </c>
      <c r="H314" s="4" t="s">
        <v>274</v>
      </c>
      <c r="I314" s="4"/>
      <c r="J314" s="4"/>
      <c r="K314" s="4">
        <v>227</v>
      </c>
      <c r="L314" s="4">
        <v>6</v>
      </c>
      <c r="M314" s="4">
        <v>3</v>
      </c>
      <c r="N314" s="4" t="s">
        <v>3</v>
      </c>
      <c r="O314" s="4">
        <v>2</v>
      </c>
      <c r="P314" s="4"/>
      <c r="Q314" s="4"/>
      <c r="R314" s="4"/>
      <c r="S314" s="4"/>
      <c r="T314" s="4"/>
      <c r="U314" s="4"/>
      <c r="V314" s="4"/>
      <c r="W314" s="4"/>
    </row>
    <row r="315" spans="1:206" x14ac:dyDescent="0.2">
      <c r="A315" s="4">
        <v>50</v>
      </c>
      <c r="B315" s="4">
        <v>0</v>
      </c>
      <c r="C315" s="4">
        <v>0</v>
      </c>
      <c r="D315" s="4">
        <v>1</v>
      </c>
      <c r="E315" s="4">
        <v>228</v>
      </c>
      <c r="F315" s="4">
        <f>ROUND(Source!AY307,O315)</f>
        <v>1794567.45</v>
      </c>
      <c r="G315" s="4" t="s">
        <v>275</v>
      </c>
      <c r="H315" s="4" t="s">
        <v>276</v>
      </c>
      <c r="I315" s="4"/>
      <c r="J315" s="4"/>
      <c r="K315" s="4">
        <v>228</v>
      </c>
      <c r="L315" s="4">
        <v>7</v>
      </c>
      <c r="M315" s="4">
        <v>3</v>
      </c>
      <c r="N315" s="4" t="s">
        <v>3</v>
      </c>
      <c r="O315" s="4">
        <v>2</v>
      </c>
      <c r="P315" s="4"/>
      <c r="Q315" s="4"/>
      <c r="R315" s="4"/>
      <c r="S315" s="4"/>
      <c r="T315" s="4"/>
      <c r="U315" s="4"/>
      <c r="V315" s="4"/>
      <c r="W315" s="4"/>
    </row>
    <row r="316" spans="1:206" x14ac:dyDescent="0.2">
      <c r="A316" s="4">
        <v>50</v>
      </c>
      <c r="B316" s="4">
        <v>0</v>
      </c>
      <c r="C316" s="4">
        <v>0</v>
      </c>
      <c r="D316" s="4">
        <v>1</v>
      </c>
      <c r="E316" s="4">
        <v>216</v>
      </c>
      <c r="F316" s="4">
        <f>ROUND(Source!AP307,O316)</f>
        <v>0</v>
      </c>
      <c r="G316" s="4" t="s">
        <v>277</v>
      </c>
      <c r="H316" s="4" t="s">
        <v>278</v>
      </c>
      <c r="I316" s="4"/>
      <c r="J316" s="4"/>
      <c r="K316" s="4">
        <v>216</v>
      </c>
      <c r="L316" s="4">
        <v>8</v>
      </c>
      <c r="M316" s="4">
        <v>3</v>
      </c>
      <c r="N316" s="4" t="s">
        <v>3</v>
      </c>
      <c r="O316" s="4">
        <v>2</v>
      </c>
      <c r="P316" s="4"/>
      <c r="Q316" s="4"/>
      <c r="R316" s="4"/>
      <c r="S316" s="4"/>
      <c r="T316" s="4"/>
      <c r="U316" s="4"/>
      <c r="V316" s="4"/>
      <c r="W316" s="4"/>
    </row>
    <row r="317" spans="1:206" x14ac:dyDescent="0.2">
      <c r="A317" s="4">
        <v>50</v>
      </c>
      <c r="B317" s="4">
        <v>0</v>
      </c>
      <c r="C317" s="4">
        <v>0</v>
      </c>
      <c r="D317" s="4">
        <v>1</v>
      </c>
      <c r="E317" s="4">
        <v>223</v>
      </c>
      <c r="F317" s="4">
        <f>ROUND(Source!AQ307,O317)</f>
        <v>0</v>
      </c>
      <c r="G317" s="4" t="s">
        <v>279</v>
      </c>
      <c r="H317" s="4" t="s">
        <v>280</v>
      </c>
      <c r="I317" s="4"/>
      <c r="J317" s="4"/>
      <c r="K317" s="4">
        <v>223</v>
      </c>
      <c r="L317" s="4">
        <v>9</v>
      </c>
      <c r="M317" s="4">
        <v>3</v>
      </c>
      <c r="N317" s="4" t="s">
        <v>3</v>
      </c>
      <c r="O317" s="4">
        <v>2</v>
      </c>
      <c r="P317" s="4"/>
      <c r="Q317" s="4"/>
      <c r="R317" s="4"/>
      <c r="S317" s="4"/>
      <c r="T317" s="4"/>
      <c r="U317" s="4"/>
      <c r="V317" s="4"/>
      <c r="W317" s="4"/>
    </row>
    <row r="318" spans="1:206" x14ac:dyDescent="0.2">
      <c r="A318" s="4">
        <v>50</v>
      </c>
      <c r="B318" s="4">
        <v>0</v>
      </c>
      <c r="C318" s="4">
        <v>0</v>
      </c>
      <c r="D318" s="4">
        <v>1</v>
      </c>
      <c r="E318" s="4">
        <v>229</v>
      </c>
      <c r="F318" s="4">
        <f>ROUND(Source!AZ307,O318)</f>
        <v>0</v>
      </c>
      <c r="G318" s="4" t="s">
        <v>281</v>
      </c>
      <c r="H318" s="4" t="s">
        <v>282</v>
      </c>
      <c r="I318" s="4"/>
      <c r="J318" s="4"/>
      <c r="K318" s="4">
        <v>229</v>
      </c>
      <c r="L318" s="4">
        <v>10</v>
      </c>
      <c r="M318" s="4">
        <v>3</v>
      </c>
      <c r="N318" s="4" t="s">
        <v>3</v>
      </c>
      <c r="O318" s="4">
        <v>2</v>
      </c>
      <c r="P318" s="4"/>
      <c r="Q318" s="4"/>
      <c r="R318" s="4"/>
      <c r="S318" s="4"/>
      <c r="T318" s="4"/>
      <c r="U318" s="4"/>
      <c r="V318" s="4"/>
      <c r="W318" s="4"/>
    </row>
    <row r="319" spans="1:206" x14ac:dyDescent="0.2">
      <c r="A319" s="4">
        <v>50</v>
      </c>
      <c r="B319" s="4">
        <v>0</v>
      </c>
      <c r="C319" s="4">
        <v>0</v>
      </c>
      <c r="D319" s="4">
        <v>1</v>
      </c>
      <c r="E319" s="4">
        <v>203</v>
      </c>
      <c r="F319" s="4">
        <f>ROUND(Source!Q307,O319)</f>
        <v>14459.14</v>
      </c>
      <c r="G319" s="4" t="s">
        <v>283</v>
      </c>
      <c r="H319" s="4" t="s">
        <v>284</v>
      </c>
      <c r="I319" s="4"/>
      <c r="J319" s="4"/>
      <c r="K319" s="4">
        <v>203</v>
      </c>
      <c r="L319" s="4">
        <v>11</v>
      </c>
      <c r="M319" s="4">
        <v>3</v>
      </c>
      <c r="N319" s="4" t="s">
        <v>3</v>
      </c>
      <c r="O319" s="4">
        <v>2</v>
      </c>
      <c r="P319" s="4"/>
      <c r="Q319" s="4"/>
      <c r="R319" s="4"/>
      <c r="S319" s="4"/>
      <c r="T319" s="4"/>
      <c r="U319" s="4"/>
      <c r="V319" s="4"/>
      <c r="W319" s="4"/>
    </row>
    <row r="320" spans="1:206" x14ac:dyDescent="0.2">
      <c r="A320" s="4">
        <v>50</v>
      </c>
      <c r="B320" s="4">
        <v>0</v>
      </c>
      <c r="C320" s="4">
        <v>0</v>
      </c>
      <c r="D320" s="4">
        <v>1</v>
      </c>
      <c r="E320" s="4">
        <v>231</v>
      </c>
      <c r="F320" s="4">
        <f>ROUND(Source!BB307,O320)</f>
        <v>0</v>
      </c>
      <c r="G320" s="4" t="s">
        <v>285</v>
      </c>
      <c r="H320" s="4" t="s">
        <v>286</v>
      </c>
      <c r="I320" s="4"/>
      <c r="J320" s="4"/>
      <c r="K320" s="4">
        <v>231</v>
      </c>
      <c r="L320" s="4">
        <v>12</v>
      </c>
      <c r="M320" s="4">
        <v>3</v>
      </c>
      <c r="N320" s="4" t="s">
        <v>3</v>
      </c>
      <c r="O320" s="4">
        <v>2</v>
      </c>
      <c r="P320" s="4"/>
      <c r="Q320" s="4"/>
      <c r="R320" s="4"/>
      <c r="S320" s="4"/>
      <c r="T320" s="4"/>
      <c r="U320" s="4"/>
      <c r="V320" s="4"/>
      <c r="W320" s="4"/>
    </row>
    <row r="321" spans="1:23" x14ac:dyDescent="0.2">
      <c r="A321" s="4">
        <v>50</v>
      </c>
      <c r="B321" s="4">
        <v>0</v>
      </c>
      <c r="C321" s="4">
        <v>0</v>
      </c>
      <c r="D321" s="4">
        <v>1</v>
      </c>
      <c r="E321" s="4">
        <v>204</v>
      </c>
      <c r="F321" s="4">
        <f>ROUND(Source!R307,O321)</f>
        <v>3141.31</v>
      </c>
      <c r="G321" s="4" t="s">
        <v>287</v>
      </c>
      <c r="H321" s="4" t="s">
        <v>288</v>
      </c>
      <c r="I321" s="4"/>
      <c r="J321" s="4"/>
      <c r="K321" s="4">
        <v>204</v>
      </c>
      <c r="L321" s="4">
        <v>13</v>
      </c>
      <c r="M321" s="4">
        <v>3</v>
      </c>
      <c r="N321" s="4" t="s">
        <v>3</v>
      </c>
      <c r="O321" s="4">
        <v>2</v>
      </c>
      <c r="P321" s="4"/>
      <c r="Q321" s="4"/>
      <c r="R321" s="4"/>
      <c r="S321" s="4"/>
      <c r="T321" s="4"/>
      <c r="U321" s="4"/>
      <c r="V321" s="4"/>
      <c r="W321" s="4"/>
    </row>
    <row r="322" spans="1:23" x14ac:dyDescent="0.2">
      <c r="A322" s="4">
        <v>50</v>
      </c>
      <c r="B322" s="4">
        <v>0</v>
      </c>
      <c r="C322" s="4">
        <v>0</v>
      </c>
      <c r="D322" s="4">
        <v>1</v>
      </c>
      <c r="E322" s="4">
        <v>205</v>
      </c>
      <c r="F322" s="4">
        <f>ROUND(Source!S307,O322)</f>
        <v>161828.87</v>
      </c>
      <c r="G322" s="4" t="s">
        <v>289</v>
      </c>
      <c r="H322" s="4" t="s">
        <v>290</v>
      </c>
      <c r="I322" s="4"/>
      <c r="J322" s="4"/>
      <c r="K322" s="4">
        <v>205</v>
      </c>
      <c r="L322" s="4">
        <v>14</v>
      </c>
      <c r="M322" s="4">
        <v>3</v>
      </c>
      <c r="N322" s="4" t="s">
        <v>3</v>
      </c>
      <c r="O322" s="4">
        <v>2</v>
      </c>
      <c r="P322" s="4"/>
      <c r="Q322" s="4"/>
      <c r="R322" s="4"/>
      <c r="S322" s="4"/>
      <c r="T322" s="4"/>
      <c r="U322" s="4"/>
      <c r="V322" s="4"/>
      <c r="W322" s="4"/>
    </row>
    <row r="323" spans="1:23" x14ac:dyDescent="0.2">
      <c r="A323" s="4">
        <v>50</v>
      </c>
      <c r="B323" s="4">
        <v>0</v>
      </c>
      <c r="C323" s="4">
        <v>0</v>
      </c>
      <c r="D323" s="4">
        <v>1</v>
      </c>
      <c r="E323" s="4">
        <v>232</v>
      </c>
      <c r="F323" s="4">
        <f>ROUND(Source!BC307,O323)</f>
        <v>0</v>
      </c>
      <c r="G323" s="4" t="s">
        <v>291</v>
      </c>
      <c r="H323" s="4" t="s">
        <v>292</v>
      </c>
      <c r="I323" s="4"/>
      <c r="J323" s="4"/>
      <c r="K323" s="4">
        <v>232</v>
      </c>
      <c r="L323" s="4">
        <v>15</v>
      </c>
      <c r="M323" s="4">
        <v>3</v>
      </c>
      <c r="N323" s="4" t="s">
        <v>3</v>
      </c>
      <c r="O323" s="4">
        <v>2</v>
      </c>
      <c r="P323" s="4"/>
      <c r="Q323" s="4"/>
      <c r="R323" s="4"/>
      <c r="S323" s="4"/>
      <c r="T323" s="4"/>
      <c r="U323" s="4"/>
      <c r="V323" s="4"/>
      <c r="W323" s="4"/>
    </row>
    <row r="324" spans="1:23" x14ac:dyDescent="0.2">
      <c r="A324" s="4">
        <v>50</v>
      </c>
      <c r="B324" s="4">
        <v>0</v>
      </c>
      <c r="C324" s="4">
        <v>0</v>
      </c>
      <c r="D324" s="4">
        <v>1</v>
      </c>
      <c r="E324" s="4">
        <v>214</v>
      </c>
      <c r="F324" s="4">
        <f>ROUND(Source!AS307,O324)</f>
        <v>1374710.65</v>
      </c>
      <c r="G324" s="4" t="s">
        <v>293</v>
      </c>
      <c r="H324" s="4" t="s">
        <v>294</v>
      </c>
      <c r="I324" s="4"/>
      <c r="J324" s="4"/>
      <c r="K324" s="4">
        <v>214</v>
      </c>
      <c r="L324" s="4">
        <v>16</v>
      </c>
      <c r="M324" s="4">
        <v>3</v>
      </c>
      <c r="N324" s="4" t="s">
        <v>3</v>
      </c>
      <c r="O324" s="4">
        <v>2</v>
      </c>
      <c r="P324" s="4"/>
      <c r="Q324" s="4"/>
      <c r="R324" s="4"/>
      <c r="S324" s="4"/>
      <c r="T324" s="4"/>
      <c r="U324" s="4"/>
      <c r="V324" s="4"/>
      <c r="W324" s="4"/>
    </row>
    <row r="325" spans="1:23" x14ac:dyDescent="0.2">
      <c r="A325" s="4">
        <v>50</v>
      </c>
      <c r="B325" s="4">
        <v>0</v>
      </c>
      <c r="C325" s="4">
        <v>0</v>
      </c>
      <c r="D325" s="4">
        <v>1</v>
      </c>
      <c r="E325" s="4">
        <v>215</v>
      </c>
      <c r="F325" s="4">
        <f>ROUND(Source!AT307,O325)</f>
        <v>758771.75</v>
      </c>
      <c r="G325" s="4" t="s">
        <v>295</v>
      </c>
      <c r="H325" s="4" t="s">
        <v>296</v>
      </c>
      <c r="I325" s="4"/>
      <c r="J325" s="4"/>
      <c r="K325" s="4">
        <v>215</v>
      </c>
      <c r="L325" s="4">
        <v>17</v>
      </c>
      <c r="M325" s="4">
        <v>3</v>
      </c>
      <c r="N325" s="4" t="s">
        <v>3</v>
      </c>
      <c r="O325" s="4">
        <v>2</v>
      </c>
      <c r="P325" s="4"/>
      <c r="Q325" s="4"/>
      <c r="R325" s="4"/>
      <c r="S325" s="4"/>
      <c r="T325" s="4"/>
      <c r="U325" s="4"/>
      <c r="V325" s="4"/>
      <c r="W325" s="4"/>
    </row>
    <row r="326" spans="1:23" x14ac:dyDescent="0.2">
      <c r="A326" s="4">
        <v>50</v>
      </c>
      <c r="B326" s="4">
        <v>0</v>
      </c>
      <c r="C326" s="4">
        <v>0</v>
      </c>
      <c r="D326" s="4">
        <v>1</v>
      </c>
      <c r="E326" s="4">
        <v>217</v>
      </c>
      <c r="F326" s="4">
        <f>ROUND(Source!AU307,O326)</f>
        <v>71446.64</v>
      </c>
      <c r="G326" s="4" t="s">
        <v>297</v>
      </c>
      <c r="H326" s="4" t="s">
        <v>298</v>
      </c>
      <c r="I326" s="4"/>
      <c r="J326" s="4"/>
      <c r="K326" s="4">
        <v>217</v>
      </c>
      <c r="L326" s="4">
        <v>18</v>
      </c>
      <c r="M326" s="4">
        <v>3</v>
      </c>
      <c r="N326" s="4" t="s">
        <v>3</v>
      </c>
      <c r="O326" s="4">
        <v>2</v>
      </c>
      <c r="P326" s="4"/>
      <c r="Q326" s="4"/>
      <c r="R326" s="4"/>
      <c r="S326" s="4"/>
      <c r="T326" s="4"/>
      <c r="U326" s="4"/>
      <c r="V326" s="4"/>
      <c r="W326" s="4"/>
    </row>
    <row r="327" spans="1:23" x14ac:dyDescent="0.2">
      <c r="A327" s="4">
        <v>50</v>
      </c>
      <c r="B327" s="4">
        <v>0</v>
      </c>
      <c r="C327" s="4">
        <v>0</v>
      </c>
      <c r="D327" s="4">
        <v>1</v>
      </c>
      <c r="E327" s="4">
        <v>230</v>
      </c>
      <c r="F327" s="4">
        <f>ROUND(Source!BA307,O327)</f>
        <v>0</v>
      </c>
      <c r="G327" s="4" t="s">
        <v>299</v>
      </c>
      <c r="H327" s="4" t="s">
        <v>300</v>
      </c>
      <c r="I327" s="4"/>
      <c r="J327" s="4"/>
      <c r="K327" s="4">
        <v>230</v>
      </c>
      <c r="L327" s="4">
        <v>19</v>
      </c>
      <c r="M327" s="4">
        <v>3</v>
      </c>
      <c r="N327" s="4" t="s">
        <v>3</v>
      </c>
      <c r="O327" s="4">
        <v>2</v>
      </c>
      <c r="P327" s="4"/>
      <c r="Q327" s="4"/>
      <c r="R327" s="4"/>
      <c r="S327" s="4"/>
      <c r="T327" s="4"/>
      <c r="U327" s="4"/>
      <c r="V327" s="4"/>
      <c r="W327" s="4"/>
    </row>
    <row r="328" spans="1:23" x14ac:dyDescent="0.2">
      <c r="A328" s="4">
        <v>50</v>
      </c>
      <c r="B328" s="4">
        <v>0</v>
      </c>
      <c r="C328" s="4">
        <v>0</v>
      </c>
      <c r="D328" s="4">
        <v>1</v>
      </c>
      <c r="E328" s="4">
        <v>206</v>
      </c>
      <c r="F328" s="4">
        <f>ROUND(Source!T307,O328)</f>
        <v>0</v>
      </c>
      <c r="G328" s="4" t="s">
        <v>301</v>
      </c>
      <c r="H328" s="4" t="s">
        <v>302</v>
      </c>
      <c r="I328" s="4"/>
      <c r="J328" s="4"/>
      <c r="K328" s="4">
        <v>206</v>
      </c>
      <c r="L328" s="4">
        <v>20</v>
      </c>
      <c r="M328" s="4">
        <v>3</v>
      </c>
      <c r="N328" s="4" t="s">
        <v>3</v>
      </c>
      <c r="O328" s="4">
        <v>2</v>
      </c>
      <c r="P328" s="4"/>
      <c r="Q328" s="4"/>
      <c r="R328" s="4"/>
      <c r="S328" s="4"/>
      <c r="T328" s="4"/>
      <c r="U328" s="4"/>
      <c r="V328" s="4"/>
      <c r="W328" s="4"/>
    </row>
    <row r="329" spans="1:23" x14ac:dyDescent="0.2">
      <c r="A329" s="4">
        <v>50</v>
      </c>
      <c r="B329" s="4">
        <v>0</v>
      </c>
      <c r="C329" s="4">
        <v>0</v>
      </c>
      <c r="D329" s="4">
        <v>1</v>
      </c>
      <c r="E329" s="4">
        <v>207</v>
      </c>
      <c r="F329" s="4">
        <f>Source!U307</f>
        <v>2288.6531055</v>
      </c>
      <c r="G329" s="4" t="s">
        <v>303</v>
      </c>
      <c r="H329" s="4" t="s">
        <v>304</v>
      </c>
      <c r="I329" s="4"/>
      <c r="J329" s="4"/>
      <c r="K329" s="4">
        <v>207</v>
      </c>
      <c r="L329" s="4">
        <v>21</v>
      </c>
      <c r="M329" s="4">
        <v>3</v>
      </c>
      <c r="N329" s="4" t="s">
        <v>3</v>
      </c>
      <c r="O329" s="4">
        <v>-1</v>
      </c>
      <c r="P329" s="4"/>
      <c r="Q329" s="4"/>
      <c r="R329" s="4"/>
      <c r="S329" s="4"/>
      <c r="T329" s="4"/>
      <c r="U329" s="4"/>
      <c r="V329" s="4"/>
      <c r="W329" s="4"/>
    </row>
    <row r="330" spans="1:23" x14ac:dyDescent="0.2">
      <c r="A330" s="4">
        <v>50</v>
      </c>
      <c r="B330" s="4">
        <v>0</v>
      </c>
      <c r="C330" s="4">
        <v>0</v>
      </c>
      <c r="D330" s="4">
        <v>1</v>
      </c>
      <c r="E330" s="4">
        <v>208</v>
      </c>
      <c r="F330" s="4">
        <f>Source!V307</f>
        <v>42.035352250000003</v>
      </c>
      <c r="G330" s="4" t="s">
        <v>305</v>
      </c>
      <c r="H330" s="4" t="s">
        <v>306</v>
      </c>
      <c r="I330" s="4"/>
      <c r="J330" s="4"/>
      <c r="K330" s="4">
        <v>208</v>
      </c>
      <c r="L330" s="4">
        <v>22</v>
      </c>
      <c r="M330" s="4">
        <v>3</v>
      </c>
      <c r="N330" s="4" t="s">
        <v>3</v>
      </c>
      <c r="O330" s="4">
        <v>-1</v>
      </c>
      <c r="P330" s="4"/>
      <c r="Q330" s="4"/>
      <c r="R330" s="4"/>
      <c r="S330" s="4"/>
      <c r="T330" s="4"/>
      <c r="U330" s="4"/>
      <c r="V330" s="4"/>
      <c r="W330" s="4"/>
    </row>
    <row r="331" spans="1:23" x14ac:dyDescent="0.2">
      <c r="A331" s="4">
        <v>50</v>
      </c>
      <c r="B331" s="4">
        <v>0</v>
      </c>
      <c r="C331" s="4">
        <v>0</v>
      </c>
      <c r="D331" s="4">
        <v>1</v>
      </c>
      <c r="E331" s="4">
        <v>209</v>
      </c>
      <c r="F331" s="4">
        <f>ROUND(Source!W307,O331)</f>
        <v>0</v>
      </c>
      <c r="G331" s="4" t="s">
        <v>307</v>
      </c>
      <c r="H331" s="4" t="s">
        <v>308</v>
      </c>
      <c r="I331" s="4"/>
      <c r="J331" s="4"/>
      <c r="K331" s="4">
        <v>209</v>
      </c>
      <c r="L331" s="4">
        <v>23</v>
      </c>
      <c r="M331" s="4">
        <v>3</v>
      </c>
      <c r="N331" s="4" t="s">
        <v>3</v>
      </c>
      <c r="O331" s="4">
        <v>2</v>
      </c>
      <c r="P331" s="4"/>
      <c r="Q331" s="4"/>
      <c r="R331" s="4"/>
      <c r="S331" s="4"/>
      <c r="T331" s="4"/>
      <c r="U331" s="4"/>
      <c r="V331" s="4"/>
      <c r="W331" s="4"/>
    </row>
    <row r="332" spans="1:23" x14ac:dyDescent="0.2">
      <c r="A332" s="4">
        <v>50</v>
      </c>
      <c r="B332" s="4">
        <v>0</v>
      </c>
      <c r="C332" s="4">
        <v>0</v>
      </c>
      <c r="D332" s="4">
        <v>1</v>
      </c>
      <c r="E332" s="4">
        <v>210</v>
      </c>
      <c r="F332" s="4">
        <f>ROUND(Source!X307,O332)</f>
        <v>145731.99</v>
      </c>
      <c r="G332" s="4" t="s">
        <v>309</v>
      </c>
      <c r="H332" s="4" t="s">
        <v>310</v>
      </c>
      <c r="I332" s="4"/>
      <c r="J332" s="4"/>
      <c r="K332" s="4">
        <v>210</v>
      </c>
      <c r="L332" s="4">
        <v>24</v>
      </c>
      <c r="M332" s="4">
        <v>3</v>
      </c>
      <c r="N332" s="4" t="s">
        <v>3</v>
      </c>
      <c r="O332" s="4">
        <v>2</v>
      </c>
      <c r="P332" s="4"/>
      <c r="Q332" s="4"/>
      <c r="R332" s="4"/>
      <c r="S332" s="4"/>
      <c r="T332" s="4"/>
      <c r="U332" s="4"/>
      <c r="V332" s="4"/>
      <c r="W332" s="4"/>
    </row>
    <row r="333" spans="1:23" x14ac:dyDescent="0.2">
      <c r="A333" s="4">
        <v>50</v>
      </c>
      <c r="B333" s="4">
        <v>0</v>
      </c>
      <c r="C333" s="4">
        <v>0</v>
      </c>
      <c r="D333" s="4">
        <v>1</v>
      </c>
      <c r="E333" s="4">
        <v>211</v>
      </c>
      <c r="F333" s="4">
        <f>ROUND(Source!Y307,O333)</f>
        <v>87729.21</v>
      </c>
      <c r="G333" s="4" t="s">
        <v>311</v>
      </c>
      <c r="H333" s="4" t="s">
        <v>312</v>
      </c>
      <c r="I333" s="4"/>
      <c r="J333" s="4"/>
      <c r="K333" s="4">
        <v>211</v>
      </c>
      <c r="L333" s="4">
        <v>25</v>
      </c>
      <c r="M333" s="4">
        <v>3</v>
      </c>
      <c r="N333" s="4" t="s">
        <v>3</v>
      </c>
      <c r="O333" s="4">
        <v>2</v>
      </c>
      <c r="P333" s="4"/>
      <c r="Q333" s="4"/>
      <c r="R333" s="4"/>
      <c r="S333" s="4"/>
      <c r="T333" s="4"/>
      <c r="U333" s="4"/>
      <c r="V333" s="4"/>
      <c r="W333" s="4"/>
    </row>
    <row r="334" spans="1:23" x14ac:dyDescent="0.2">
      <c r="A334" s="4">
        <v>50</v>
      </c>
      <c r="B334" s="4">
        <v>0</v>
      </c>
      <c r="C334" s="4">
        <v>0</v>
      </c>
      <c r="D334" s="4">
        <v>1</v>
      </c>
      <c r="E334" s="4">
        <v>224</v>
      </c>
      <c r="F334" s="4">
        <f>ROUND(Source!AR307,O334)</f>
        <v>2204929.04</v>
      </c>
      <c r="G334" s="4" t="s">
        <v>313</v>
      </c>
      <c r="H334" s="4" t="s">
        <v>314</v>
      </c>
      <c r="I334" s="4"/>
      <c r="J334" s="4"/>
      <c r="K334" s="4">
        <v>224</v>
      </c>
      <c r="L334" s="4">
        <v>26</v>
      </c>
      <c r="M334" s="4">
        <v>3</v>
      </c>
      <c r="N334" s="4" t="s">
        <v>3</v>
      </c>
      <c r="O334" s="4">
        <v>2</v>
      </c>
      <c r="P334" s="4"/>
      <c r="Q334" s="4"/>
      <c r="R334" s="4"/>
      <c r="S334" s="4"/>
      <c r="T334" s="4"/>
      <c r="U334" s="4"/>
      <c r="V334" s="4"/>
      <c r="W334" s="4"/>
    </row>
    <row r="337" spans="1:14" x14ac:dyDescent="0.2">
      <c r="A337">
        <v>70</v>
      </c>
      <c r="B337">
        <v>1</v>
      </c>
      <c r="D337">
        <v>1</v>
      </c>
      <c r="E337" t="s">
        <v>575</v>
      </c>
      <c r="F337" t="s">
        <v>576</v>
      </c>
      <c r="G337">
        <v>0</v>
      </c>
      <c r="H337">
        <v>0</v>
      </c>
      <c r="I337" t="s">
        <v>3</v>
      </c>
      <c r="J337">
        <v>1</v>
      </c>
      <c r="K337">
        <v>0</v>
      </c>
      <c r="L337" t="s">
        <v>3</v>
      </c>
      <c r="M337" t="s">
        <v>3</v>
      </c>
      <c r="N337">
        <v>0</v>
      </c>
    </row>
    <row r="338" spans="1:14" x14ac:dyDescent="0.2">
      <c r="A338">
        <v>70</v>
      </c>
      <c r="B338">
        <v>1</v>
      </c>
      <c r="D338">
        <v>2</v>
      </c>
      <c r="E338" t="s">
        <v>577</v>
      </c>
      <c r="F338" t="s">
        <v>578</v>
      </c>
      <c r="G338">
        <v>1</v>
      </c>
      <c r="H338">
        <v>0</v>
      </c>
      <c r="I338" t="s">
        <v>3</v>
      </c>
      <c r="J338">
        <v>1</v>
      </c>
      <c r="K338">
        <v>0</v>
      </c>
      <c r="L338" t="s">
        <v>3</v>
      </c>
      <c r="M338" t="s">
        <v>3</v>
      </c>
      <c r="N338">
        <v>0</v>
      </c>
    </row>
    <row r="339" spans="1:14" x14ac:dyDescent="0.2">
      <c r="A339">
        <v>70</v>
      </c>
      <c r="B339">
        <v>1</v>
      </c>
      <c r="D339">
        <v>3</v>
      </c>
      <c r="E339" t="s">
        <v>579</v>
      </c>
      <c r="F339" t="s">
        <v>580</v>
      </c>
      <c r="G339">
        <v>0</v>
      </c>
      <c r="H339">
        <v>0</v>
      </c>
      <c r="I339" t="s">
        <v>3</v>
      </c>
      <c r="J339">
        <v>1</v>
      </c>
      <c r="K339">
        <v>0</v>
      </c>
      <c r="L339" t="s">
        <v>3</v>
      </c>
      <c r="M339" t="s">
        <v>3</v>
      </c>
      <c r="N339">
        <v>0</v>
      </c>
    </row>
    <row r="340" spans="1:14" x14ac:dyDescent="0.2">
      <c r="A340">
        <v>70</v>
      </c>
      <c r="B340">
        <v>1</v>
      </c>
      <c r="D340">
        <v>4</v>
      </c>
      <c r="E340" t="s">
        <v>581</v>
      </c>
      <c r="F340" t="s">
        <v>582</v>
      </c>
      <c r="G340">
        <v>0</v>
      </c>
      <c r="H340">
        <v>0</v>
      </c>
      <c r="I340" t="s">
        <v>583</v>
      </c>
      <c r="J340">
        <v>0</v>
      </c>
      <c r="K340">
        <v>0</v>
      </c>
      <c r="L340" t="s">
        <v>3</v>
      </c>
      <c r="M340" t="s">
        <v>3</v>
      </c>
      <c r="N340">
        <v>0</v>
      </c>
    </row>
    <row r="341" spans="1:14" x14ac:dyDescent="0.2">
      <c r="A341">
        <v>70</v>
      </c>
      <c r="B341">
        <v>1</v>
      </c>
      <c r="D341">
        <v>5</v>
      </c>
      <c r="E341" t="s">
        <v>584</v>
      </c>
      <c r="F341" t="s">
        <v>585</v>
      </c>
      <c r="G341">
        <v>0</v>
      </c>
      <c r="H341">
        <v>0</v>
      </c>
      <c r="I341" t="s">
        <v>586</v>
      </c>
      <c r="J341">
        <v>0</v>
      </c>
      <c r="K341">
        <v>0</v>
      </c>
      <c r="L341" t="s">
        <v>3</v>
      </c>
      <c r="M341" t="s">
        <v>3</v>
      </c>
      <c r="N341">
        <v>0</v>
      </c>
    </row>
    <row r="342" spans="1:14" x14ac:dyDescent="0.2">
      <c r="A342">
        <v>70</v>
      </c>
      <c r="B342">
        <v>1</v>
      </c>
      <c r="D342">
        <v>6</v>
      </c>
      <c r="E342" t="s">
        <v>587</v>
      </c>
      <c r="F342" t="s">
        <v>588</v>
      </c>
      <c r="G342">
        <v>0</v>
      </c>
      <c r="H342">
        <v>0</v>
      </c>
      <c r="I342" t="s">
        <v>589</v>
      </c>
      <c r="J342">
        <v>0</v>
      </c>
      <c r="K342">
        <v>0</v>
      </c>
      <c r="L342" t="s">
        <v>3</v>
      </c>
      <c r="M342" t="s">
        <v>3</v>
      </c>
      <c r="N342">
        <v>0</v>
      </c>
    </row>
    <row r="343" spans="1:14" x14ac:dyDescent="0.2">
      <c r="A343">
        <v>70</v>
      </c>
      <c r="B343">
        <v>1</v>
      </c>
      <c r="D343">
        <v>7</v>
      </c>
      <c r="E343" t="s">
        <v>590</v>
      </c>
      <c r="F343" t="s">
        <v>591</v>
      </c>
      <c r="G343">
        <v>0</v>
      </c>
      <c r="H343">
        <v>0</v>
      </c>
      <c r="I343" t="s">
        <v>3</v>
      </c>
      <c r="J343">
        <v>0</v>
      </c>
      <c r="K343">
        <v>0</v>
      </c>
      <c r="L343" t="s">
        <v>3</v>
      </c>
      <c r="M343" t="s">
        <v>3</v>
      </c>
      <c r="N343">
        <v>0</v>
      </c>
    </row>
    <row r="344" spans="1:14" x14ac:dyDescent="0.2">
      <c r="A344">
        <v>70</v>
      </c>
      <c r="B344">
        <v>1</v>
      </c>
      <c r="D344">
        <v>8</v>
      </c>
      <c r="E344" t="s">
        <v>592</v>
      </c>
      <c r="F344" t="s">
        <v>593</v>
      </c>
      <c r="G344">
        <v>0</v>
      </c>
      <c r="H344">
        <v>0</v>
      </c>
      <c r="I344" t="s">
        <v>594</v>
      </c>
      <c r="J344">
        <v>0</v>
      </c>
      <c r="K344">
        <v>0</v>
      </c>
      <c r="L344" t="s">
        <v>3</v>
      </c>
      <c r="M344" t="s">
        <v>3</v>
      </c>
      <c r="N344">
        <v>0</v>
      </c>
    </row>
    <row r="345" spans="1:14" x14ac:dyDescent="0.2">
      <c r="A345">
        <v>70</v>
      </c>
      <c r="B345">
        <v>1</v>
      </c>
      <c r="D345">
        <v>9</v>
      </c>
      <c r="E345" t="s">
        <v>595</v>
      </c>
      <c r="F345" t="s">
        <v>596</v>
      </c>
      <c r="G345">
        <v>0</v>
      </c>
      <c r="H345">
        <v>0</v>
      </c>
      <c r="I345" t="s">
        <v>597</v>
      </c>
      <c r="J345">
        <v>0</v>
      </c>
      <c r="K345">
        <v>0</v>
      </c>
      <c r="L345" t="s">
        <v>3</v>
      </c>
      <c r="M345" t="s">
        <v>3</v>
      </c>
      <c r="N345">
        <v>0</v>
      </c>
    </row>
    <row r="346" spans="1:14" x14ac:dyDescent="0.2">
      <c r="A346">
        <v>70</v>
      </c>
      <c r="B346">
        <v>1</v>
      </c>
      <c r="D346">
        <v>10</v>
      </c>
      <c r="E346" t="s">
        <v>598</v>
      </c>
      <c r="F346" t="s">
        <v>599</v>
      </c>
      <c r="G346">
        <v>0</v>
      </c>
      <c r="H346">
        <v>0</v>
      </c>
      <c r="I346" t="s">
        <v>600</v>
      </c>
      <c r="J346">
        <v>0</v>
      </c>
      <c r="K346">
        <v>0</v>
      </c>
      <c r="L346" t="s">
        <v>3</v>
      </c>
      <c r="M346" t="s">
        <v>3</v>
      </c>
      <c r="N346">
        <v>0</v>
      </c>
    </row>
    <row r="347" spans="1:14" x14ac:dyDescent="0.2">
      <c r="A347">
        <v>70</v>
      </c>
      <c r="B347">
        <v>1</v>
      </c>
      <c r="D347">
        <v>11</v>
      </c>
      <c r="E347" t="s">
        <v>601</v>
      </c>
      <c r="F347" t="s">
        <v>602</v>
      </c>
      <c r="G347">
        <v>0</v>
      </c>
      <c r="H347">
        <v>0</v>
      </c>
      <c r="I347" t="s">
        <v>603</v>
      </c>
      <c r="J347">
        <v>0</v>
      </c>
      <c r="K347">
        <v>0</v>
      </c>
      <c r="L347" t="s">
        <v>3</v>
      </c>
      <c r="M347" t="s">
        <v>3</v>
      </c>
      <c r="N347">
        <v>0</v>
      </c>
    </row>
    <row r="348" spans="1:14" x14ac:dyDescent="0.2">
      <c r="A348">
        <v>70</v>
      </c>
      <c r="B348">
        <v>1</v>
      </c>
      <c r="D348">
        <v>12</v>
      </c>
      <c r="E348" t="s">
        <v>604</v>
      </c>
      <c r="F348" t="s">
        <v>605</v>
      </c>
      <c r="G348">
        <v>0</v>
      </c>
      <c r="H348">
        <v>0</v>
      </c>
      <c r="I348" t="s">
        <v>3</v>
      </c>
      <c r="J348">
        <v>0</v>
      </c>
      <c r="K348">
        <v>0</v>
      </c>
      <c r="L348" t="s">
        <v>3</v>
      </c>
      <c r="M348" t="s">
        <v>3</v>
      </c>
      <c r="N348">
        <v>0</v>
      </c>
    </row>
    <row r="349" spans="1:14" x14ac:dyDescent="0.2">
      <c r="A349">
        <v>70</v>
      </c>
      <c r="B349">
        <v>1</v>
      </c>
      <c r="D349">
        <v>1</v>
      </c>
      <c r="E349" t="s">
        <v>606</v>
      </c>
      <c r="F349" t="s">
        <v>607</v>
      </c>
      <c r="G349">
        <v>0.9</v>
      </c>
      <c r="H349">
        <v>1</v>
      </c>
      <c r="I349" t="s">
        <v>608</v>
      </c>
      <c r="J349">
        <v>0</v>
      </c>
      <c r="K349">
        <v>0</v>
      </c>
      <c r="L349" t="s">
        <v>3</v>
      </c>
      <c r="M349" t="s">
        <v>3</v>
      </c>
      <c r="N349">
        <v>0</v>
      </c>
    </row>
    <row r="350" spans="1:14" x14ac:dyDescent="0.2">
      <c r="A350">
        <v>70</v>
      </c>
      <c r="B350">
        <v>1</v>
      </c>
      <c r="D350">
        <v>2</v>
      </c>
      <c r="E350" t="s">
        <v>609</v>
      </c>
      <c r="F350" t="s">
        <v>610</v>
      </c>
      <c r="G350">
        <v>0.85</v>
      </c>
      <c r="H350">
        <v>1</v>
      </c>
      <c r="I350" t="s">
        <v>611</v>
      </c>
      <c r="J350">
        <v>0</v>
      </c>
      <c r="K350">
        <v>0</v>
      </c>
      <c r="L350" t="s">
        <v>3</v>
      </c>
      <c r="M350" t="s">
        <v>3</v>
      </c>
      <c r="N350">
        <v>0</v>
      </c>
    </row>
    <row r="351" spans="1:14" x14ac:dyDescent="0.2">
      <c r="A351">
        <v>70</v>
      </c>
      <c r="B351">
        <v>1</v>
      </c>
      <c r="D351">
        <v>3</v>
      </c>
      <c r="E351" t="s">
        <v>612</v>
      </c>
      <c r="F351" t="s">
        <v>613</v>
      </c>
      <c r="G351">
        <v>1</v>
      </c>
      <c r="H351">
        <v>0.85</v>
      </c>
      <c r="I351" t="s">
        <v>614</v>
      </c>
      <c r="J351">
        <v>0</v>
      </c>
      <c r="K351">
        <v>0</v>
      </c>
      <c r="L351" t="s">
        <v>3</v>
      </c>
      <c r="M351" t="s">
        <v>3</v>
      </c>
      <c r="N351">
        <v>0</v>
      </c>
    </row>
    <row r="352" spans="1:14" x14ac:dyDescent="0.2">
      <c r="A352">
        <v>70</v>
      </c>
      <c r="B352">
        <v>1</v>
      </c>
      <c r="D352">
        <v>4</v>
      </c>
      <c r="E352" t="s">
        <v>615</v>
      </c>
      <c r="F352" t="s">
        <v>616</v>
      </c>
      <c r="G352">
        <v>1</v>
      </c>
      <c r="H352">
        <v>0</v>
      </c>
      <c r="I352" t="s">
        <v>3</v>
      </c>
      <c r="J352">
        <v>0</v>
      </c>
      <c r="K352">
        <v>0</v>
      </c>
      <c r="L352" t="s">
        <v>3</v>
      </c>
      <c r="M352" t="s">
        <v>3</v>
      </c>
      <c r="N352">
        <v>0</v>
      </c>
    </row>
    <row r="353" spans="1:34" x14ac:dyDescent="0.2">
      <c r="A353">
        <v>70</v>
      </c>
      <c r="B353">
        <v>1</v>
      </c>
      <c r="D353">
        <v>5</v>
      </c>
      <c r="E353" t="s">
        <v>617</v>
      </c>
      <c r="F353" t="s">
        <v>618</v>
      </c>
      <c r="G353">
        <v>1</v>
      </c>
      <c r="H353">
        <v>0.8</v>
      </c>
      <c r="I353" t="s">
        <v>619</v>
      </c>
      <c r="J353">
        <v>0</v>
      </c>
      <c r="K353">
        <v>0</v>
      </c>
      <c r="L353" t="s">
        <v>3</v>
      </c>
      <c r="M353" t="s">
        <v>3</v>
      </c>
      <c r="N353">
        <v>0</v>
      </c>
    </row>
    <row r="354" spans="1:34" x14ac:dyDescent="0.2">
      <c r="A354">
        <v>70</v>
      </c>
      <c r="B354">
        <v>1</v>
      </c>
      <c r="D354">
        <v>6</v>
      </c>
      <c r="E354" t="s">
        <v>620</v>
      </c>
      <c r="F354" t="s">
        <v>621</v>
      </c>
      <c r="G354">
        <v>0.85</v>
      </c>
      <c r="H354">
        <v>0</v>
      </c>
      <c r="I354" t="s">
        <v>3</v>
      </c>
      <c r="J354">
        <v>0</v>
      </c>
      <c r="K354">
        <v>0</v>
      </c>
      <c r="L354" t="s">
        <v>3</v>
      </c>
      <c r="M354" t="s">
        <v>3</v>
      </c>
      <c r="N354">
        <v>0</v>
      </c>
    </row>
    <row r="355" spans="1:34" x14ac:dyDescent="0.2">
      <c r="A355">
        <v>70</v>
      </c>
      <c r="B355">
        <v>1</v>
      </c>
      <c r="D355">
        <v>7</v>
      </c>
      <c r="E355" t="s">
        <v>622</v>
      </c>
      <c r="F355" t="s">
        <v>623</v>
      </c>
      <c r="G355">
        <v>0.8</v>
      </c>
      <c r="H355">
        <v>0</v>
      </c>
      <c r="I355" t="s">
        <v>3</v>
      </c>
      <c r="J355">
        <v>0</v>
      </c>
      <c r="K355">
        <v>0</v>
      </c>
      <c r="L355" t="s">
        <v>3</v>
      </c>
      <c r="M355" t="s">
        <v>3</v>
      </c>
      <c r="N355">
        <v>0</v>
      </c>
    </row>
    <row r="356" spans="1:34" x14ac:dyDescent="0.2">
      <c r="A356">
        <v>70</v>
      </c>
      <c r="B356">
        <v>1</v>
      </c>
      <c r="D356">
        <v>8</v>
      </c>
      <c r="E356" t="s">
        <v>624</v>
      </c>
      <c r="F356" t="s">
        <v>625</v>
      </c>
      <c r="G356">
        <v>0.94</v>
      </c>
      <c r="H356">
        <v>0</v>
      </c>
      <c r="I356" t="s">
        <v>3</v>
      </c>
      <c r="J356">
        <v>0</v>
      </c>
      <c r="K356">
        <v>0</v>
      </c>
      <c r="L356" t="s">
        <v>3</v>
      </c>
      <c r="M356" t="s">
        <v>3</v>
      </c>
      <c r="N356">
        <v>0</v>
      </c>
    </row>
    <row r="357" spans="1:34" x14ac:dyDescent="0.2">
      <c r="A357">
        <v>70</v>
      </c>
      <c r="B357">
        <v>1</v>
      </c>
      <c r="D357">
        <v>9</v>
      </c>
      <c r="E357" t="s">
        <v>626</v>
      </c>
      <c r="F357" t="s">
        <v>627</v>
      </c>
      <c r="G357">
        <v>0.9</v>
      </c>
      <c r="H357">
        <v>0</v>
      </c>
      <c r="I357" t="s">
        <v>3</v>
      </c>
      <c r="J357">
        <v>0</v>
      </c>
      <c r="K357">
        <v>0</v>
      </c>
      <c r="L357" t="s">
        <v>3</v>
      </c>
      <c r="M357" t="s">
        <v>3</v>
      </c>
      <c r="N357">
        <v>0</v>
      </c>
    </row>
    <row r="358" spans="1:34" x14ac:dyDescent="0.2">
      <c r="A358">
        <v>70</v>
      </c>
      <c r="B358">
        <v>1</v>
      </c>
      <c r="D358">
        <v>10</v>
      </c>
      <c r="E358" t="s">
        <v>628</v>
      </c>
      <c r="F358" t="s">
        <v>629</v>
      </c>
      <c r="G358">
        <v>0.6</v>
      </c>
      <c r="H358">
        <v>0</v>
      </c>
      <c r="I358" t="s">
        <v>3</v>
      </c>
      <c r="J358">
        <v>0</v>
      </c>
      <c r="K358">
        <v>0</v>
      </c>
      <c r="L358" t="s">
        <v>3</v>
      </c>
      <c r="M358" t="s">
        <v>3</v>
      </c>
      <c r="N358">
        <v>0</v>
      </c>
    </row>
    <row r="359" spans="1:34" x14ac:dyDescent="0.2">
      <c r="A359">
        <v>70</v>
      </c>
      <c r="B359">
        <v>1</v>
      </c>
      <c r="D359">
        <v>11</v>
      </c>
      <c r="E359" t="s">
        <v>630</v>
      </c>
      <c r="F359" t="s">
        <v>631</v>
      </c>
      <c r="G359">
        <v>1.2</v>
      </c>
      <c r="H359">
        <v>0</v>
      </c>
      <c r="I359" t="s">
        <v>3</v>
      </c>
      <c r="J359">
        <v>0</v>
      </c>
      <c r="K359">
        <v>0</v>
      </c>
      <c r="L359" t="s">
        <v>3</v>
      </c>
      <c r="M359" t="s">
        <v>3</v>
      </c>
      <c r="N359">
        <v>0</v>
      </c>
    </row>
    <row r="360" spans="1:34" x14ac:dyDescent="0.2">
      <c r="A360">
        <v>70</v>
      </c>
      <c r="B360">
        <v>1</v>
      </c>
      <c r="D360">
        <v>12</v>
      </c>
      <c r="E360" t="s">
        <v>632</v>
      </c>
      <c r="F360" t="s">
        <v>633</v>
      </c>
      <c r="G360">
        <v>0</v>
      </c>
      <c r="H360">
        <v>0</v>
      </c>
      <c r="I360" t="s">
        <v>3</v>
      </c>
      <c r="J360">
        <v>0</v>
      </c>
      <c r="K360">
        <v>0</v>
      </c>
      <c r="L360" t="s">
        <v>3</v>
      </c>
      <c r="M360" t="s">
        <v>3</v>
      </c>
      <c r="N360">
        <v>0</v>
      </c>
    </row>
    <row r="361" spans="1:34" x14ac:dyDescent="0.2">
      <c r="A361">
        <v>70</v>
      </c>
      <c r="B361">
        <v>1</v>
      </c>
      <c r="D361">
        <v>13</v>
      </c>
      <c r="E361" t="s">
        <v>634</v>
      </c>
      <c r="F361" t="s">
        <v>635</v>
      </c>
      <c r="G361">
        <v>0.94</v>
      </c>
      <c r="H361">
        <v>0</v>
      </c>
      <c r="I361" t="s">
        <v>3</v>
      </c>
      <c r="J361">
        <v>0</v>
      </c>
      <c r="K361">
        <v>0</v>
      </c>
      <c r="L361" t="s">
        <v>3</v>
      </c>
      <c r="M361" t="s">
        <v>3</v>
      </c>
      <c r="N361">
        <v>0</v>
      </c>
    </row>
    <row r="363" spans="1:34" x14ac:dyDescent="0.2">
      <c r="A363">
        <v>-1</v>
      </c>
    </row>
    <row r="365" spans="1:34" x14ac:dyDescent="0.2">
      <c r="A365" s="3">
        <v>75</v>
      </c>
      <c r="B365" s="3" t="s">
        <v>636</v>
      </c>
      <c r="C365" s="3">
        <v>2018</v>
      </c>
      <c r="D365" s="3">
        <v>1</v>
      </c>
      <c r="E365" s="3">
        <v>0</v>
      </c>
      <c r="F365" s="3">
        <v>0</v>
      </c>
      <c r="G365" s="3">
        <v>0</v>
      </c>
      <c r="H365" s="3">
        <v>1</v>
      </c>
      <c r="I365" s="3">
        <v>0</v>
      </c>
      <c r="J365" s="3">
        <v>1</v>
      </c>
      <c r="K365" s="3">
        <v>0</v>
      </c>
      <c r="L365" s="3">
        <v>0</v>
      </c>
      <c r="M365" s="3">
        <v>0</v>
      </c>
      <c r="N365" s="3">
        <v>39099382</v>
      </c>
      <c r="O365" s="3">
        <v>1</v>
      </c>
    </row>
    <row r="366" spans="1:34" x14ac:dyDescent="0.2">
      <c r="A366" s="5">
        <v>3</v>
      </c>
      <c r="B366" s="5" t="s">
        <v>637</v>
      </c>
      <c r="C366" s="5">
        <v>6.53</v>
      </c>
      <c r="D366" s="5">
        <v>1</v>
      </c>
      <c r="E366" s="5">
        <v>1</v>
      </c>
      <c r="F366" s="5">
        <v>1</v>
      </c>
      <c r="G366" s="5">
        <v>1</v>
      </c>
      <c r="H366" s="5">
        <v>1</v>
      </c>
      <c r="I366" s="5">
        <v>1</v>
      </c>
      <c r="J366" s="5">
        <v>1</v>
      </c>
      <c r="K366" s="5">
        <v>18.850000000000001</v>
      </c>
      <c r="L366" s="5">
        <v>1</v>
      </c>
      <c r="M366" s="5">
        <v>6.53</v>
      </c>
      <c r="N366" s="5">
        <v>1</v>
      </c>
      <c r="O366" s="5">
        <v>1</v>
      </c>
      <c r="P366" s="5">
        <v>1</v>
      </c>
      <c r="Q366" s="5">
        <v>18.850000000000001</v>
      </c>
      <c r="R366" s="5">
        <v>1</v>
      </c>
      <c r="S366" s="5" t="s">
        <v>3</v>
      </c>
      <c r="T366" s="5" t="s">
        <v>3</v>
      </c>
      <c r="U366" s="5" t="s">
        <v>3</v>
      </c>
      <c r="V366" s="5" t="s">
        <v>3</v>
      </c>
      <c r="W366" s="5" t="s">
        <v>3</v>
      </c>
      <c r="X366" s="5" t="s">
        <v>3</v>
      </c>
      <c r="Y366" s="5" t="s">
        <v>3</v>
      </c>
      <c r="Z366" s="5" t="s">
        <v>3</v>
      </c>
      <c r="AA366" s="5" t="s">
        <v>3</v>
      </c>
      <c r="AB366" s="5" t="s">
        <v>3</v>
      </c>
      <c r="AC366" s="5" t="s">
        <v>3</v>
      </c>
      <c r="AD366" s="5" t="s">
        <v>3</v>
      </c>
      <c r="AE366" s="5" t="s">
        <v>3</v>
      </c>
      <c r="AF366" s="5" t="s">
        <v>3</v>
      </c>
      <c r="AG366" s="5" t="s">
        <v>3</v>
      </c>
      <c r="AH366" s="5" t="s">
        <v>3</v>
      </c>
    </row>
    <row r="370" spans="1:5" x14ac:dyDescent="0.2">
      <c r="A370">
        <v>65</v>
      </c>
      <c r="C370">
        <v>1</v>
      </c>
      <c r="D370">
        <v>0</v>
      </c>
      <c r="E370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638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39099382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11</v>
      </c>
      <c r="D16" s="6" t="s">
        <v>11</v>
      </c>
      <c r="E16" s="7">
        <f>(Source!F292)/1000</f>
        <v>1374.71065</v>
      </c>
      <c r="F16" s="7">
        <f>(Source!F293)/1000</f>
        <v>758.77175</v>
      </c>
      <c r="G16" s="7">
        <f>(Source!F284)/1000</f>
        <v>0</v>
      </c>
      <c r="H16" s="7">
        <f>(Source!F294)/1000+(Source!F295)/1000</f>
        <v>71.446640000000002</v>
      </c>
      <c r="I16" s="7">
        <f>E16+F16+G16+H16</f>
        <v>2204.92904</v>
      </c>
      <c r="J16" s="7">
        <f>(Source!F290)/1000</f>
        <v>161.82886999999999</v>
      </c>
      <c r="AI16" s="6">
        <v>0</v>
      </c>
      <c r="AJ16" s="6">
        <v>0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1970855.46</v>
      </c>
      <c r="AU16" s="7">
        <v>1794567.45</v>
      </c>
      <c r="AV16" s="7">
        <v>0</v>
      </c>
      <c r="AW16" s="7">
        <v>0</v>
      </c>
      <c r="AX16" s="7">
        <v>0</v>
      </c>
      <c r="AY16" s="7">
        <v>14459.14</v>
      </c>
      <c r="AZ16" s="7">
        <v>3141.31</v>
      </c>
      <c r="BA16" s="7">
        <v>161828.87</v>
      </c>
      <c r="BB16" s="7">
        <v>1374710.65</v>
      </c>
      <c r="BC16" s="7">
        <v>758771.75</v>
      </c>
      <c r="BD16" s="7">
        <v>71446.64</v>
      </c>
      <c r="BE16" s="7">
        <v>0</v>
      </c>
      <c r="BF16" s="7">
        <v>2288.6531054999996</v>
      </c>
      <c r="BG16" s="7">
        <v>42.035352250000003</v>
      </c>
      <c r="BH16" s="7">
        <v>0</v>
      </c>
      <c r="BI16" s="7">
        <v>145731.99</v>
      </c>
      <c r="BJ16" s="7">
        <v>87729.21</v>
      </c>
      <c r="BK16" s="7">
        <v>2204929.04</v>
      </c>
    </row>
    <row r="18" spans="1:19" x14ac:dyDescent="0.2">
      <c r="A18">
        <v>51</v>
      </c>
      <c r="E18" s="8">
        <f>SUMIF(A16:A17,3,E16:E17)</f>
        <v>1374.71065</v>
      </c>
      <c r="F18" s="8">
        <f>SUMIF(A16:A17,3,F16:F17)</f>
        <v>758.77175</v>
      </c>
      <c r="G18" s="8">
        <f>SUMIF(A16:A17,3,G16:G17)</f>
        <v>0</v>
      </c>
      <c r="H18" s="8">
        <f>SUMIF(A16:A17,3,H16:H17)</f>
        <v>71.446640000000002</v>
      </c>
      <c r="I18" s="8">
        <f>SUMIF(A16:A17,3,I16:I17)</f>
        <v>2204.92904</v>
      </c>
      <c r="J18" s="8">
        <f>SUMIF(A16:A17,3,J16:J17)</f>
        <v>161.82886999999999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1970855.46</v>
      </c>
      <c r="G20" s="4" t="s">
        <v>263</v>
      </c>
      <c r="H20" s="4" t="s">
        <v>264</v>
      </c>
      <c r="I20" s="4"/>
      <c r="J20" s="4"/>
      <c r="K20" s="4">
        <v>201</v>
      </c>
      <c r="L20" s="4">
        <v>1</v>
      </c>
      <c r="M20" s="4">
        <v>3</v>
      </c>
      <c r="N20" s="4" t="s">
        <v>3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1794567.45</v>
      </c>
      <c r="G21" s="4" t="s">
        <v>265</v>
      </c>
      <c r="H21" s="4" t="s">
        <v>266</v>
      </c>
      <c r="I21" s="4"/>
      <c r="J21" s="4"/>
      <c r="K21" s="4">
        <v>202</v>
      </c>
      <c r="L21" s="4">
        <v>2</v>
      </c>
      <c r="M21" s="4">
        <v>3</v>
      </c>
      <c r="N21" s="4" t="s">
        <v>3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267</v>
      </c>
      <c r="H22" s="4" t="s">
        <v>268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1794567.45</v>
      </c>
      <c r="G23" s="4" t="s">
        <v>269</v>
      </c>
      <c r="H23" s="4" t="s">
        <v>270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1794567.45</v>
      </c>
      <c r="G24" s="4" t="s">
        <v>271</v>
      </c>
      <c r="H24" s="4" t="s">
        <v>272</v>
      </c>
      <c r="I24" s="4"/>
      <c r="J24" s="4"/>
      <c r="K24" s="4">
        <v>226</v>
      </c>
      <c r="L24" s="4">
        <v>5</v>
      </c>
      <c r="M24" s="4">
        <v>3</v>
      </c>
      <c r="N24" s="4" t="s">
        <v>3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273</v>
      </c>
      <c r="H25" s="4" t="s">
        <v>274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1794567.45</v>
      </c>
      <c r="G26" s="4" t="s">
        <v>275</v>
      </c>
      <c r="H26" s="4" t="s">
        <v>276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277</v>
      </c>
      <c r="H27" s="4" t="s">
        <v>278</v>
      </c>
      <c r="I27" s="4"/>
      <c r="J27" s="4"/>
      <c r="K27" s="4">
        <v>216</v>
      </c>
      <c r="L27" s="4">
        <v>8</v>
      </c>
      <c r="M27" s="4">
        <v>3</v>
      </c>
      <c r="N27" s="4" t="s">
        <v>3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279</v>
      </c>
      <c r="H28" s="4" t="s">
        <v>280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281</v>
      </c>
      <c r="H29" s="4" t="s">
        <v>282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14459.14</v>
      </c>
      <c r="G30" s="4" t="s">
        <v>283</v>
      </c>
      <c r="H30" s="4" t="s">
        <v>284</v>
      </c>
      <c r="I30" s="4"/>
      <c r="J30" s="4"/>
      <c r="K30" s="4">
        <v>203</v>
      </c>
      <c r="L30" s="4">
        <v>11</v>
      </c>
      <c r="M30" s="4">
        <v>3</v>
      </c>
      <c r="N30" s="4" t="s">
        <v>3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285</v>
      </c>
      <c r="H31" s="4" t="s">
        <v>286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3141.31</v>
      </c>
      <c r="G32" s="4" t="s">
        <v>287</v>
      </c>
      <c r="H32" s="4" t="s">
        <v>288</v>
      </c>
      <c r="I32" s="4"/>
      <c r="J32" s="4"/>
      <c r="K32" s="4">
        <v>204</v>
      </c>
      <c r="L32" s="4">
        <v>13</v>
      </c>
      <c r="M32" s="4">
        <v>3</v>
      </c>
      <c r="N32" s="4" t="s">
        <v>3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161828.87</v>
      </c>
      <c r="G33" s="4" t="s">
        <v>289</v>
      </c>
      <c r="H33" s="4" t="s">
        <v>290</v>
      </c>
      <c r="I33" s="4"/>
      <c r="J33" s="4"/>
      <c r="K33" s="4">
        <v>205</v>
      </c>
      <c r="L33" s="4">
        <v>14</v>
      </c>
      <c r="M33" s="4">
        <v>3</v>
      </c>
      <c r="N33" s="4" t="s">
        <v>3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291</v>
      </c>
      <c r="H34" s="4" t="s">
        <v>292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1374710.65</v>
      </c>
      <c r="G35" s="4" t="s">
        <v>293</v>
      </c>
      <c r="H35" s="4" t="s">
        <v>294</v>
      </c>
      <c r="I35" s="4"/>
      <c r="J35" s="4"/>
      <c r="K35" s="4">
        <v>214</v>
      </c>
      <c r="L35" s="4">
        <v>16</v>
      </c>
      <c r="M35" s="4">
        <v>3</v>
      </c>
      <c r="N35" s="4" t="s">
        <v>3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758771.75</v>
      </c>
      <c r="G36" s="4" t="s">
        <v>295</v>
      </c>
      <c r="H36" s="4" t="s">
        <v>296</v>
      </c>
      <c r="I36" s="4"/>
      <c r="J36" s="4"/>
      <c r="K36" s="4">
        <v>215</v>
      </c>
      <c r="L36" s="4">
        <v>17</v>
      </c>
      <c r="M36" s="4">
        <v>3</v>
      </c>
      <c r="N36" s="4" t="s">
        <v>3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71446.64</v>
      </c>
      <c r="G37" s="4" t="s">
        <v>297</v>
      </c>
      <c r="H37" s="4" t="s">
        <v>298</v>
      </c>
      <c r="I37" s="4"/>
      <c r="J37" s="4"/>
      <c r="K37" s="4">
        <v>217</v>
      </c>
      <c r="L37" s="4">
        <v>18</v>
      </c>
      <c r="M37" s="4">
        <v>3</v>
      </c>
      <c r="N37" s="4" t="s">
        <v>3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299</v>
      </c>
      <c r="H38" s="4" t="s">
        <v>300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301</v>
      </c>
      <c r="H39" s="4" t="s">
        <v>302</v>
      </c>
      <c r="I39" s="4"/>
      <c r="J39" s="4"/>
      <c r="K39" s="4">
        <v>206</v>
      </c>
      <c r="L39" s="4">
        <v>20</v>
      </c>
      <c r="M39" s="4">
        <v>3</v>
      </c>
      <c r="N39" s="4" t="s">
        <v>3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2288.6531054999996</v>
      </c>
      <c r="G40" s="4" t="s">
        <v>303</v>
      </c>
      <c r="H40" s="4" t="s">
        <v>304</v>
      </c>
      <c r="I40" s="4"/>
      <c r="J40" s="4"/>
      <c r="K40" s="4">
        <v>207</v>
      </c>
      <c r="L40" s="4">
        <v>21</v>
      </c>
      <c r="M40" s="4">
        <v>3</v>
      </c>
      <c r="N40" s="4" t="s">
        <v>3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42.035352250000003</v>
      </c>
      <c r="G41" s="4" t="s">
        <v>305</v>
      </c>
      <c r="H41" s="4" t="s">
        <v>306</v>
      </c>
      <c r="I41" s="4"/>
      <c r="J41" s="4"/>
      <c r="K41" s="4">
        <v>208</v>
      </c>
      <c r="L41" s="4">
        <v>22</v>
      </c>
      <c r="M41" s="4">
        <v>3</v>
      </c>
      <c r="N41" s="4" t="s">
        <v>3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307</v>
      </c>
      <c r="H42" s="4" t="s">
        <v>308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145731.99</v>
      </c>
      <c r="G43" s="4" t="s">
        <v>309</v>
      </c>
      <c r="H43" s="4" t="s">
        <v>310</v>
      </c>
      <c r="I43" s="4"/>
      <c r="J43" s="4"/>
      <c r="K43" s="4">
        <v>210</v>
      </c>
      <c r="L43" s="4">
        <v>24</v>
      </c>
      <c r="M43" s="4">
        <v>3</v>
      </c>
      <c r="N43" s="4" t="s">
        <v>3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87729.21</v>
      </c>
      <c r="G44" s="4" t="s">
        <v>311</v>
      </c>
      <c r="H44" s="4" t="s">
        <v>312</v>
      </c>
      <c r="I44" s="4"/>
      <c r="J44" s="4"/>
      <c r="K44" s="4">
        <v>211</v>
      </c>
      <c r="L44" s="4">
        <v>25</v>
      </c>
      <c r="M44" s="4">
        <v>3</v>
      </c>
      <c r="N44" s="4" t="s">
        <v>3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2204929.04</v>
      </c>
      <c r="G45" s="4" t="s">
        <v>313</v>
      </c>
      <c r="H45" s="4" t="s">
        <v>314</v>
      </c>
      <c r="I45" s="4"/>
      <c r="J45" s="4"/>
      <c r="K45" s="4">
        <v>224</v>
      </c>
      <c r="L45" s="4">
        <v>26</v>
      </c>
      <c r="M45" s="4">
        <v>3</v>
      </c>
      <c r="N45" s="4" t="s">
        <v>3</v>
      </c>
      <c r="O45" s="4">
        <v>2</v>
      </c>
      <c r="P45" s="4"/>
    </row>
    <row r="47" spans="1:16" x14ac:dyDescent="0.2">
      <c r="A47">
        <v>-1</v>
      </c>
    </row>
    <row r="50" spans="1:34" x14ac:dyDescent="0.2">
      <c r="A50" s="3">
        <v>75</v>
      </c>
      <c r="B50" s="3" t="s">
        <v>636</v>
      </c>
      <c r="C50" s="3">
        <v>2018</v>
      </c>
      <c r="D50" s="3">
        <v>1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39099382</v>
      </c>
      <c r="O50" s="3">
        <v>1</v>
      </c>
    </row>
    <row r="51" spans="1:34" x14ac:dyDescent="0.2">
      <c r="A51" s="5">
        <v>3</v>
      </c>
      <c r="B51" s="5" t="s">
        <v>637</v>
      </c>
      <c r="C51" s="5">
        <v>6.53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1</v>
      </c>
      <c r="K51" s="5">
        <v>18.850000000000001</v>
      </c>
      <c r="L51" s="5">
        <v>1</v>
      </c>
      <c r="M51" s="5">
        <v>6.53</v>
      </c>
      <c r="N51" s="5">
        <v>1</v>
      </c>
      <c r="O51" s="5">
        <v>1</v>
      </c>
      <c r="P51" s="5">
        <v>1</v>
      </c>
      <c r="Q51" s="5">
        <v>18.850000000000001</v>
      </c>
      <c r="R51" s="5">
        <v>1</v>
      </c>
      <c r="S51" s="5" t="s">
        <v>3</v>
      </c>
      <c r="T51" s="5" t="s">
        <v>3</v>
      </c>
      <c r="U51" s="5" t="s">
        <v>3</v>
      </c>
      <c r="V51" s="5" t="s">
        <v>3</v>
      </c>
      <c r="W51" s="5" t="s">
        <v>3</v>
      </c>
      <c r="X51" s="5" t="s">
        <v>3</v>
      </c>
      <c r="Y51" s="5" t="s">
        <v>3</v>
      </c>
      <c r="Z51" s="5" t="s">
        <v>3</v>
      </c>
      <c r="AA51" s="5" t="s">
        <v>3</v>
      </c>
      <c r="AB51" s="5" t="s">
        <v>3</v>
      </c>
      <c r="AC51" s="5" t="s">
        <v>3</v>
      </c>
      <c r="AD51" s="5" t="s">
        <v>3</v>
      </c>
      <c r="AE51" s="5" t="s">
        <v>3</v>
      </c>
      <c r="AF51" s="5" t="s">
        <v>3</v>
      </c>
      <c r="AG51" s="5" t="s">
        <v>3</v>
      </c>
      <c r="AH51" s="5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373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ROW(Source!A28)</f>
        <v>28</v>
      </c>
      <c r="B1">
        <v>39099382</v>
      </c>
      <c r="C1">
        <v>39100096</v>
      </c>
      <c r="D1">
        <v>37064998</v>
      </c>
      <c r="E1">
        <v>1</v>
      </c>
      <c r="F1">
        <v>1</v>
      </c>
      <c r="G1">
        <v>1</v>
      </c>
      <c r="H1">
        <v>1</v>
      </c>
      <c r="I1" t="s">
        <v>639</v>
      </c>
      <c r="J1" t="s">
        <v>3</v>
      </c>
      <c r="K1" t="s">
        <v>640</v>
      </c>
      <c r="L1">
        <v>1191</v>
      </c>
      <c r="N1">
        <v>1013</v>
      </c>
      <c r="O1" t="s">
        <v>641</v>
      </c>
      <c r="P1" t="s">
        <v>641</v>
      </c>
      <c r="Q1">
        <v>1</v>
      </c>
      <c r="W1">
        <v>0</v>
      </c>
      <c r="X1">
        <v>735429535</v>
      </c>
      <c r="Y1">
        <v>3.77</v>
      </c>
      <c r="AA1">
        <v>0</v>
      </c>
      <c r="AB1">
        <v>0</v>
      </c>
      <c r="AC1">
        <v>0</v>
      </c>
      <c r="AD1">
        <v>50.93</v>
      </c>
      <c r="AE1">
        <v>0</v>
      </c>
      <c r="AF1">
        <v>0</v>
      </c>
      <c r="AG1">
        <v>0</v>
      </c>
      <c r="AH1">
        <v>7.8</v>
      </c>
      <c r="AI1">
        <v>1</v>
      </c>
      <c r="AJ1">
        <v>1</v>
      </c>
      <c r="AK1">
        <v>1</v>
      </c>
      <c r="AL1">
        <v>6.53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3.77</v>
      </c>
      <c r="AU1" t="s">
        <v>3</v>
      </c>
      <c r="AV1">
        <v>1</v>
      </c>
      <c r="AW1">
        <v>2</v>
      </c>
      <c r="AX1">
        <v>39100098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6.4270960000000006</v>
      </c>
      <c r="CY1">
        <f>AD1</f>
        <v>50.93</v>
      </c>
      <c r="CZ1">
        <f>AH1</f>
        <v>7.8</v>
      </c>
      <c r="DA1">
        <f>AL1</f>
        <v>6.53</v>
      </c>
      <c r="DB1">
        <v>0</v>
      </c>
    </row>
    <row r="2" spans="1:106" x14ac:dyDescent="0.2">
      <c r="A2">
        <f>ROW(Source!A29)</f>
        <v>29</v>
      </c>
      <c r="B2">
        <v>39099382</v>
      </c>
      <c r="C2">
        <v>39100100</v>
      </c>
      <c r="D2">
        <v>37064998</v>
      </c>
      <c r="E2">
        <v>1</v>
      </c>
      <c r="F2">
        <v>1</v>
      </c>
      <c r="G2">
        <v>1</v>
      </c>
      <c r="H2">
        <v>1</v>
      </c>
      <c r="I2" t="s">
        <v>639</v>
      </c>
      <c r="J2" t="s">
        <v>3</v>
      </c>
      <c r="K2" t="s">
        <v>640</v>
      </c>
      <c r="L2">
        <v>1191</v>
      </c>
      <c r="N2">
        <v>1013</v>
      </c>
      <c r="O2" t="s">
        <v>641</v>
      </c>
      <c r="P2" t="s">
        <v>641</v>
      </c>
      <c r="Q2">
        <v>1</v>
      </c>
      <c r="W2">
        <v>0</v>
      </c>
      <c r="X2">
        <v>735429535</v>
      </c>
      <c r="Y2">
        <v>11.39</v>
      </c>
      <c r="AA2">
        <v>0</v>
      </c>
      <c r="AB2">
        <v>0</v>
      </c>
      <c r="AC2">
        <v>0</v>
      </c>
      <c r="AD2">
        <v>50.93</v>
      </c>
      <c r="AE2">
        <v>0</v>
      </c>
      <c r="AF2">
        <v>0</v>
      </c>
      <c r="AG2">
        <v>0</v>
      </c>
      <c r="AH2">
        <v>7.8</v>
      </c>
      <c r="AI2">
        <v>1</v>
      </c>
      <c r="AJ2">
        <v>1</v>
      </c>
      <c r="AK2">
        <v>1</v>
      </c>
      <c r="AL2">
        <v>6.53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11.39</v>
      </c>
      <c r="AU2" t="s">
        <v>3</v>
      </c>
      <c r="AV2">
        <v>1</v>
      </c>
      <c r="AW2">
        <v>2</v>
      </c>
      <c r="AX2">
        <v>39100104</v>
      </c>
      <c r="AY2">
        <v>1</v>
      </c>
      <c r="AZ2">
        <v>0</v>
      </c>
      <c r="BA2">
        <v>3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Y2*Source!I29</f>
        <v>31.812270000000002</v>
      </c>
      <c r="CY2">
        <f>AD2</f>
        <v>50.93</v>
      </c>
      <c r="CZ2">
        <f>AH2</f>
        <v>7.8</v>
      </c>
      <c r="DA2">
        <f>AL2</f>
        <v>6.53</v>
      </c>
      <c r="DB2">
        <v>0</v>
      </c>
    </row>
    <row r="3" spans="1:106" x14ac:dyDescent="0.2">
      <c r="A3">
        <f>ROW(Source!A29)</f>
        <v>29</v>
      </c>
      <c r="B3">
        <v>39099382</v>
      </c>
      <c r="C3">
        <v>39100100</v>
      </c>
      <c r="D3">
        <v>37064876</v>
      </c>
      <c r="E3">
        <v>1</v>
      </c>
      <c r="F3">
        <v>1</v>
      </c>
      <c r="G3">
        <v>1</v>
      </c>
      <c r="H3">
        <v>1</v>
      </c>
      <c r="I3" t="s">
        <v>642</v>
      </c>
      <c r="J3" t="s">
        <v>3</v>
      </c>
      <c r="K3" t="s">
        <v>643</v>
      </c>
      <c r="L3">
        <v>1191</v>
      </c>
      <c r="N3">
        <v>1013</v>
      </c>
      <c r="O3" t="s">
        <v>641</v>
      </c>
      <c r="P3" t="s">
        <v>641</v>
      </c>
      <c r="Q3">
        <v>1</v>
      </c>
      <c r="W3">
        <v>0</v>
      </c>
      <c r="X3">
        <v>-1417349443</v>
      </c>
      <c r="Y3">
        <v>0.13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1</v>
      </c>
      <c r="AJ3">
        <v>1</v>
      </c>
      <c r="AK3">
        <v>6.53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0.13</v>
      </c>
      <c r="AU3" t="s">
        <v>3</v>
      </c>
      <c r="AV3">
        <v>2</v>
      </c>
      <c r="AW3">
        <v>2</v>
      </c>
      <c r="AX3">
        <v>39100105</v>
      </c>
      <c r="AY3">
        <v>1</v>
      </c>
      <c r="AZ3">
        <v>0</v>
      </c>
      <c r="BA3">
        <v>4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Y3*Source!I29</f>
        <v>0.36309000000000002</v>
      </c>
      <c r="CY3">
        <f>AD3</f>
        <v>0</v>
      </c>
      <c r="CZ3">
        <f>AH3</f>
        <v>0</v>
      </c>
      <c r="DA3">
        <f>AL3</f>
        <v>1</v>
      </c>
      <c r="DB3">
        <v>0</v>
      </c>
    </row>
    <row r="4" spans="1:106" x14ac:dyDescent="0.2">
      <c r="A4">
        <f>ROW(Source!A29)</f>
        <v>29</v>
      </c>
      <c r="B4">
        <v>39099382</v>
      </c>
      <c r="C4">
        <v>39100100</v>
      </c>
      <c r="D4">
        <v>36882452</v>
      </c>
      <c r="E4">
        <v>1</v>
      </c>
      <c r="F4">
        <v>1</v>
      </c>
      <c r="G4">
        <v>1</v>
      </c>
      <c r="H4">
        <v>2</v>
      </c>
      <c r="I4" t="s">
        <v>644</v>
      </c>
      <c r="J4" t="s">
        <v>645</v>
      </c>
      <c r="K4" t="s">
        <v>646</v>
      </c>
      <c r="L4">
        <v>1368</v>
      </c>
      <c r="N4">
        <v>1011</v>
      </c>
      <c r="O4" t="s">
        <v>647</v>
      </c>
      <c r="P4" t="s">
        <v>647</v>
      </c>
      <c r="Q4">
        <v>1</v>
      </c>
      <c r="W4">
        <v>0</v>
      </c>
      <c r="X4">
        <v>1188625873</v>
      </c>
      <c r="Y4">
        <v>0.13</v>
      </c>
      <c r="AA4">
        <v>0</v>
      </c>
      <c r="AB4">
        <v>204.13</v>
      </c>
      <c r="AC4">
        <v>13.5</v>
      </c>
      <c r="AD4">
        <v>0</v>
      </c>
      <c r="AE4">
        <v>0</v>
      </c>
      <c r="AF4">
        <v>31.26</v>
      </c>
      <c r="AG4">
        <v>13.5</v>
      </c>
      <c r="AH4">
        <v>0</v>
      </c>
      <c r="AI4">
        <v>1</v>
      </c>
      <c r="AJ4">
        <v>6.53</v>
      </c>
      <c r="AK4">
        <v>1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0.13</v>
      </c>
      <c r="AU4" t="s">
        <v>3</v>
      </c>
      <c r="AV4">
        <v>0</v>
      </c>
      <c r="AW4">
        <v>2</v>
      </c>
      <c r="AX4">
        <v>39100106</v>
      </c>
      <c r="AY4">
        <v>1</v>
      </c>
      <c r="AZ4">
        <v>0</v>
      </c>
      <c r="BA4">
        <v>5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Y4*Source!I29</f>
        <v>0.36309000000000002</v>
      </c>
      <c r="CY4">
        <f>AB4</f>
        <v>204.13</v>
      </c>
      <c r="CZ4">
        <f>AF4</f>
        <v>31.26</v>
      </c>
      <c r="DA4">
        <f>AJ4</f>
        <v>6.53</v>
      </c>
      <c r="DB4">
        <v>0</v>
      </c>
    </row>
    <row r="5" spans="1:106" x14ac:dyDescent="0.2">
      <c r="A5">
        <f>ROW(Source!A30)</f>
        <v>30</v>
      </c>
      <c r="B5">
        <v>39099382</v>
      </c>
      <c r="C5">
        <v>39100112</v>
      </c>
      <c r="D5">
        <v>37065248</v>
      </c>
      <c r="E5">
        <v>1</v>
      </c>
      <c r="F5">
        <v>1</v>
      </c>
      <c r="G5">
        <v>1</v>
      </c>
      <c r="H5">
        <v>1</v>
      </c>
      <c r="I5" t="s">
        <v>648</v>
      </c>
      <c r="J5" t="s">
        <v>3</v>
      </c>
      <c r="K5" t="s">
        <v>649</v>
      </c>
      <c r="L5">
        <v>1191</v>
      </c>
      <c r="N5">
        <v>1013</v>
      </c>
      <c r="O5" t="s">
        <v>641</v>
      </c>
      <c r="P5" t="s">
        <v>641</v>
      </c>
      <c r="Q5">
        <v>1</v>
      </c>
      <c r="W5">
        <v>0</v>
      </c>
      <c r="X5">
        <v>-400197608</v>
      </c>
      <c r="Y5">
        <v>46.19</v>
      </c>
      <c r="AA5">
        <v>0</v>
      </c>
      <c r="AB5">
        <v>0</v>
      </c>
      <c r="AC5">
        <v>0</v>
      </c>
      <c r="AD5">
        <v>55.7</v>
      </c>
      <c r="AE5">
        <v>0</v>
      </c>
      <c r="AF5">
        <v>0</v>
      </c>
      <c r="AG5">
        <v>0</v>
      </c>
      <c r="AH5">
        <v>8.5299999999999994</v>
      </c>
      <c r="AI5">
        <v>1</v>
      </c>
      <c r="AJ5">
        <v>1</v>
      </c>
      <c r="AK5">
        <v>1</v>
      </c>
      <c r="AL5">
        <v>6.53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3</v>
      </c>
      <c r="AT5">
        <v>46.19</v>
      </c>
      <c r="AU5" t="s">
        <v>3</v>
      </c>
      <c r="AV5">
        <v>1</v>
      </c>
      <c r="AW5">
        <v>2</v>
      </c>
      <c r="AX5">
        <v>39100119</v>
      </c>
      <c r="AY5">
        <v>1</v>
      </c>
      <c r="AZ5">
        <v>0</v>
      </c>
      <c r="BA5">
        <v>7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Y5*Source!I30</f>
        <v>6.0046999999999997</v>
      </c>
      <c r="CY5">
        <f>AD5</f>
        <v>55.7</v>
      </c>
      <c r="CZ5">
        <f>AH5</f>
        <v>8.5299999999999994</v>
      </c>
      <c r="DA5">
        <f>AL5</f>
        <v>6.53</v>
      </c>
      <c r="DB5">
        <v>0</v>
      </c>
    </row>
    <row r="6" spans="1:106" x14ac:dyDescent="0.2">
      <c r="A6">
        <f>ROW(Source!A30)</f>
        <v>30</v>
      </c>
      <c r="B6">
        <v>39099382</v>
      </c>
      <c r="C6">
        <v>39100112</v>
      </c>
      <c r="D6">
        <v>37064876</v>
      </c>
      <c r="E6">
        <v>1</v>
      </c>
      <c r="F6">
        <v>1</v>
      </c>
      <c r="G6">
        <v>1</v>
      </c>
      <c r="H6">
        <v>1</v>
      </c>
      <c r="I6" t="s">
        <v>642</v>
      </c>
      <c r="J6" t="s">
        <v>3</v>
      </c>
      <c r="K6" t="s">
        <v>643</v>
      </c>
      <c r="L6">
        <v>1191</v>
      </c>
      <c r="N6">
        <v>1013</v>
      </c>
      <c r="O6" t="s">
        <v>641</v>
      </c>
      <c r="P6" t="s">
        <v>641</v>
      </c>
      <c r="Q6">
        <v>1</v>
      </c>
      <c r="W6">
        <v>0</v>
      </c>
      <c r="X6">
        <v>-1417349443</v>
      </c>
      <c r="Y6">
        <v>0.01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1</v>
      </c>
      <c r="AJ6">
        <v>1</v>
      </c>
      <c r="AK6">
        <v>6.53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3</v>
      </c>
      <c r="AT6">
        <v>0.01</v>
      </c>
      <c r="AU6" t="s">
        <v>3</v>
      </c>
      <c r="AV6">
        <v>2</v>
      </c>
      <c r="AW6">
        <v>2</v>
      </c>
      <c r="AX6">
        <v>39100120</v>
      </c>
      <c r="AY6">
        <v>1</v>
      </c>
      <c r="AZ6">
        <v>0</v>
      </c>
      <c r="BA6">
        <v>8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Y6*Source!I30</f>
        <v>1.3000000000000002E-3</v>
      </c>
      <c r="CY6">
        <f>AD6</f>
        <v>0</v>
      </c>
      <c r="CZ6">
        <f>AH6</f>
        <v>0</v>
      </c>
      <c r="DA6">
        <f>AL6</f>
        <v>1</v>
      </c>
      <c r="DB6">
        <v>0</v>
      </c>
    </row>
    <row r="7" spans="1:106" x14ac:dyDescent="0.2">
      <c r="A7">
        <f>ROW(Source!A30)</f>
        <v>30</v>
      </c>
      <c r="B7">
        <v>39099382</v>
      </c>
      <c r="C7">
        <v>39100112</v>
      </c>
      <c r="D7">
        <v>36882452</v>
      </c>
      <c r="E7">
        <v>1</v>
      </c>
      <c r="F7">
        <v>1</v>
      </c>
      <c r="G7">
        <v>1</v>
      </c>
      <c r="H7">
        <v>2</v>
      </c>
      <c r="I7" t="s">
        <v>644</v>
      </c>
      <c r="J7" t="s">
        <v>645</v>
      </c>
      <c r="K7" t="s">
        <v>646</v>
      </c>
      <c r="L7">
        <v>1368</v>
      </c>
      <c r="N7">
        <v>1011</v>
      </c>
      <c r="O7" t="s">
        <v>647</v>
      </c>
      <c r="P7" t="s">
        <v>647</v>
      </c>
      <c r="Q7">
        <v>1</v>
      </c>
      <c r="W7">
        <v>0</v>
      </c>
      <c r="X7">
        <v>1188625873</v>
      </c>
      <c r="Y7">
        <v>0.01</v>
      </c>
      <c r="AA7">
        <v>0</v>
      </c>
      <c r="AB7">
        <v>204.13</v>
      </c>
      <c r="AC7">
        <v>13.5</v>
      </c>
      <c r="AD7">
        <v>0</v>
      </c>
      <c r="AE7">
        <v>0</v>
      </c>
      <c r="AF7">
        <v>31.26</v>
      </c>
      <c r="AG7">
        <v>13.5</v>
      </c>
      <c r="AH7">
        <v>0</v>
      </c>
      <c r="AI7">
        <v>1</v>
      </c>
      <c r="AJ7">
        <v>6.53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3</v>
      </c>
      <c r="AT7">
        <v>0.01</v>
      </c>
      <c r="AU7" t="s">
        <v>3</v>
      </c>
      <c r="AV7">
        <v>0</v>
      </c>
      <c r="AW7">
        <v>2</v>
      </c>
      <c r="AX7">
        <v>39100121</v>
      </c>
      <c r="AY7">
        <v>1</v>
      </c>
      <c r="AZ7">
        <v>0</v>
      </c>
      <c r="BA7">
        <v>9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Y7*Source!I30</f>
        <v>1.3000000000000002E-3</v>
      </c>
      <c r="CY7">
        <f>AB7</f>
        <v>204.13</v>
      </c>
      <c r="CZ7">
        <f>AF7</f>
        <v>31.26</v>
      </c>
      <c r="DA7">
        <f>AJ7</f>
        <v>6.53</v>
      </c>
      <c r="DB7">
        <v>0</v>
      </c>
    </row>
    <row r="8" spans="1:106" x14ac:dyDescent="0.2">
      <c r="A8">
        <f>ROW(Source!A30)</f>
        <v>30</v>
      </c>
      <c r="B8">
        <v>39099382</v>
      </c>
      <c r="C8">
        <v>39100112</v>
      </c>
      <c r="D8">
        <v>36801792</v>
      </c>
      <c r="E8">
        <v>1</v>
      </c>
      <c r="F8">
        <v>1</v>
      </c>
      <c r="G8">
        <v>1</v>
      </c>
      <c r="H8">
        <v>3</v>
      </c>
      <c r="I8" t="s">
        <v>650</v>
      </c>
      <c r="J8" t="s">
        <v>651</v>
      </c>
      <c r="K8" t="s">
        <v>652</v>
      </c>
      <c r="L8">
        <v>1339</v>
      </c>
      <c r="N8">
        <v>1007</v>
      </c>
      <c r="O8" t="s">
        <v>56</v>
      </c>
      <c r="P8" t="s">
        <v>56</v>
      </c>
      <c r="Q8">
        <v>1</v>
      </c>
      <c r="W8">
        <v>0</v>
      </c>
      <c r="X8">
        <v>-1660354250</v>
      </c>
      <c r="Y8">
        <v>0.02</v>
      </c>
      <c r="AA8">
        <v>15.93</v>
      </c>
      <c r="AB8">
        <v>0</v>
      </c>
      <c r="AC8">
        <v>0</v>
      </c>
      <c r="AD8">
        <v>0</v>
      </c>
      <c r="AE8">
        <v>2.44</v>
      </c>
      <c r="AF8">
        <v>0</v>
      </c>
      <c r="AG8">
        <v>0</v>
      </c>
      <c r="AH8">
        <v>0</v>
      </c>
      <c r="AI8">
        <v>6.53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3</v>
      </c>
      <c r="AT8">
        <v>0.02</v>
      </c>
      <c r="AU8" t="s">
        <v>3</v>
      </c>
      <c r="AV8">
        <v>0</v>
      </c>
      <c r="AW8">
        <v>2</v>
      </c>
      <c r="AX8">
        <v>39100122</v>
      </c>
      <c r="AY8">
        <v>1</v>
      </c>
      <c r="AZ8">
        <v>0</v>
      </c>
      <c r="BA8">
        <v>10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Y8*Source!I30</f>
        <v>2.6000000000000003E-3</v>
      </c>
      <c r="CY8">
        <f>AA8</f>
        <v>15.93</v>
      </c>
      <c r="CZ8">
        <f>AE8</f>
        <v>2.44</v>
      </c>
      <c r="DA8">
        <f>AI8</f>
        <v>6.53</v>
      </c>
      <c r="DB8">
        <v>0</v>
      </c>
    </row>
    <row r="9" spans="1:106" x14ac:dyDescent="0.2">
      <c r="A9">
        <f>ROW(Source!A30)</f>
        <v>30</v>
      </c>
      <c r="B9">
        <v>39099382</v>
      </c>
      <c r="C9">
        <v>39100112</v>
      </c>
      <c r="D9">
        <v>36806488</v>
      </c>
      <c r="E9">
        <v>1</v>
      </c>
      <c r="F9">
        <v>1</v>
      </c>
      <c r="G9">
        <v>1</v>
      </c>
      <c r="H9">
        <v>3</v>
      </c>
      <c r="I9" t="s">
        <v>653</v>
      </c>
      <c r="J9" t="s">
        <v>654</v>
      </c>
      <c r="K9" t="s">
        <v>655</v>
      </c>
      <c r="L9">
        <v>1348</v>
      </c>
      <c r="N9">
        <v>1009</v>
      </c>
      <c r="O9" t="s">
        <v>189</v>
      </c>
      <c r="P9" t="s">
        <v>189</v>
      </c>
      <c r="Q9">
        <v>1000</v>
      </c>
      <c r="W9">
        <v>0</v>
      </c>
      <c r="X9">
        <v>-1421715385</v>
      </c>
      <c r="Y9">
        <v>0.05</v>
      </c>
      <c r="AA9">
        <v>4766.7700000000004</v>
      </c>
      <c r="AB9">
        <v>0</v>
      </c>
      <c r="AC9">
        <v>0</v>
      </c>
      <c r="AD9">
        <v>0</v>
      </c>
      <c r="AE9">
        <v>729.98</v>
      </c>
      <c r="AF9">
        <v>0</v>
      </c>
      <c r="AG9">
        <v>0</v>
      </c>
      <c r="AH9">
        <v>0</v>
      </c>
      <c r="AI9">
        <v>6.53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3</v>
      </c>
      <c r="AT9">
        <v>0.05</v>
      </c>
      <c r="AU9" t="s">
        <v>3</v>
      </c>
      <c r="AV9">
        <v>0</v>
      </c>
      <c r="AW9">
        <v>2</v>
      </c>
      <c r="AX9">
        <v>39100124</v>
      </c>
      <c r="AY9">
        <v>1</v>
      </c>
      <c r="AZ9">
        <v>0</v>
      </c>
      <c r="BA9">
        <v>12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Y9*Source!I30</f>
        <v>6.5000000000000006E-3</v>
      </c>
      <c r="CY9">
        <f>AA9</f>
        <v>4766.7700000000004</v>
      </c>
      <c r="CZ9">
        <f>AE9</f>
        <v>729.98</v>
      </c>
      <c r="DA9">
        <f>AI9</f>
        <v>6.53</v>
      </c>
      <c r="DB9">
        <v>0</v>
      </c>
    </row>
    <row r="10" spans="1:106" x14ac:dyDescent="0.2">
      <c r="A10">
        <f>ROW(Source!A30)</f>
        <v>30</v>
      </c>
      <c r="B10">
        <v>39099382</v>
      </c>
      <c r="C10">
        <v>39100112</v>
      </c>
      <c r="D10">
        <v>36849905</v>
      </c>
      <c r="E10">
        <v>1</v>
      </c>
      <c r="F10">
        <v>1</v>
      </c>
      <c r="G10">
        <v>1</v>
      </c>
      <c r="H10">
        <v>3</v>
      </c>
      <c r="I10" t="s">
        <v>35</v>
      </c>
      <c r="J10" t="s">
        <v>38</v>
      </c>
      <c r="K10" t="s">
        <v>36</v>
      </c>
      <c r="L10">
        <v>1354</v>
      </c>
      <c r="N10">
        <v>1010</v>
      </c>
      <c r="O10" t="s">
        <v>37</v>
      </c>
      <c r="P10" t="s">
        <v>37</v>
      </c>
      <c r="Q10">
        <v>1</v>
      </c>
      <c r="W10">
        <v>0</v>
      </c>
      <c r="X10">
        <v>128350836</v>
      </c>
      <c r="Y10">
        <v>100</v>
      </c>
      <c r="AA10">
        <v>6244.57</v>
      </c>
      <c r="AB10">
        <v>0</v>
      </c>
      <c r="AC10">
        <v>0</v>
      </c>
      <c r="AD10">
        <v>0</v>
      </c>
      <c r="AE10">
        <v>956.29</v>
      </c>
      <c r="AF10">
        <v>0</v>
      </c>
      <c r="AG10">
        <v>0</v>
      </c>
      <c r="AH10">
        <v>0</v>
      </c>
      <c r="AI10">
        <v>6.53</v>
      </c>
      <c r="AJ10">
        <v>1</v>
      </c>
      <c r="AK10">
        <v>1</v>
      </c>
      <c r="AL10">
        <v>1</v>
      </c>
      <c r="AN10">
        <v>0</v>
      </c>
      <c r="AO10">
        <v>0</v>
      </c>
      <c r="AP10">
        <v>0</v>
      </c>
      <c r="AQ10">
        <v>0</v>
      </c>
      <c r="AR10">
        <v>0</v>
      </c>
      <c r="AS10" t="s">
        <v>3</v>
      </c>
      <c r="AT10">
        <v>100</v>
      </c>
      <c r="AU10" t="s">
        <v>3</v>
      </c>
      <c r="AV10">
        <v>0</v>
      </c>
      <c r="AW10">
        <v>1</v>
      </c>
      <c r="AX10">
        <v>-1</v>
      </c>
      <c r="AY10">
        <v>0</v>
      </c>
      <c r="AZ10">
        <v>0</v>
      </c>
      <c r="BA10" t="s">
        <v>3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Y10*Source!I30</f>
        <v>13</v>
      </c>
      <c r="CY10">
        <f>AA10</f>
        <v>6244.57</v>
      </c>
      <c r="CZ10">
        <f>AE10</f>
        <v>956.29</v>
      </c>
      <c r="DA10">
        <f>AI10</f>
        <v>6.53</v>
      </c>
      <c r="DB10">
        <v>0</v>
      </c>
    </row>
    <row r="11" spans="1:106" x14ac:dyDescent="0.2">
      <c r="A11">
        <f>ROW(Source!A32)</f>
        <v>32</v>
      </c>
      <c r="B11">
        <v>39099382</v>
      </c>
      <c r="C11">
        <v>39100127</v>
      </c>
      <c r="D11">
        <v>37064998</v>
      </c>
      <c r="E11">
        <v>1</v>
      </c>
      <c r="F11">
        <v>1</v>
      </c>
      <c r="G11">
        <v>1</v>
      </c>
      <c r="H11">
        <v>1</v>
      </c>
      <c r="I11" t="s">
        <v>639</v>
      </c>
      <c r="J11" t="s">
        <v>3</v>
      </c>
      <c r="K11" t="s">
        <v>640</v>
      </c>
      <c r="L11">
        <v>1191</v>
      </c>
      <c r="N11">
        <v>1013</v>
      </c>
      <c r="O11" t="s">
        <v>641</v>
      </c>
      <c r="P11" t="s">
        <v>641</v>
      </c>
      <c r="Q11">
        <v>1</v>
      </c>
      <c r="W11">
        <v>0</v>
      </c>
      <c r="X11">
        <v>735429535</v>
      </c>
      <c r="Y11">
        <v>22.82</v>
      </c>
      <c r="AA11">
        <v>0</v>
      </c>
      <c r="AB11">
        <v>0</v>
      </c>
      <c r="AC11">
        <v>0</v>
      </c>
      <c r="AD11">
        <v>50.93</v>
      </c>
      <c r="AE11">
        <v>0</v>
      </c>
      <c r="AF11">
        <v>0</v>
      </c>
      <c r="AG11">
        <v>0</v>
      </c>
      <c r="AH11">
        <v>7.8</v>
      </c>
      <c r="AI11">
        <v>1</v>
      </c>
      <c r="AJ11">
        <v>1</v>
      </c>
      <c r="AK11">
        <v>1</v>
      </c>
      <c r="AL11">
        <v>6.53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22.82</v>
      </c>
      <c r="AU11" t="s">
        <v>3</v>
      </c>
      <c r="AV11">
        <v>1</v>
      </c>
      <c r="AW11">
        <v>2</v>
      </c>
      <c r="AX11">
        <v>39100129</v>
      </c>
      <c r="AY11">
        <v>1</v>
      </c>
      <c r="AZ11">
        <v>0</v>
      </c>
      <c r="BA11">
        <v>14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Y11*Source!I32</f>
        <v>35.291130000000003</v>
      </c>
      <c r="CY11">
        <f>AD11</f>
        <v>50.93</v>
      </c>
      <c r="CZ11">
        <f>AH11</f>
        <v>7.8</v>
      </c>
      <c r="DA11">
        <f>AL11</f>
        <v>6.53</v>
      </c>
      <c r="DB11">
        <v>0</v>
      </c>
    </row>
    <row r="12" spans="1:106" x14ac:dyDescent="0.2">
      <c r="A12">
        <f>ROW(Source!A33)</f>
        <v>33</v>
      </c>
      <c r="B12">
        <v>39099382</v>
      </c>
      <c r="C12">
        <v>39100151</v>
      </c>
      <c r="D12">
        <v>37065248</v>
      </c>
      <c r="E12">
        <v>1</v>
      </c>
      <c r="F12">
        <v>1</v>
      </c>
      <c r="G12">
        <v>1</v>
      </c>
      <c r="H12">
        <v>1</v>
      </c>
      <c r="I12" t="s">
        <v>648</v>
      </c>
      <c r="J12" t="s">
        <v>3</v>
      </c>
      <c r="K12" t="s">
        <v>649</v>
      </c>
      <c r="L12">
        <v>1191</v>
      </c>
      <c r="N12">
        <v>1013</v>
      </c>
      <c r="O12" t="s">
        <v>641</v>
      </c>
      <c r="P12" t="s">
        <v>641</v>
      </c>
      <c r="Q12">
        <v>1</v>
      </c>
      <c r="W12">
        <v>0</v>
      </c>
      <c r="X12">
        <v>-400197608</v>
      </c>
      <c r="Y12">
        <v>124.23</v>
      </c>
      <c r="AA12">
        <v>0</v>
      </c>
      <c r="AB12">
        <v>0</v>
      </c>
      <c r="AC12">
        <v>0</v>
      </c>
      <c r="AD12">
        <v>55.7</v>
      </c>
      <c r="AE12">
        <v>0</v>
      </c>
      <c r="AF12">
        <v>0</v>
      </c>
      <c r="AG12">
        <v>0</v>
      </c>
      <c r="AH12">
        <v>8.5299999999999994</v>
      </c>
      <c r="AI12">
        <v>1</v>
      </c>
      <c r="AJ12">
        <v>1</v>
      </c>
      <c r="AK12">
        <v>1</v>
      </c>
      <c r="AL12">
        <v>6.53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3</v>
      </c>
      <c r="AT12">
        <v>124.23</v>
      </c>
      <c r="AU12" t="s">
        <v>3</v>
      </c>
      <c r="AV12">
        <v>1</v>
      </c>
      <c r="AW12">
        <v>2</v>
      </c>
      <c r="AX12">
        <v>39100158</v>
      </c>
      <c r="AY12">
        <v>1</v>
      </c>
      <c r="AZ12">
        <v>0</v>
      </c>
      <c r="BA12">
        <v>15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Y12*Source!I33</f>
        <v>53.418900000000001</v>
      </c>
      <c r="CY12">
        <f>AD12</f>
        <v>55.7</v>
      </c>
      <c r="CZ12">
        <f>AH12</f>
        <v>8.5299999999999994</v>
      </c>
      <c r="DA12">
        <f>AL12</f>
        <v>6.53</v>
      </c>
      <c r="DB12">
        <v>0</v>
      </c>
    </row>
    <row r="13" spans="1:106" x14ac:dyDescent="0.2">
      <c r="A13">
        <f>ROW(Source!A33)</f>
        <v>33</v>
      </c>
      <c r="B13">
        <v>39099382</v>
      </c>
      <c r="C13">
        <v>39100151</v>
      </c>
      <c r="D13">
        <v>36883883</v>
      </c>
      <c r="E13">
        <v>1</v>
      </c>
      <c r="F13">
        <v>1</v>
      </c>
      <c r="G13">
        <v>1</v>
      </c>
      <c r="H13">
        <v>2</v>
      </c>
      <c r="I13" t="s">
        <v>656</v>
      </c>
      <c r="J13" t="s">
        <v>657</v>
      </c>
      <c r="K13" t="s">
        <v>658</v>
      </c>
      <c r="L13">
        <v>1368</v>
      </c>
      <c r="N13">
        <v>1011</v>
      </c>
      <c r="O13" t="s">
        <v>647</v>
      </c>
      <c r="P13" t="s">
        <v>647</v>
      </c>
      <c r="Q13">
        <v>1</v>
      </c>
      <c r="W13">
        <v>0</v>
      </c>
      <c r="X13">
        <v>-2111251057</v>
      </c>
      <c r="Y13">
        <v>1.38</v>
      </c>
      <c r="AA13">
        <v>0</v>
      </c>
      <c r="AB13">
        <v>212.23</v>
      </c>
      <c r="AC13">
        <v>0</v>
      </c>
      <c r="AD13">
        <v>0</v>
      </c>
      <c r="AE13">
        <v>0</v>
      </c>
      <c r="AF13">
        <v>32.5</v>
      </c>
      <c r="AG13">
        <v>0</v>
      </c>
      <c r="AH13">
        <v>0</v>
      </c>
      <c r="AI13">
        <v>1</v>
      </c>
      <c r="AJ13">
        <v>6.53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3</v>
      </c>
      <c r="AT13">
        <v>1.38</v>
      </c>
      <c r="AU13" t="s">
        <v>3</v>
      </c>
      <c r="AV13">
        <v>0</v>
      </c>
      <c r="AW13">
        <v>2</v>
      </c>
      <c r="AX13">
        <v>39100159</v>
      </c>
      <c r="AY13">
        <v>1</v>
      </c>
      <c r="AZ13">
        <v>0</v>
      </c>
      <c r="BA13">
        <v>16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Y13*Source!I33</f>
        <v>0.59339999999999993</v>
      </c>
      <c r="CY13">
        <f>AB13</f>
        <v>212.23</v>
      </c>
      <c r="CZ13">
        <f>AF13</f>
        <v>32.5</v>
      </c>
      <c r="DA13">
        <f>AJ13</f>
        <v>6.53</v>
      </c>
      <c r="DB13">
        <v>0</v>
      </c>
    </row>
    <row r="14" spans="1:106" x14ac:dyDescent="0.2">
      <c r="A14">
        <f>ROW(Source!A33)</f>
        <v>33</v>
      </c>
      <c r="B14">
        <v>39099382</v>
      </c>
      <c r="C14">
        <v>39100151</v>
      </c>
      <c r="D14">
        <v>36884481</v>
      </c>
      <c r="E14">
        <v>1</v>
      </c>
      <c r="F14">
        <v>1</v>
      </c>
      <c r="G14">
        <v>1</v>
      </c>
      <c r="H14">
        <v>2</v>
      </c>
      <c r="I14" t="s">
        <v>659</v>
      </c>
      <c r="J14" t="s">
        <v>660</v>
      </c>
      <c r="K14" t="s">
        <v>661</v>
      </c>
      <c r="L14">
        <v>1368</v>
      </c>
      <c r="N14">
        <v>1011</v>
      </c>
      <c r="O14" t="s">
        <v>647</v>
      </c>
      <c r="P14" t="s">
        <v>647</v>
      </c>
      <c r="Q14">
        <v>1</v>
      </c>
      <c r="W14">
        <v>0</v>
      </c>
      <c r="X14">
        <v>1518765163</v>
      </c>
      <c r="Y14">
        <v>1.38</v>
      </c>
      <c r="AA14">
        <v>0</v>
      </c>
      <c r="AB14">
        <v>9.99</v>
      </c>
      <c r="AC14">
        <v>0</v>
      </c>
      <c r="AD14">
        <v>0</v>
      </c>
      <c r="AE14">
        <v>0</v>
      </c>
      <c r="AF14">
        <v>1.53</v>
      </c>
      <c r="AG14">
        <v>0</v>
      </c>
      <c r="AH14">
        <v>0</v>
      </c>
      <c r="AI14">
        <v>1</v>
      </c>
      <c r="AJ14">
        <v>6.53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3</v>
      </c>
      <c r="AT14">
        <v>1.38</v>
      </c>
      <c r="AU14" t="s">
        <v>3</v>
      </c>
      <c r="AV14">
        <v>0</v>
      </c>
      <c r="AW14">
        <v>2</v>
      </c>
      <c r="AX14">
        <v>39100160</v>
      </c>
      <c r="AY14">
        <v>1</v>
      </c>
      <c r="AZ14">
        <v>0</v>
      </c>
      <c r="BA14">
        <v>17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Y14*Source!I33</f>
        <v>0.59339999999999993</v>
      </c>
      <c r="CY14">
        <f>AB14</f>
        <v>9.99</v>
      </c>
      <c r="CZ14">
        <f>AF14</f>
        <v>1.53</v>
      </c>
      <c r="DA14">
        <f>AJ14</f>
        <v>6.53</v>
      </c>
      <c r="DB14">
        <v>0</v>
      </c>
    </row>
    <row r="15" spans="1:106" x14ac:dyDescent="0.2">
      <c r="A15">
        <f>ROW(Source!A33)</f>
        <v>33</v>
      </c>
      <c r="B15">
        <v>39099382</v>
      </c>
      <c r="C15">
        <v>39100151</v>
      </c>
      <c r="D15">
        <v>36801792</v>
      </c>
      <c r="E15">
        <v>1</v>
      </c>
      <c r="F15">
        <v>1</v>
      </c>
      <c r="G15">
        <v>1</v>
      </c>
      <c r="H15">
        <v>3</v>
      </c>
      <c r="I15" t="s">
        <v>650</v>
      </c>
      <c r="J15" t="s">
        <v>651</v>
      </c>
      <c r="K15" t="s">
        <v>652</v>
      </c>
      <c r="L15">
        <v>1339</v>
      </c>
      <c r="N15">
        <v>1007</v>
      </c>
      <c r="O15" t="s">
        <v>56</v>
      </c>
      <c r="P15" t="s">
        <v>56</v>
      </c>
      <c r="Q15">
        <v>1</v>
      </c>
      <c r="W15">
        <v>0</v>
      </c>
      <c r="X15">
        <v>-1660354250</v>
      </c>
      <c r="Y15">
        <v>0.1</v>
      </c>
      <c r="AA15">
        <v>15.93</v>
      </c>
      <c r="AB15">
        <v>0</v>
      </c>
      <c r="AC15">
        <v>0</v>
      </c>
      <c r="AD15">
        <v>0</v>
      </c>
      <c r="AE15">
        <v>2.44</v>
      </c>
      <c r="AF15">
        <v>0</v>
      </c>
      <c r="AG15">
        <v>0</v>
      </c>
      <c r="AH15">
        <v>0</v>
      </c>
      <c r="AI15">
        <v>6.53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3</v>
      </c>
      <c r="AT15">
        <v>0.1</v>
      </c>
      <c r="AU15" t="s">
        <v>3</v>
      </c>
      <c r="AV15">
        <v>0</v>
      </c>
      <c r="AW15">
        <v>2</v>
      </c>
      <c r="AX15">
        <v>39100161</v>
      </c>
      <c r="AY15">
        <v>1</v>
      </c>
      <c r="AZ15">
        <v>0</v>
      </c>
      <c r="BA15">
        <v>18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Y15*Source!I33</f>
        <v>4.3000000000000003E-2</v>
      </c>
      <c r="CY15">
        <f>AA15</f>
        <v>15.93</v>
      </c>
      <c r="CZ15">
        <f>AE15</f>
        <v>2.44</v>
      </c>
      <c r="DA15">
        <f>AI15</f>
        <v>6.53</v>
      </c>
      <c r="DB15">
        <v>0</v>
      </c>
    </row>
    <row r="16" spans="1:106" x14ac:dyDescent="0.2">
      <c r="A16">
        <f>ROW(Source!A33)</f>
        <v>33</v>
      </c>
      <c r="B16">
        <v>39099382</v>
      </c>
      <c r="C16">
        <v>39100151</v>
      </c>
      <c r="D16">
        <v>36796210</v>
      </c>
      <c r="E16">
        <v>17</v>
      </c>
      <c r="F16">
        <v>1</v>
      </c>
      <c r="G16">
        <v>1</v>
      </c>
      <c r="H16">
        <v>3</v>
      </c>
      <c r="I16" t="s">
        <v>54</v>
      </c>
      <c r="J16" t="s">
        <v>3</v>
      </c>
      <c r="K16" t="s">
        <v>55</v>
      </c>
      <c r="L16">
        <v>1339</v>
      </c>
      <c r="N16">
        <v>1007</v>
      </c>
      <c r="O16" t="s">
        <v>56</v>
      </c>
      <c r="P16" t="s">
        <v>56</v>
      </c>
      <c r="Q16">
        <v>1</v>
      </c>
      <c r="W16">
        <v>0</v>
      </c>
      <c r="X16">
        <v>-2113302258</v>
      </c>
      <c r="Y16">
        <v>2.14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6.53</v>
      </c>
      <c r="AJ16">
        <v>1</v>
      </c>
      <c r="AK16">
        <v>1</v>
      </c>
      <c r="AL16">
        <v>1</v>
      </c>
      <c r="AN16">
        <v>0</v>
      </c>
      <c r="AO16">
        <v>0</v>
      </c>
      <c r="AP16">
        <v>0</v>
      </c>
      <c r="AQ16">
        <v>0</v>
      </c>
      <c r="AR16">
        <v>0</v>
      </c>
      <c r="AS16" t="s">
        <v>3</v>
      </c>
      <c r="AT16">
        <v>2.14</v>
      </c>
      <c r="AU16" t="s">
        <v>3</v>
      </c>
      <c r="AV16">
        <v>0</v>
      </c>
      <c r="AW16">
        <v>2</v>
      </c>
      <c r="AX16">
        <v>39100164</v>
      </c>
      <c r="AY16">
        <v>1</v>
      </c>
      <c r="AZ16">
        <v>0</v>
      </c>
      <c r="BA16">
        <v>21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Y16*Source!I33</f>
        <v>0.92020000000000002</v>
      </c>
      <c r="CY16">
        <f>AA16</f>
        <v>0</v>
      </c>
      <c r="CZ16">
        <f>AE16</f>
        <v>0</v>
      </c>
      <c r="DA16">
        <f>AI16</f>
        <v>6.53</v>
      </c>
      <c r="DB16">
        <v>0</v>
      </c>
    </row>
    <row r="17" spans="1:106" x14ac:dyDescent="0.2">
      <c r="A17">
        <f>ROW(Source!A33)</f>
        <v>33</v>
      </c>
      <c r="B17">
        <v>39099382</v>
      </c>
      <c r="C17">
        <v>39100151</v>
      </c>
      <c r="D17">
        <v>36807343</v>
      </c>
      <c r="E17">
        <v>1</v>
      </c>
      <c r="F17">
        <v>1</v>
      </c>
      <c r="G17">
        <v>1</v>
      </c>
      <c r="H17">
        <v>3</v>
      </c>
      <c r="I17" t="s">
        <v>58</v>
      </c>
      <c r="J17" t="s">
        <v>60</v>
      </c>
      <c r="K17" t="s">
        <v>59</v>
      </c>
      <c r="L17">
        <v>1339</v>
      </c>
      <c r="N17">
        <v>1007</v>
      </c>
      <c r="O17" t="s">
        <v>56</v>
      </c>
      <c r="P17" t="s">
        <v>56</v>
      </c>
      <c r="Q17">
        <v>1</v>
      </c>
      <c r="W17">
        <v>0</v>
      </c>
      <c r="X17">
        <v>-1970722706</v>
      </c>
      <c r="Y17">
        <v>2.14</v>
      </c>
      <c r="AA17">
        <v>3580.4</v>
      </c>
      <c r="AB17">
        <v>0</v>
      </c>
      <c r="AC17">
        <v>0</v>
      </c>
      <c r="AD17">
        <v>0</v>
      </c>
      <c r="AE17">
        <v>548.29999999999995</v>
      </c>
      <c r="AF17">
        <v>0</v>
      </c>
      <c r="AG17">
        <v>0</v>
      </c>
      <c r="AH17">
        <v>0</v>
      </c>
      <c r="AI17">
        <v>6.53</v>
      </c>
      <c r="AJ17">
        <v>1</v>
      </c>
      <c r="AK17">
        <v>1</v>
      </c>
      <c r="AL17">
        <v>1</v>
      </c>
      <c r="AN17">
        <v>0</v>
      </c>
      <c r="AO17">
        <v>0</v>
      </c>
      <c r="AP17">
        <v>0</v>
      </c>
      <c r="AQ17">
        <v>0</v>
      </c>
      <c r="AR17">
        <v>0</v>
      </c>
      <c r="AS17" t="s">
        <v>3</v>
      </c>
      <c r="AT17">
        <v>2.14</v>
      </c>
      <c r="AU17" t="s">
        <v>3</v>
      </c>
      <c r="AV17">
        <v>0</v>
      </c>
      <c r="AW17">
        <v>1</v>
      </c>
      <c r="AX17">
        <v>-1</v>
      </c>
      <c r="AY17">
        <v>0</v>
      </c>
      <c r="AZ17">
        <v>0</v>
      </c>
      <c r="BA17" t="s">
        <v>3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Y17*Source!I33</f>
        <v>0.92020000000000002</v>
      </c>
      <c r="CY17">
        <f>AA17</f>
        <v>3580.4</v>
      </c>
      <c r="CZ17">
        <f>AE17</f>
        <v>548.29999999999995</v>
      </c>
      <c r="DA17">
        <f>AI17</f>
        <v>6.53</v>
      </c>
      <c r="DB17">
        <v>0</v>
      </c>
    </row>
    <row r="18" spans="1:106" x14ac:dyDescent="0.2">
      <c r="A18">
        <f>ROW(Source!A36)</f>
        <v>36</v>
      </c>
      <c r="B18">
        <v>39099382</v>
      </c>
      <c r="C18">
        <v>39100167</v>
      </c>
      <c r="D18">
        <v>37065248</v>
      </c>
      <c r="E18">
        <v>1</v>
      </c>
      <c r="F18">
        <v>1</v>
      </c>
      <c r="G18">
        <v>1</v>
      </c>
      <c r="H18">
        <v>1</v>
      </c>
      <c r="I18" t="s">
        <v>648</v>
      </c>
      <c r="J18" t="s">
        <v>3</v>
      </c>
      <c r="K18" t="s">
        <v>649</v>
      </c>
      <c r="L18">
        <v>1191</v>
      </c>
      <c r="N18">
        <v>1013</v>
      </c>
      <c r="O18" t="s">
        <v>641</v>
      </c>
      <c r="P18" t="s">
        <v>641</v>
      </c>
      <c r="Q18">
        <v>1</v>
      </c>
      <c r="W18">
        <v>0</v>
      </c>
      <c r="X18">
        <v>-400197608</v>
      </c>
      <c r="Y18">
        <v>43.320499999999996</v>
      </c>
      <c r="AA18">
        <v>0</v>
      </c>
      <c r="AB18">
        <v>0</v>
      </c>
      <c r="AC18">
        <v>0</v>
      </c>
      <c r="AD18">
        <v>55.7</v>
      </c>
      <c r="AE18">
        <v>0</v>
      </c>
      <c r="AF18">
        <v>0</v>
      </c>
      <c r="AG18">
        <v>0</v>
      </c>
      <c r="AH18">
        <v>8.5299999999999994</v>
      </c>
      <c r="AI18">
        <v>1</v>
      </c>
      <c r="AJ18">
        <v>1</v>
      </c>
      <c r="AK18">
        <v>1</v>
      </c>
      <c r="AL18">
        <v>6.53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3</v>
      </c>
      <c r="AT18">
        <v>37.67</v>
      </c>
      <c r="AU18" t="s">
        <v>66</v>
      </c>
      <c r="AV18">
        <v>1</v>
      </c>
      <c r="AW18">
        <v>2</v>
      </c>
      <c r="AX18">
        <v>39100175</v>
      </c>
      <c r="AY18">
        <v>1</v>
      </c>
      <c r="AZ18">
        <v>0</v>
      </c>
      <c r="BA18">
        <v>22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Y18*Source!I36</f>
        <v>120.99415649999999</v>
      </c>
      <c r="CY18">
        <f>AD18</f>
        <v>55.7</v>
      </c>
      <c r="CZ18">
        <f>AH18</f>
        <v>8.5299999999999994</v>
      </c>
      <c r="DA18">
        <f>AL18</f>
        <v>6.53</v>
      </c>
      <c r="DB18">
        <v>0</v>
      </c>
    </row>
    <row r="19" spans="1:106" x14ac:dyDescent="0.2">
      <c r="A19">
        <f>ROW(Source!A36)</f>
        <v>36</v>
      </c>
      <c r="B19">
        <v>39099382</v>
      </c>
      <c r="C19">
        <v>39100167</v>
      </c>
      <c r="D19">
        <v>37064876</v>
      </c>
      <c r="E19">
        <v>1</v>
      </c>
      <c r="F19">
        <v>1</v>
      </c>
      <c r="G19">
        <v>1</v>
      </c>
      <c r="H19">
        <v>1</v>
      </c>
      <c r="I19" t="s">
        <v>642</v>
      </c>
      <c r="J19" t="s">
        <v>3</v>
      </c>
      <c r="K19" t="s">
        <v>643</v>
      </c>
      <c r="L19">
        <v>1191</v>
      </c>
      <c r="N19">
        <v>1013</v>
      </c>
      <c r="O19" t="s">
        <v>641</v>
      </c>
      <c r="P19" t="s">
        <v>641</v>
      </c>
      <c r="Q19">
        <v>1</v>
      </c>
      <c r="W19">
        <v>0</v>
      </c>
      <c r="X19">
        <v>-1417349443</v>
      </c>
      <c r="Y19">
        <v>0.17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1</v>
      </c>
      <c r="AK19">
        <v>6.53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3</v>
      </c>
      <c r="AT19">
        <v>0.17</v>
      </c>
      <c r="AU19" t="s">
        <v>3</v>
      </c>
      <c r="AV19">
        <v>2</v>
      </c>
      <c r="AW19">
        <v>2</v>
      </c>
      <c r="AX19">
        <v>39100176</v>
      </c>
      <c r="AY19">
        <v>1</v>
      </c>
      <c r="AZ19">
        <v>2048</v>
      </c>
      <c r="BA19">
        <v>23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Y19*Source!I36</f>
        <v>0.47481000000000007</v>
      </c>
      <c r="CY19">
        <f>AD19</f>
        <v>0</v>
      </c>
      <c r="CZ19">
        <f>AH19</f>
        <v>0</v>
      </c>
      <c r="DA19">
        <f>AL19</f>
        <v>1</v>
      </c>
      <c r="DB19">
        <v>0</v>
      </c>
    </row>
    <row r="20" spans="1:106" x14ac:dyDescent="0.2">
      <c r="A20">
        <f>ROW(Source!A36)</f>
        <v>36</v>
      </c>
      <c r="B20">
        <v>39099382</v>
      </c>
      <c r="C20">
        <v>39100167</v>
      </c>
      <c r="D20">
        <v>36882448</v>
      </c>
      <c r="E20">
        <v>1</v>
      </c>
      <c r="F20">
        <v>1</v>
      </c>
      <c r="G20">
        <v>1</v>
      </c>
      <c r="H20">
        <v>2</v>
      </c>
      <c r="I20" t="s">
        <v>662</v>
      </c>
      <c r="J20" t="s">
        <v>663</v>
      </c>
      <c r="K20" t="s">
        <v>664</v>
      </c>
      <c r="L20">
        <v>1368</v>
      </c>
      <c r="N20">
        <v>1011</v>
      </c>
      <c r="O20" t="s">
        <v>647</v>
      </c>
      <c r="P20" t="s">
        <v>647</v>
      </c>
      <c r="Q20">
        <v>1</v>
      </c>
      <c r="W20">
        <v>0</v>
      </c>
      <c r="X20">
        <v>368031958</v>
      </c>
      <c r="Y20">
        <v>0.16250000000000001</v>
      </c>
      <c r="AA20">
        <v>0</v>
      </c>
      <c r="AB20">
        <v>180.62</v>
      </c>
      <c r="AC20">
        <v>11.6</v>
      </c>
      <c r="AD20">
        <v>0</v>
      </c>
      <c r="AE20">
        <v>0</v>
      </c>
      <c r="AF20">
        <v>27.66</v>
      </c>
      <c r="AG20">
        <v>11.6</v>
      </c>
      <c r="AH20">
        <v>0</v>
      </c>
      <c r="AI20">
        <v>1</v>
      </c>
      <c r="AJ20">
        <v>6.53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3</v>
      </c>
      <c r="AT20">
        <v>0.13</v>
      </c>
      <c r="AU20" t="s">
        <v>65</v>
      </c>
      <c r="AV20">
        <v>0</v>
      </c>
      <c r="AW20">
        <v>2</v>
      </c>
      <c r="AX20">
        <v>39100177</v>
      </c>
      <c r="AY20">
        <v>1</v>
      </c>
      <c r="AZ20">
        <v>0</v>
      </c>
      <c r="BA20">
        <v>24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Y20*Source!I36</f>
        <v>0.45386250000000006</v>
      </c>
      <c r="CY20">
        <f>AB20</f>
        <v>180.62</v>
      </c>
      <c r="CZ20">
        <f>AF20</f>
        <v>27.66</v>
      </c>
      <c r="DA20">
        <f>AJ20</f>
        <v>6.53</v>
      </c>
      <c r="DB20">
        <v>0</v>
      </c>
    </row>
    <row r="21" spans="1:106" x14ac:dyDescent="0.2">
      <c r="A21">
        <f>ROW(Source!A36)</f>
        <v>36</v>
      </c>
      <c r="B21">
        <v>39099382</v>
      </c>
      <c r="C21">
        <v>39100167</v>
      </c>
      <c r="D21">
        <v>36883554</v>
      </c>
      <c r="E21">
        <v>1</v>
      </c>
      <c r="F21">
        <v>1</v>
      </c>
      <c r="G21">
        <v>1</v>
      </c>
      <c r="H21">
        <v>2</v>
      </c>
      <c r="I21" t="s">
        <v>665</v>
      </c>
      <c r="J21" t="s">
        <v>666</v>
      </c>
      <c r="K21" t="s">
        <v>667</v>
      </c>
      <c r="L21">
        <v>1368</v>
      </c>
      <c r="N21">
        <v>1011</v>
      </c>
      <c r="O21" t="s">
        <v>647</v>
      </c>
      <c r="P21" t="s">
        <v>647</v>
      </c>
      <c r="Q21">
        <v>1</v>
      </c>
      <c r="W21">
        <v>0</v>
      </c>
      <c r="X21">
        <v>1372534845</v>
      </c>
      <c r="Y21">
        <v>0.05</v>
      </c>
      <c r="AA21">
        <v>0</v>
      </c>
      <c r="AB21">
        <v>429.09</v>
      </c>
      <c r="AC21">
        <v>11.6</v>
      </c>
      <c r="AD21">
        <v>0</v>
      </c>
      <c r="AE21">
        <v>0</v>
      </c>
      <c r="AF21">
        <v>65.709999999999994</v>
      </c>
      <c r="AG21">
        <v>11.6</v>
      </c>
      <c r="AH21">
        <v>0</v>
      </c>
      <c r="AI21">
        <v>1</v>
      </c>
      <c r="AJ21">
        <v>6.53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3</v>
      </c>
      <c r="AT21">
        <v>0.04</v>
      </c>
      <c r="AU21" t="s">
        <v>65</v>
      </c>
      <c r="AV21">
        <v>0</v>
      </c>
      <c r="AW21">
        <v>2</v>
      </c>
      <c r="AX21">
        <v>39100178</v>
      </c>
      <c r="AY21">
        <v>1</v>
      </c>
      <c r="AZ21">
        <v>0</v>
      </c>
      <c r="BA21">
        <v>25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Y21*Source!I36</f>
        <v>0.13965000000000002</v>
      </c>
      <c r="CY21">
        <f>AB21</f>
        <v>429.09</v>
      </c>
      <c r="CZ21">
        <f>AF21</f>
        <v>65.709999999999994</v>
      </c>
      <c r="DA21">
        <f>AJ21</f>
        <v>6.53</v>
      </c>
      <c r="DB21">
        <v>0</v>
      </c>
    </row>
    <row r="22" spans="1:106" x14ac:dyDescent="0.2">
      <c r="A22">
        <f>ROW(Source!A36)</f>
        <v>36</v>
      </c>
      <c r="B22">
        <v>39099382</v>
      </c>
      <c r="C22">
        <v>39100167</v>
      </c>
      <c r="D22">
        <v>36801792</v>
      </c>
      <c r="E22">
        <v>1</v>
      </c>
      <c r="F22">
        <v>1</v>
      </c>
      <c r="G22">
        <v>1</v>
      </c>
      <c r="H22">
        <v>3</v>
      </c>
      <c r="I22" t="s">
        <v>650</v>
      </c>
      <c r="J22" t="s">
        <v>651</v>
      </c>
      <c r="K22" t="s">
        <v>652</v>
      </c>
      <c r="L22">
        <v>1339</v>
      </c>
      <c r="N22">
        <v>1007</v>
      </c>
      <c r="O22" t="s">
        <v>56</v>
      </c>
      <c r="P22" t="s">
        <v>56</v>
      </c>
      <c r="Q22">
        <v>1</v>
      </c>
      <c r="W22">
        <v>0</v>
      </c>
      <c r="X22">
        <v>-1660354250</v>
      </c>
      <c r="Y22">
        <v>0.17399999999999999</v>
      </c>
      <c r="AA22">
        <v>15.93</v>
      </c>
      <c r="AB22">
        <v>0</v>
      </c>
      <c r="AC22">
        <v>0</v>
      </c>
      <c r="AD22">
        <v>0</v>
      </c>
      <c r="AE22">
        <v>2.44</v>
      </c>
      <c r="AF22">
        <v>0</v>
      </c>
      <c r="AG22">
        <v>0</v>
      </c>
      <c r="AH22">
        <v>0</v>
      </c>
      <c r="AI22">
        <v>6.53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3</v>
      </c>
      <c r="AT22">
        <v>0.17399999999999999</v>
      </c>
      <c r="AU22" t="s">
        <v>3</v>
      </c>
      <c r="AV22">
        <v>0</v>
      </c>
      <c r="AW22">
        <v>2</v>
      </c>
      <c r="AX22">
        <v>39100179</v>
      </c>
      <c r="AY22">
        <v>1</v>
      </c>
      <c r="AZ22">
        <v>0</v>
      </c>
      <c r="BA22">
        <v>26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Y22*Source!I36</f>
        <v>0.48598199999999997</v>
      </c>
      <c r="CY22">
        <f>AA22</f>
        <v>15.93</v>
      </c>
      <c r="CZ22">
        <f>AE22</f>
        <v>2.44</v>
      </c>
      <c r="DA22">
        <f>AI22</f>
        <v>6.53</v>
      </c>
      <c r="DB22">
        <v>0</v>
      </c>
    </row>
    <row r="23" spans="1:106" x14ac:dyDescent="0.2">
      <c r="A23">
        <f>ROW(Source!A36)</f>
        <v>36</v>
      </c>
      <c r="B23">
        <v>39099382</v>
      </c>
      <c r="C23">
        <v>39100167</v>
      </c>
      <c r="D23">
        <v>36807412</v>
      </c>
      <c r="E23">
        <v>1</v>
      </c>
      <c r="F23">
        <v>1</v>
      </c>
      <c r="G23">
        <v>1</v>
      </c>
      <c r="H23">
        <v>3</v>
      </c>
      <c r="I23" t="s">
        <v>668</v>
      </c>
      <c r="J23" t="s">
        <v>669</v>
      </c>
      <c r="K23" t="s">
        <v>670</v>
      </c>
      <c r="L23">
        <v>1348</v>
      </c>
      <c r="N23">
        <v>1009</v>
      </c>
      <c r="O23" t="s">
        <v>189</v>
      </c>
      <c r="P23" t="s">
        <v>189</v>
      </c>
      <c r="Q23">
        <v>1000</v>
      </c>
      <c r="W23">
        <v>0</v>
      </c>
      <c r="X23">
        <v>-2114578287</v>
      </c>
      <c r="Y23">
        <v>0.9</v>
      </c>
      <c r="AA23">
        <v>74321.649999999994</v>
      </c>
      <c r="AB23">
        <v>0</v>
      </c>
      <c r="AC23">
        <v>0</v>
      </c>
      <c r="AD23">
        <v>0</v>
      </c>
      <c r="AE23">
        <v>11381.57</v>
      </c>
      <c r="AF23">
        <v>0</v>
      </c>
      <c r="AG23">
        <v>0</v>
      </c>
      <c r="AH23">
        <v>0</v>
      </c>
      <c r="AI23">
        <v>6.53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3</v>
      </c>
      <c r="AT23">
        <v>0.9</v>
      </c>
      <c r="AU23" t="s">
        <v>3</v>
      </c>
      <c r="AV23">
        <v>0</v>
      </c>
      <c r="AW23">
        <v>2</v>
      </c>
      <c r="AX23">
        <v>39100180</v>
      </c>
      <c r="AY23">
        <v>1</v>
      </c>
      <c r="AZ23">
        <v>0</v>
      </c>
      <c r="BA23">
        <v>27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Y23*Source!I36</f>
        <v>2.5137</v>
      </c>
      <c r="CY23">
        <f>AA23</f>
        <v>74321.649999999994</v>
      </c>
      <c r="CZ23">
        <f>AE23</f>
        <v>11381.57</v>
      </c>
      <c r="DA23">
        <f>AI23</f>
        <v>6.53</v>
      </c>
      <c r="DB23">
        <v>0</v>
      </c>
    </row>
    <row r="24" spans="1:106" x14ac:dyDescent="0.2">
      <c r="A24">
        <f>ROW(Source!A36)</f>
        <v>36</v>
      </c>
      <c r="B24">
        <v>39099382</v>
      </c>
      <c r="C24">
        <v>39100167</v>
      </c>
      <c r="D24">
        <v>36837972</v>
      </c>
      <c r="E24">
        <v>1</v>
      </c>
      <c r="F24">
        <v>1</v>
      </c>
      <c r="G24">
        <v>1</v>
      </c>
      <c r="H24">
        <v>3</v>
      </c>
      <c r="I24" t="s">
        <v>671</v>
      </c>
      <c r="J24" t="s">
        <v>672</v>
      </c>
      <c r="K24" t="s">
        <v>673</v>
      </c>
      <c r="L24">
        <v>1346</v>
      </c>
      <c r="N24">
        <v>1009</v>
      </c>
      <c r="O24" t="s">
        <v>97</v>
      </c>
      <c r="P24" t="s">
        <v>97</v>
      </c>
      <c r="Q24">
        <v>1</v>
      </c>
      <c r="W24">
        <v>0</v>
      </c>
      <c r="X24">
        <v>303141801</v>
      </c>
      <c r="Y24">
        <v>30</v>
      </c>
      <c r="AA24">
        <v>99.58</v>
      </c>
      <c r="AB24">
        <v>0</v>
      </c>
      <c r="AC24">
        <v>0</v>
      </c>
      <c r="AD24">
        <v>0</v>
      </c>
      <c r="AE24">
        <v>15.25</v>
      </c>
      <c r="AF24">
        <v>0</v>
      </c>
      <c r="AG24">
        <v>0</v>
      </c>
      <c r="AH24">
        <v>0</v>
      </c>
      <c r="AI24">
        <v>6.53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3</v>
      </c>
      <c r="AT24">
        <v>30</v>
      </c>
      <c r="AU24" t="s">
        <v>3</v>
      </c>
      <c r="AV24">
        <v>0</v>
      </c>
      <c r="AW24">
        <v>2</v>
      </c>
      <c r="AX24">
        <v>39100181</v>
      </c>
      <c r="AY24">
        <v>1</v>
      </c>
      <c r="AZ24">
        <v>0</v>
      </c>
      <c r="BA24">
        <v>28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Y24*Source!I36</f>
        <v>83.79</v>
      </c>
      <c r="CY24">
        <f>AA24</f>
        <v>99.58</v>
      </c>
      <c r="CZ24">
        <f>AE24</f>
        <v>15.25</v>
      </c>
      <c r="DA24">
        <f>AI24</f>
        <v>6.53</v>
      </c>
      <c r="DB24">
        <v>0</v>
      </c>
    </row>
    <row r="25" spans="1:106" x14ac:dyDescent="0.2">
      <c r="A25">
        <f>ROW(Source!A37)</f>
        <v>37</v>
      </c>
      <c r="B25">
        <v>39099382</v>
      </c>
      <c r="C25">
        <v>39101064</v>
      </c>
      <c r="D25">
        <v>37065248</v>
      </c>
      <c r="E25">
        <v>1</v>
      </c>
      <c r="F25">
        <v>1</v>
      </c>
      <c r="G25">
        <v>1</v>
      </c>
      <c r="H25">
        <v>1</v>
      </c>
      <c r="I25" t="s">
        <v>648</v>
      </c>
      <c r="J25" t="s">
        <v>3</v>
      </c>
      <c r="K25" t="s">
        <v>649</v>
      </c>
      <c r="L25">
        <v>1191</v>
      </c>
      <c r="N25">
        <v>1013</v>
      </c>
      <c r="O25" t="s">
        <v>641</v>
      </c>
      <c r="P25" t="s">
        <v>641</v>
      </c>
      <c r="Q25">
        <v>1</v>
      </c>
      <c r="W25">
        <v>0</v>
      </c>
      <c r="X25">
        <v>-400197608</v>
      </c>
      <c r="Y25">
        <v>13.914999999999999</v>
      </c>
      <c r="AA25">
        <v>0</v>
      </c>
      <c r="AB25">
        <v>0</v>
      </c>
      <c r="AC25">
        <v>0</v>
      </c>
      <c r="AD25">
        <v>55.7</v>
      </c>
      <c r="AE25">
        <v>0</v>
      </c>
      <c r="AF25">
        <v>0</v>
      </c>
      <c r="AG25">
        <v>0</v>
      </c>
      <c r="AH25">
        <v>8.5299999999999994</v>
      </c>
      <c r="AI25">
        <v>1</v>
      </c>
      <c r="AJ25">
        <v>1</v>
      </c>
      <c r="AK25">
        <v>1</v>
      </c>
      <c r="AL25">
        <v>6.53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3</v>
      </c>
      <c r="AT25">
        <v>2.42</v>
      </c>
      <c r="AU25" t="s">
        <v>75</v>
      </c>
      <c r="AV25">
        <v>1</v>
      </c>
      <c r="AW25">
        <v>2</v>
      </c>
      <c r="AX25">
        <v>39101065</v>
      </c>
      <c r="AY25">
        <v>1</v>
      </c>
      <c r="AZ25">
        <v>0</v>
      </c>
      <c r="BA25">
        <v>29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Y25*Source!I37</f>
        <v>38.864595000000001</v>
      </c>
      <c r="CY25">
        <f>AD25</f>
        <v>55.7</v>
      </c>
      <c r="CZ25">
        <f>AH25</f>
        <v>8.5299999999999994</v>
      </c>
      <c r="DA25">
        <f>AL25</f>
        <v>6.53</v>
      </c>
      <c r="DB25">
        <v>0</v>
      </c>
    </row>
    <row r="26" spans="1:106" x14ac:dyDescent="0.2">
      <c r="A26">
        <f>ROW(Source!A37)</f>
        <v>37</v>
      </c>
      <c r="B26">
        <v>39099382</v>
      </c>
      <c r="C26">
        <v>39101064</v>
      </c>
      <c r="D26">
        <v>37064876</v>
      </c>
      <c r="E26">
        <v>1</v>
      </c>
      <c r="F26">
        <v>1</v>
      </c>
      <c r="G26">
        <v>1</v>
      </c>
      <c r="H26">
        <v>1</v>
      </c>
      <c r="I26" t="s">
        <v>642</v>
      </c>
      <c r="J26" t="s">
        <v>3</v>
      </c>
      <c r="K26" t="s">
        <v>643</v>
      </c>
      <c r="L26">
        <v>1191</v>
      </c>
      <c r="N26">
        <v>1013</v>
      </c>
      <c r="O26" t="s">
        <v>641</v>
      </c>
      <c r="P26" t="s">
        <v>641</v>
      </c>
      <c r="Q26">
        <v>1</v>
      </c>
      <c r="W26">
        <v>0</v>
      </c>
      <c r="X26">
        <v>-1417349443</v>
      </c>
      <c r="Y26">
        <v>0.03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1</v>
      </c>
      <c r="AJ26">
        <v>1</v>
      </c>
      <c r="AK26">
        <v>6.53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3</v>
      </c>
      <c r="AT26">
        <v>0.03</v>
      </c>
      <c r="AU26" t="s">
        <v>3</v>
      </c>
      <c r="AV26">
        <v>2</v>
      </c>
      <c r="AW26">
        <v>2</v>
      </c>
      <c r="AX26">
        <v>39101066</v>
      </c>
      <c r="AY26">
        <v>1</v>
      </c>
      <c r="AZ26">
        <v>2048</v>
      </c>
      <c r="BA26">
        <v>30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Y26*Source!I37</f>
        <v>8.3790000000000003E-2</v>
      </c>
      <c r="CY26">
        <f>AD26</f>
        <v>0</v>
      </c>
      <c r="CZ26">
        <f>AH26</f>
        <v>0</v>
      </c>
      <c r="DA26">
        <f>AL26</f>
        <v>1</v>
      </c>
      <c r="DB26">
        <v>0</v>
      </c>
    </row>
    <row r="27" spans="1:106" x14ac:dyDescent="0.2">
      <c r="A27">
        <f>ROW(Source!A37)</f>
        <v>37</v>
      </c>
      <c r="B27">
        <v>39099382</v>
      </c>
      <c r="C27">
        <v>39101064</v>
      </c>
      <c r="D27">
        <v>36882448</v>
      </c>
      <c r="E27">
        <v>1</v>
      </c>
      <c r="F27">
        <v>1</v>
      </c>
      <c r="G27">
        <v>1</v>
      </c>
      <c r="H27">
        <v>2</v>
      </c>
      <c r="I27" t="s">
        <v>662</v>
      </c>
      <c r="J27" t="s">
        <v>663</v>
      </c>
      <c r="K27" t="s">
        <v>664</v>
      </c>
      <c r="L27">
        <v>1368</v>
      </c>
      <c r="N27">
        <v>1011</v>
      </c>
      <c r="O27" t="s">
        <v>647</v>
      </c>
      <c r="P27" t="s">
        <v>647</v>
      </c>
      <c r="Q27">
        <v>1</v>
      </c>
      <c r="W27">
        <v>0</v>
      </c>
      <c r="X27">
        <v>368031958</v>
      </c>
      <c r="Y27">
        <v>0.125</v>
      </c>
      <c r="AA27">
        <v>0</v>
      </c>
      <c r="AB27">
        <v>180.62</v>
      </c>
      <c r="AC27">
        <v>11.6</v>
      </c>
      <c r="AD27">
        <v>0</v>
      </c>
      <c r="AE27">
        <v>0</v>
      </c>
      <c r="AF27">
        <v>27.66</v>
      </c>
      <c r="AG27">
        <v>11.6</v>
      </c>
      <c r="AH27">
        <v>0</v>
      </c>
      <c r="AI27">
        <v>1</v>
      </c>
      <c r="AJ27">
        <v>6.53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3</v>
      </c>
      <c r="AT27">
        <v>0.02</v>
      </c>
      <c r="AU27" t="s">
        <v>74</v>
      </c>
      <c r="AV27">
        <v>0</v>
      </c>
      <c r="AW27">
        <v>2</v>
      </c>
      <c r="AX27">
        <v>39101067</v>
      </c>
      <c r="AY27">
        <v>1</v>
      </c>
      <c r="AZ27">
        <v>0</v>
      </c>
      <c r="BA27">
        <v>31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Y27*Source!I37</f>
        <v>0.34912500000000002</v>
      </c>
      <c r="CY27">
        <f>AB27</f>
        <v>180.62</v>
      </c>
      <c r="CZ27">
        <f>AF27</f>
        <v>27.66</v>
      </c>
      <c r="DA27">
        <f>AJ27</f>
        <v>6.53</v>
      </c>
      <c r="DB27">
        <v>0</v>
      </c>
    </row>
    <row r="28" spans="1:106" x14ac:dyDescent="0.2">
      <c r="A28">
        <f>ROW(Source!A37)</f>
        <v>37</v>
      </c>
      <c r="B28">
        <v>39099382</v>
      </c>
      <c r="C28">
        <v>39101064</v>
      </c>
      <c r="D28">
        <v>36883554</v>
      </c>
      <c r="E28">
        <v>1</v>
      </c>
      <c r="F28">
        <v>1</v>
      </c>
      <c r="G28">
        <v>1</v>
      </c>
      <c r="H28">
        <v>2</v>
      </c>
      <c r="I28" t="s">
        <v>665</v>
      </c>
      <c r="J28" t="s">
        <v>666</v>
      </c>
      <c r="K28" t="s">
        <v>667</v>
      </c>
      <c r="L28">
        <v>1368</v>
      </c>
      <c r="N28">
        <v>1011</v>
      </c>
      <c r="O28" t="s">
        <v>647</v>
      </c>
      <c r="P28" t="s">
        <v>647</v>
      </c>
      <c r="Q28">
        <v>1</v>
      </c>
      <c r="W28">
        <v>0</v>
      </c>
      <c r="X28">
        <v>1372534845</v>
      </c>
      <c r="Y28">
        <v>6.25E-2</v>
      </c>
      <c r="AA28">
        <v>0</v>
      </c>
      <c r="AB28">
        <v>429.09</v>
      </c>
      <c r="AC28">
        <v>11.6</v>
      </c>
      <c r="AD28">
        <v>0</v>
      </c>
      <c r="AE28">
        <v>0</v>
      </c>
      <c r="AF28">
        <v>65.709999999999994</v>
      </c>
      <c r="AG28">
        <v>11.6</v>
      </c>
      <c r="AH28">
        <v>0</v>
      </c>
      <c r="AI28">
        <v>1</v>
      </c>
      <c r="AJ28">
        <v>6.53</v>
      </c>
      <c r="AK28">
        <v>1</v>
      </c>
      <c r="AL28">
        <v>1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3</v>
      </c>
      <c r="AT28">
        <v>0.01</v>
      </c>
      <c r="AU28" t="s">
        <v>74</v>
      </c>
      <c r="AV28">
        <v>0</v>
      </c>
      <c r="AW28">
        <v>2</v>
      </c>
      <c r="AX28">
        <v>39101068</v>
      </c>
      <c r="AY28">
        <v>1</v>
      </c>
      <c r="AZ28">
        <v>0</v>
      </c>
      <c r="BA28">
        <v>32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Y28*Source!I37</f>
        <v>0.17456250000000001</v>
      </c>
      <c r="CY28">
        <f>AB28</f>
        <v>429.09</v>
      </c>
      <c r="CZ28">
        <f>AF28</f>
        <v>65.709999999999994</v>
      </c>
      <c r="DA28">
        <f>AJ28</f>
        <v>6.53</v>
      </c>
      <c r="DB28">
        <v>0</v>
      </c>
    </row>
    <row r="29" spans="1:106" x14ac:dyDescent="0.2">
      <c r="A29">
        <f>ROW(Source!A37)</f>
        <v>37</v>
      </c>
      <c r="B29">
        <v>39099382</v>
      </c>
      <c r="C29">
        <v>39101064</v>
      </c>
      <c r="D29">
        <v>36801792</v>
      </c>
      <c r="E29">
        <v>1</v>
      </c>
      <c r="F29">
        <v>1</v>
      </c>
      <c r="G29">
        <v>1</v>
      </c>
      <c r="H29">
        <v>3</v>
      </c>
      <c r="I29" t="s">
        <v>650</v>
      </c>
      <c r="J29" t="s">
        <v>651</v>
      </c>
      <c r="K29" t="s">
        <v>652</v>
      </c>
      <c r="L29">
        <v>1339</v>
      </c>
      <c r="N29">
        <v>1007</v>
      </c>
      <c r="O29" t="s">
        <v>56</v>
      </c>
      <c r="P29" t="s">
        <v>56</v>
      </c>
      <c r="Q29">
        <v>1</v>
      </c>
      <c r="W29">
        <v>0</v>
      </c>
      <c r="X29">
        <v>-1660354250</v>
      </c>
      <c r="Y29">
        <v>0.15</v>
      </c>
      <c r="AA29">
        <v>15.93</v>
      </c>
      <c r="AB29">
        <v>0</v>
      </c>
      <c r="AC29">
        <v>0</v>
      </c>
      <c r="AD29">
        <v>0</v>
      </c>
      <c r="AE29">
        <v>2.44</v>
      </c>
      <c r="AF29">
        <v>0</v>
      </c>
      <c r="AG29">
        <v>0</v>
      </c>
      <c r="AH29">
        <v>0</v>
      </c>
      <c r="AI29">
        <v>6.53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3</v>
      </c>
      <c r="AT29">
        <v>0.03</v>
      </c>
      <c r="AU29" t="s">
        <v>73</v>
      </c>
      <c r="AV29">
        <v>0</v>
      </c>
      <c r="AW29">
        <v>2</v>
      </c>
      <c r="AX29">
        <v>39101069</v>
      </c>
      <c r="AY29">
        <v>1</v>
      </c>
      <c r="AZ29">
        <v>0</v>
      </c>
      <c r="BA29">
        <v>33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Y29*Source!I37</f>
        <v>0.41894999999999999</v>
      </c>
      <c r="CY29">
        <f>AA29</f>
        <v>15.93</v>
      </c>
      <c r="CZ29">
        <f>AE29</f>
        <v>2.44</v>
      </c>
      <c r="DA29">
        <f>AI29</f>
        <v>6.53</v>
      </c>
      <c r="DB29">
        <v>0</v>
      </c>
    </row>
    <row r="30" spans="1:106" x14ac:dyDescent="0.2">
      <c r="A30">
        <f>ROW(Source!A37)</f>
        <v>37</v>
      </c>
      <c r="B30">
        <v>39099382</v>
      </c>
      <c r="C30">
        <v>39101064</v>
      </c>
      <c r="D30">
        <v>36807412</v>
      </c>
      <c r="E30">
        <v>1</v>
      </c>
      <c r="F30">
        <v>1</v>
      </c>
      <c r="G30">
        <v>1</v>
      </c>
      <c r="H30">
        <v>3</v>
      </c>
      <c r="I30" t="s">
        <v>668</v>
      </c>
      <c r="J30" t="s">
        <v>669</v>
      </c>
      <c r="K30" t="s">
        <v>670</v>
      </c>
      <c r="L30">
        <v>1348</v>
      </c>
      <c r="N30">
        <v>1009</v>
      </c>
      <c r="O30" t="s">
        <v>189</v>
      </c>
      <c r="P30" t="s">
        <v>189</v>
      </c>
      <c r="Q30">
        <v>1000</v>
      </c>
      <c r="W30">
        <v>0</v>
      </c>
      <c r="X30">
        <v>-2114578287</v>
      </c>
      <c r="Y30">
        <v>0.89999999999999991</v>
      </c>
      <c r="AA30">
        <v>74321.649999999994</v>
      </c>
      <c r="AB30">
        <v>0</v>
      </c>
      <c r="AC30">
        <v>0</v>
      </c>
      <c r="AD30">
        <v>0</v>
      </c>
      <c r="AE30">
        <v>11381.57</v>
      </c>
      <c r="AF30">
        <v>0</v>
      </c>
      <c r="AG30">
        <v>0</v>
      </c>
      <c r="AH30">
        <v>0</v>
      </c>
      <c r="AI30">
        <v>6.53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3</v>
      </c>
      <c r="AT30">
        <v>0.18</v>
      </c>
      <c r="AU30" t="s">
        <v>73</v>
      </c>
      <c r="AV30">
        <v>0</v>
      </c>
      <c r="AW30">
        <v>2</v>
      </c>
      <c r="AX30">
        <v>39101070</v>
      </c>
      <c r="AY30">
        <v>1</v>
      </c>
      <c r="AZ30">
        <v>0</v>
      </c>
      <c r="BA30">
        <v>34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Y30*Source!I37</f>
        <v>2.5137</v>
      </c>
      <c r="CY30">
        <f>AA30</f>
        <v>74321.649999999994</v>
      </c>
      <c r="CZ30">
        <f>AE30</f>
        <v>11381.57</v>
      </c>
      <c r="DA30">
        <f>AI30</f>
        <v>6.53</v>
      </c>
      <c r="DB30">
        <v>0</v>
      </c>
    </row>
    <row r="31" spans="1:106" x14ac:dyDescent="0.2">
      <c r="A31">
        <f>ROW(Source!A38)</f>
        <v>38</v>
      </c>
      <c r="B31">
        <v>39099382</v>
      </c>
      <c r="C31">
        <v>39100196</v>
      </c>
      <c r="D31">
        <v>37072767</v>
      </c>
      <c r="E31">
        <v>1</v>
      </c>
      <c r="F31">
        <v>1</v>
      </c>
      <c r="G31">
        <v>1</v>
      </c>
      <c r="H31">
        <v>1</v>
      </c>
      <c r="I31" t="s">
        <v>674</v>
      </c>
      <c r="J31" t="s">
        <v>3</v>
      </c>
      <c r="K31" t="s">
        <v>675</v>
      </c>
      <c r="L31">
        <v>1191</v>
      </c>
      <c r="N31">
        <v>1013</v>
      </c>
      <c r="O31" t="s">
        <v>641</v>
      </c>
      <c r="P31" t="s">
        <v>641</v>
      </c>
      <c r="Q31">
        <v>1</v>
      </c>
      <c r="W31">
        <v>0</v>
      </c>
      <c r="X31">
        <v>-1027537862</v>
      </c>
      <c r="Y31">
        <v>3.69</v>
      </c>
      <c r="AA31">
        <v>0</v>
      </c>
      <c r="AB31">
        <v>0</v>
      </c>
      <c r="AC31">
        <v>0</v>
      </c>
      <c r="AD31">
        <v>59.95</v>
      </c>
      <c r="AE31">
        <v>0</v>
      </c>
      <c r="AF31">
        <v>0</v>
      </c>
      <c r="AG31">
        <v>0</v>
      </c>
      <c r="AH31">
        <v>9.18</v>
      </c>
      <c r="AI31">
        <v>1</v>
      </c>
      <c r="AJ31">
        <v>1</v>
      </c>
      <c r="AK31">
        <v>1</v>
      </c>
      <c r="AL31">
        <v>6.53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3</v>
      </c>
      <c r="AT31">
        <v>3.69</v>
      </c>
      <c r="AU31" t="s">
        <v>3</v>
      </c>
      <c r="AV31">
        <v>1</v>
      </c>
      <c r="AW31">
        <v>2</v>
      </c>
      <c r="AX31">
        <v>39100205</v>
      </c>
      <c r="AY31">
        <v>1</v>
      </c>
      <c r="AZ31">
        <v>0</v>
      </c>
      <c r="BA31">
        <v>35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Y31*Source!I38</f>
        <v>10.30617</v>
      </c>
      <c r="CY31">
        <f>AD31</f>
        <v>59.95</v>
      </c>
      <c r="CZ31">
        <f>AH31</f>
        <v>9.18</v>
      </c>
      <c r="DA31">
        <f>AL31</f>
        <v>6.53</v>
      </c>
      <c r="DB31">
        <v>0</v>
      </c>
    </row>
    <row r="32" spans="1:106" x14ac:dyDescent="0.2">
      <c r="A32">
        <f>ROW(Source!A38)</f>
        <v>38</v>
      </c>
      <c r="B32">
        <v>39099382</v>
      </c>
      <c r="C32">
        <v>39100196</v>
      </c>
      <c r="D32">
        <v>37064876</v>
      </c>
      <c r="E32">
        <v>1</v>
      </c>
      <c r="F32">
        <v>1</v>
      </c>
      <c r="G32">
        <v>1</v>
      </c>
      <c r="H32">
        <v>1</v>
      </c>
      <c r="I32" t="s">
        <v>642</v>
      </c>
      <c r="J32" t="s">
        <v>3</v>
      </c>
      <c r="K32" t="s">
        <v>643</v>
      </c>
      <c r="L32">
        <v>1191</v>
      </c>
      <c r="N32">
        <v>1013</v>
      </c>
      <c r="O32" t="s">
        <v>641</v>
      </c>
      <c r="P32" t="s">
        <v>641</v>
      </c>
      <c r="Q32">
        <v>1</v>
      </c>
      <c r="W32">
        <v>0</v>
      </c>
      <c r="X32">
        <v>-1417349443</v>
      </c>
      <c r="Y32">
        <v>0.05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6.53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3</v>
      </c>
      <c r="AT32">
        <v>0.05</v>
      </c>
      <c r="AU32" t="s">
        <v>3</v>
      </c>
      <c r="AV32">
        <v>2</v>
      </c>
      <c r="AW32">
        <v>2</v>
      </c>
      <c r="AX32">
        <v>39100206</v>
      </c>
      <c r="AY32">
        <v>1</v>
      </c>
      <c r="AZ32">
        <v>0</v>
      </c>
      <c r="BA32">
        <v>36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Y32*Source!I38</f>
        <v>0.13965000000000002</v>
      </c>
      <c r="CY32">
        <f>AD32</f>
        <v>0</v>
      </c>
      <c r="CZ32">
        <f>AH32</f>
        <v>0</v>
      </c>
      <c r="DA32">
        <f>AL32</f>
        <v>1</v>
      </c>
      <c r="DB32">
        <v>0</v>
      </c>
    </row>
    <row r="33" spans="1:106" x14ac:dyDescent="0.2">
      <c r="A33">
        <f>ROW(Source!A38)</f>
        <v>38</v>
      </c>
      <c r="B33">
        <v>39099382</v>
      </c>
      <c r="C33">
        <v>39100196</v>
      </c>
      <c r="D33">
        <v>36882448</v>
      </c>
      <c r="E33">
        <v>1</v>
      </c>
      <c r="F33">
        <v>1</v>
      </c>
      <c r="G33">
        <v>1</v>
      </c>
      <c r="H33">
        <v>2</v>
      </c>
      <c r="I33" t="s">
        <v>662</v>
      </c>
      <c r="J33" t="s">
        <v>663</v>
      </c>
      <c r="K33" t="s">
        <v>664</v>
      </c>
      <c r="L33">
        <v>1368</v>
      </c>
      <c r="N33">
        <v>1011</v>
      </c>
      <c r="O33" t="s">
        <v>647</v>
      </c>
      <c r="P33" t="s">
        <v>647</v>
      </c>
      <c r="Q33">
        <v>1</v>
      </c>
      <c r="W33">
        <v>0</v>
      </c>
      <c r="X33">
        <v>368031958</v>
      </c>
      <c r="Y33">
        <v>0.01</v>
      </c>
      <c r="AA33">
        <v>0</v>
      </c>
      <c r="AB33">
        <v>180.62</v>
      </c>
      <c r="AC33">
        <v>11.6</v>
      </c>
      <c r="AD33">
        <v>0</v>
      </c>
      <c r="AE33">
        <v>0</v>
      </c>
      <c r="AF33">
        <v>27.66</v>
      </c>
      <c r="AG33">
        <v>11.6</v>
      </c>
      <c r="AH33">
        <v>0</v>
      </c>
      <c r="AI33">
        <v>1</v>
      </c>
      <c r="AJ33">
        <v>6.53</v>
      </c>
      <c r="AK33">
        <v>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3</v>
      </c>
      <c r="AT33">
        <v>0.01</v>
      </c>
      <c r="AU33" t="s">
        <v>3</v>
      </c>
      <c r="AV33">
        <v>0</v>
      </c>
      <c r="AW33">
        <v>2</v>
      </c>
      <c r="AX33">
        <v>39100207</v>
      </c>
      <c r="AY33">
        <v>1</v>
      </c>
      <c r="AZ33">
        <v>0</v>
      </c>
      <c r="BA33">
        <v>37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Y33*Source!I38</f>
        <v>2.7930000000000003E-2</v>
      </c>
      <c r="CY33">
        <f>AB33</f>
        <v>180.62</v>
      </c>
      <c r="CZ33">
        <f>AF33</f>
        <v>27.66</v>
      </c>
      <c r="DA33">
        <f>AJ33</f>
        <v>6.53</v>
      </c>
      <c r="DB33">
        <v>0</v>
      </c>
    </row>
    <row r="34" spans="1:106" x14ac:dyDescent="0.2">
      <c r="A34">
        <f>ROW(Source!A38)</f>
        <v>38</v>
      </c>
      <c r="B34">
        <v>39099382</v>
      </c>
      <c r="C34">
        <v>39100196</v>
      </c>
      <c r="D34">
        <v>36883554</v>
      </c>
      <c r="E34">
        <v>1</v>
      </c>
      <c r="F34">
        <v>1</v>
      </c>
      <c r="G34">
        <v>1</v>
      </c>
      <c r="H34">
        <v>2</v>
      </c>
      <c r="I34" t="s">
        <v>665</v>
      </c>
      <c r="J34" t="s">
        <v>666</v>
      </c>
      <c r="K34" t="s">
        <v>667</v>
      </c>
      <c r="L34">
        <v>1368</v>
      </c>
      <c r="N34">
        <v>1011</v>
      </c>
      <c r="O34" t="s">
        <v>647</v>
      </c>
      <c r="P34" t="s">
        <v>647</v>
      </c>
      <c r="Q34">
        <v>1</v>
      </c>
      <c r="W34">
        <v>0</v>
      </c>
      <c r="X34">
        <v>1372534845</v>
      </c>
      <c r="Y34">
        <v>0.04</v>
      </c>
      <c r="AA34">
        <v>0</v>
      </c>
      <c r="AB34">
        <v>429.09</v>
      </c>
      <c r="AC34">
        <v>11.6</v>
      </c>
      <c r="AD34">
        <v>0</v>
      </c>
      <c r="AE34">
        <v>0</v>
      </c>
      <c r="AF34">
        <v>65.709999999999994</v>
      </c>
      <c r="AG34">
        <v>11.6</v>
      </c>
      <c r="AH34">
        <v>0</v>
      </c>
      <c r="AI34">
        <v>1</v>
      </c>
      <c r="AJ34">
        <v>6.53</v>
      </c>
      <c r="AK34">
        <v>1</v>
      </c>
      <c r="AL34">
        <v>1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3</v>
      </c>
      <c r="AT34">
        <v>0.04</v>
      </c>
      <c r="AU34" t="s">
        <v>3</v>
      </c>
      <c r="AV34">
        <v>0</v>
      </c>
      <c r="AW34">
        <v>2</v>
      </c>
      <c r="AX34">
        <v>39100208</v>
      </c>
      <c r="AY34">
        <v>1</v>
      </c>
      <c r="AZ34">
        <v>0</v>
      </c>
      <c r="BA34">
        <v>38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Y34*Source!I38</f>
        <v>0.11172000000000001</v>
      </c>
      <c r="CY34">
        <f>AB34</f>
        <v>429.09</v>
      </c>
      <c r="CZ34">
        <f>AF34</f>
        <v>65.709999999999994</v>
      </c>
      <c r="DA34">
        <f>AJ34</f>
        <v>6.53</v>
      </c>
      <c r="DB34">
        <v>0</v>
      </c>
    </row>
    <row r="35" spans="1:106" x14ac:dyDescent="0.2">
      <c r="A35">
        <f>ROW(Source!A38)</f>
        <v>38</v>
      </c>
      <c r="B35">
        <v>39099382</v>
      </c>
      <c r="C35">
        <v>39100196</v>
      </c>
      <c r="D35">
        <v>36884416</v>
      </c>
      <c r="E35">
        <v>1</v>
      </c>
      <c r="F35">
        <v>1</v>
      </c>
      <c r="G35">
        <v>1</v>
      </c>
      <c r="H35">
        <v>2</v>
      </c>
      <c r="I35" t="s">
        <v>676</v>
      </c>
      <c r="J35" t="s">
        <v>677</v>
      </c>
      <c r="K35" t="s">
        <v>678</v>
      </c>
      <c r="L35">
        <v>1368</v>
      </c>
      <c r="N35">
        <v>1011</v>
      </c>
      <c r="O35" t="s">
        <v>647</v>
      </c>
      <c r="P35" t="s">
        <v>647</v>
      </c>
      <c r="Q35">
        <v>1</v>
      </c>
      <c r="W35">
        <v>0</v>
      </c>
      <c r="X35">
        <v>271748449</v>
      </c>
      <c r="Y35">
        <v>2.82</v>
      </c>
      <c r="AA35">
        <v>0</v>
      </c>
      <c r="AB35">
        <v>44.53</v>
      </c>
      <c r="AC35">
        <v>0</v>
      </c>
      <c r="AD35">
        <v>0</v>
      </c>
      <c r="AE35">
        <v>0</v>
      </c>
      <c r="AF35">
        <v>6.82</v>
      </c>
      <c r="AG35">
        <v>0</v>
      </c>
      <c r="AH35">
        <v>0</v>
      </c>
      <c r="AI35">
        <v>1</v>
      </c>
      <c r="AJ35">
        <v>6.53</v>
      </c>
      <c r="AK35">
        <v>1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3</v>
      </c>
      <c r="AT35">
        <v>2.82</v>
      </c>
      <c r="AU35" t="s">
        <v>3</v>
      </c>
      <c r="AV35">
        <v>0</v>
      </c>
      <c r="AW35">
        <v>2</v>
      </c>
      <c r="AX35">
        <v>39100209</v>
      </c>
      <c r="AY35">
        <v>1</v>
      </c>
      <c r="AZ35">
        <v>0</v>
      </c>
      <c r="BA35">
        <v>39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Y35*Source!I38</f>
        <v>7.8762600000000003</v>
      </c>
      <c r="CY35">
        <f>AB35</f>
        <v>44.53</v>
      </c>
      <c r="CZ35">
        <f>AF35</f>
        <v>6.82</v>
      </c>
      <c r="DA35">
        <f>AJ35</f>
        <v>6.53</v>
      </c>
      <c r="DB35">
        <v>0</v>
      </c>
    </row>
    <row r="36" spans="1:106" x14ac:dyDescent="0.2">
      <c r="A36">
        <f>ROW(Source!A38)</f>
        <v>38</v>
      </c>
      <c r="B36">
        <v>39099382</v>
      </c>
      <c r="C36">
        <v>39100196</v>
      </c>
      <c r="D36">
        <v>36801792</v>
      </c>
      <c r="E36">
        <v>1</v>
      </c>
      <c r="F36">
        <v>1</v>
      </c>
      <c r="G36">
        <v>1</v>
      </c>
      <c r="H36">
        <v>3</v>
      </c>
      <c r="I36" t="s">
        <v>650</v>
      </c>
      <c r="J36" t="s">
        <v>651</v>
      </c>
      <c r="K36" t="s">
        <v>652</v>
      </c>
      <c r="L36">
        <v>1339</v>
      </c>
      <c r="N36">
        <v>1007</v>
      </c>
      <c r="O36" t="s">
        <v>56</v>
      </c>
      <c r="P36" t="s">
        <v>56</v>
      </c>
      <c r="Q36">
        <v>1</v>
      </c>
      <c r="W36">
        <v>0</v>
      </c>
      <c r="X36">
        <v>-1660354250</v>
      </c>
      <c r="Y36">
        <v>0.01</v>
      </c>
      <c r="AA36">
        <v>15.93</v>
      </c>
      <c r="AB36">
        <v>0</v>
      </c>
      <c r="AC36">
        <v>0</v>
      </c>
      <c r="AD36">
        <v>0</v>
      </c>
      <c r="AE36">
        <v>2.44</v>
      </c>
      <c r="AF36">
        <v>0</v>
      </c>
      <c r="AG36">
        <v>0</v>
      </c>
      <c r="AH36">
        <v>0</v>
      </c>
      <c r="AI36">
        <v>6.53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3</v>
      </c>
      <c r="AT36">
        <v>0.01</v>
      </c>
      <c r="AU36" t="s">
        <v>3</v>
      </c>
      <c r="AV36">
        <v>0</v>
      </c>
      <c r="AW36">
        <v>2</v>
      </c>
      <c r="AX36">
        <v>39100210</v>
      </c>
      <c r="AY36">
        <v>1</v>
      </c>
      <c r="AZ36">
        <v>0</v>
      </c>
      <c r="BA36">
        <v>40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Y36*Source!I38</f>
        <v>2.7930000000000003E-2</v>
      </c>
      <c r="CY36">
        <f>AA36</f>
        <v>15.93</v>
      </c>
      <c r="CZ36">
        <f>AE36</f>
        <v>2.44</v>
      </c>
      <c r="DA36">
        <f>AI36</f>
        <v>6.53</v>
      </c>
      <c r="DB36">
        <v>0</v>
      </c>
    </row>
    <row r="37" spans="1:106" x14ac:dyDescent="0.2">
      <c r="A37">
        <f>ROW(Source!A38)</f>
        <v>38</v>
      </c>
      <c r="B37">
        <v>39099382</v>
      </c>
      <c r="C37">
        <v>39100196</v>
      </c>
      <c r="D37">
        <v>36805524</v>
      </c>
      <c r="E37">
        <v>1</v>
      </c>
      <c r="F37">
        <v>1</v>
      </c>
      <c r="G37">
        <v>1</v>
      </c>
      <c r="H37">
        <v>3</v>
      </c>
      <c r="I37" t="s">
        <v>679</v>
      </c>
      <c r="J37" t="s">
        <v>680</v>
      </c>
      <c r="K37" t="s">
        <v>681</v>
      </c>
      <c r="L37">
        <v>1346</v>
      </c>
      <c r="N37">
        <v>1009</v>
      </c>
      <c r="O37" t="s">
        <v>97</v>
      </c>
      <c r="P37" t="s">
        <v>97</v>
      </c>
      <c r="Q37">
        <v>1</v>
      </c>
      <c r="W37">
        <v>0</v>
      </c>
      <c r="X37">
        <v>813963326</v>
      </c>
      <c r="Y37">
        <v>1</v>
      </c>
      <c r="AA37">
        <v>11.88</v>
      </c>
      <c r="AB37">
        <v>0</v>
      </c>
      <c r="AC37">
        <v>0</v>
      </c>
      <c r="AD37">
        <v>0</v>
      </c>
      <c r="AE37">
        <v>1.82</v>
      </c>
      <c r="AF37">
        <v>0</v>
      </c>
      <c r="AG37">
        <v>0</v>
      </c>
      <c r="AH37">
        <v>0</v>
      </c>
      <c r="AI37">
        <v>6.53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3</v>
      </c>
      <c r="AT37">
        <v>1</v>
      </c>
      <c r="AU37" t="s">
        <v>3</v>
      </c>
      <c r="AV37">
        <v>0</v>
      </c>
      <c r="AW37">
        <v>2</v>
      </c>
      <c r="AX37">
        <v>39100211</v>
      </c>
      <c r="AY37">
        <v>1</v>
      </c>
      <c r="AZ37">
        <v>0</v>
      </c>
      <c r="BA37">
        <v>41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Y37*Source!I38</f>
        <v>2.7930000000000001</v>
      </c>
      <c r="CY37">
        <f>AA37</f>
        <v>11.88</v>
      </c>
      <c r="CZ37">
        <f>AE37</f>
        <v>1.82</v>
      </c>
      <c r="DA37">
        <f>AI37</f>
        <v>6.53</v>
      </c>
      <c r="DB37">
        <v>0</v>
      </c>
    </row>
    <row r="38" spans="1:106" x14ac:dyDescent="0.2">
      <c r="A38">
        <f>ROW(Source!A38)</f>
        <v>38</v>
      </c>
      <c r="B38">
        <v>39099382</v>
      </c>
      <c r="C38">
        <v>39100196</v>
      </c>
      <c r="D38">
        <v>36837972</v>
      </c>
      <c r="E38">
        <v>1</v>
      </c>
      <c r="F38">
        <v>1</v>
      </c>
      <c r="G38">
        <v>1</v>
      </c>
      <c r="H38">
        <v>3</v>
      </c>
      <c r="I38" t="s">
        <v>671</v>
      </c>
      <c r="J38" t="s">
        <v>672</v>
      </c>
      <c r="K38" t="s">
        <v>673</v>
      </c>
      <c r="L38">
        <v>1346</v>
      </c>
      <c r="N38">
        <v>1009</v>
      </c>
      <c r="O38" t="s">
        <v>97</v>
      </c>
      <c r="P38" t="s">
        <v>97</v>
      </c>
      <c r="Q38">
        <v>1</v>
      </c>
      <c r="W38">
        <v>0</v>
      </c>
      <c r="X38">
        <v>303141801</v>
      </c>
      <c r="Y38">
        <v>13.8</v>
      </c>
      <c r="AA38">
        <v>99.58</v>
      </c>
      <c r="AB38">
        <v>0</v>
      </c>
      <c r="AC38">
        <v>0</v>
      </c>
      <c r="AD38">
        <v>0</v>
      </c>
      <c r="AE38">
        <v>15.25</v>
      </c>
      <c r="AF38">
        <v>0</v>
      </c>
      <c r="AG38">
        <v>0</v>
      </c>
      <c r="AH38">
        <v>0</v>
      </c>
      <c r="AI38">
        <v>6.53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3</v>
      </c>
      <c r="AT38">
        <v>13.8</v>
      </c>
      <c r="AU38" t="s">
        <v>3</v>
      </c>
      <c r="AV38">
        <v>0</v>
      </c>
      <c r="AW38">
        <v>2</v>
      </c>
      <c r="AX38">
        <v>39100212</v>
      </c>
      <c r="AY38">
        <v>1</v>
      </c>
      <c r="AZ38">
        <v>0</v>
      </c>
      <c r="BA38">
        <v>42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Y38*Source!I38</f>
        <v>38.543400000000005</v>
      </c>
      <c r="CY38">
        <f>AA38</f>
        <v>99.58</v>
      </c>
      <c r="CZ38">
        <f>AE38</f>
        <v>15.25</v>
      </c>
      <c r="DA38">
        <f>AI38</f>
        <v>6.53</v>
      </c>
      <c r="DB38">
        <v>0</v>
      </c>
    </row>
    <row r="39" spans="1:106" x14ac:dyDescent="0.2">
      <c r="A39">
        <f>ROW(Source!A39)</f>
        <v>39</v>
      </c>
      <c r="B39">
        <v>39099382</v>
      </c>
      <c r="C39">
        <v>39100213</v>
      </c>
      <c r="D39">
        <v>37066837</v>
      </c>
      <c r="E39">
        <v>1</v>
      </c>
      <c r="F39">
        <v>1</v>
      </c>
      <c r="G39">
        <v>1</v>
      </c>
      <c r="H39">
        <v>1</v>
      </c>
      <c r="I39" t="s">
        <v>682</v>
      </c>
      <c r="J39" t="s">
        <v>3</v>
      </c>
      <c r="K39" t="s">
        <v>683</v>
      </c>
      <c r="L39">
        <v>1191</v>
      </c>
      <c r="N39">
        <v>1013</v>
      </c>
      <c r="O39" t="s">
        <v>641</v>
      </c>
      <c r="P39" t="s">
        <v>641</v>
      </c>
      <c r="Q39">
        <v>1</v>
      </c>
      <c r="W39">
        <v>0</v>
      </c>
      <c r="X39">
        <v>1850719656</v>
      </c>
      <c r="Y39">
        <v>42.4</v>
      </c>
      <c r="AA39">
        <v>0</v>
      </c>
      <c r="AB39">
        <v>0</v>
      </c>
      <c r="AC39">
        <v>0</v>
      </c>
      <c r="AD39">
        <v>54.26</v>
      </c>
      <c r="AE39">
        <v>0</v>
      </c>
      <c r="AF39">
        <v>0</v>
      </c>
      <c r="AG39">
        <v>0</v>
      </c>
      <c r="AH39">
        <v>8.31</v>
      </c>
      <c r="AI39">
        <v>1</v>
      </c>
      <c r="AJ39">
        <v>1</v>
      </c>
      <c r="AK39">
        <v>1</v>
      </c>
      <c r="AL39">
        <v>6.53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3</v>
      </c>
      <c r="AT39">
        <v>42.4</v>
      </c>
      <c r="AU39" t="s">
        <v>3</v>
      </c>
      <c r="AV39">
        <v>1</v>
      </c>
      <c r="AW39">
        <v>2</v>
      </c>
      <c r="AX39">
        <v>39100223</v>
      </c>
      <c r="AY39">
        <v>1</v>
      </c>
      <c r="AZ39">
        <v>0</v>
      </c>
      <c r="BA39">
        <v>43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Y39*Source!I39</f>
        <v>118.42320000000001</v>
      </c>
      <c r="CY39">
        <f>AD39</f>
        <v>54.26</v>
      </c>
      <c r="CZ39">
        <f>AH39</f>
        <v>8.31</v>
      </c>
      <c r="DA39">
        <f>AL39</f>
        <v>6.53</v>
      </c>
      <c r="DB39">
        <v>0</v>
      </c>
    </row>
    <row r="40" spans="1:106" x14ac:dyDescent="0.2">
      <c r="A40">
        <f>ROW(Source!A39)</f>
        <v>39</v>
      </c>
      <c r="B40">
        <v>39099382</v>
      </c>
      <c r="C40">
        <v>39100213</v>
      </c>
      <c r="D40">
        <v>37064876</v>
      </c>
      <c r="E40">
        <v>1</v>
      </c>
      <c r="F40">
        <v>1</v>
      </c>
      <c r="G40">
        <v>1</v>
      </c>
      <c r="H40">
        <v>1</v>
      </c>
      <c r="I40" t="s">
        <v>642</v>
      </c>
      <c r="J40" t="s">
        <v>3</v>
      </c>
      <c r="K40" t="s">
        <v>643</v>
      </c>
      <c r="L40">
        <v>1191</v>
      </c>
      <c r="N40">
        <v>1013</v>
      </c>
      <c r="O40" t="s">
        <v>641</v>
      </c>
      <c r="P40" t="s">
        <v>641</v>
      </c>
      <c r="Q40">
        <v>1</v>
      </c>
      <c r="W40">
        <v>0</v>
      </c>
      <c r="X40">
        <v>-1417349443</v>
      </c>
      <c r="Y40">
        <v>0.85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1</v>
      </c>
      <c r="AJ40">
        <v>1</v>
      </c>
      <c r="AK40">
        <v>6.53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3</v>
      </c>
      <c r="AT40">
        <v>0.85</v>
      </c>
      <c r="AU40" t="s">
        <v>3</v>
      </c>
      <c r="AV40">
        <v>2</v>
      </c>
      <c r="AW40">
        <v>2</v>
      </c>
      <c r="AX40">
        <v>39100224</v>
      </c>
      <c r="AY40">
        <v>1</v>
      </c>
      <c r="AZ40">
        <v>0</v>
      </c>
      <c r="BA40">
        <v>44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Y40*Source!I39</f>
        <v>2.37405</v>
      </c>
      <c r="CY40">
        <f>AD40</f>
        <v>0</v>
      </c>
      <c r="CZ40">
        <f>AH40</f>
        <v>0</v>
      </c>
      <c r="DA40">
        <f>AL40</f>
        <v>1</v>
      </c>
      <c r="DB40">
        <v>0</v>
      </c>
    </row>
    <row r="41" spans="1:106" x14ac:dyDescent="0.2">
      <c r="A41">
        <f>ROW(Source!A39)</f>
        <v>39</v>
      </c>
      <c r="B41">
        <v>39099382</v>
      </c>
      <c r="C41">
        <v>39100213</v>
      </c>
      <c r="D41">
        <v>36882452</v>
      </c>
      <c r="E41">
        <v>1</v>
      </c>
      <c r="F41">
        <v>1</v>
      </c>
      <c r="G41">
        <v>1</v>
      </c>
      <c r="H41">
        <v>2</v>
      </c>
      <c r="I41" t="s">
        <v>644</v>
      </c>
      <c r="J41" t="s">
        <v>645</v>
      </c>
      <c r="K41" t="s">
        <v>646</v>
      </c>
      <c r="L41">
        <v>1368</v>
      </c>
      <c r="N41">
        <v>1011</v>
      </c>
      <c r="O41" t="s">
        <v>647</v>
      </c>
      <c r="P41" t="s">
        <v>647</v>
      </c>
      <c r="Q41">
        <v>1</v>
      </c>
      <c r="W41">
        <v>0</v>
      </c>
      <c r="X41">
        <v>1188625873</v>
      </c>
      <c r="Y41">
        <v>0.35</v>
      </c>
      <c r="AA41">
        <v>0</v>
      </c>
      <c r="AB41">
        <v>204.13</v>
      </c>
      <c r="AC41">
        <v>13.5</v>
      </c>
      <c r="AD41">
        <v>0</v>
      </c>
      <c r="AE41">
        <v>0</v>
      </c>
      <c r="AF41">
        <v>31.26</v>
      </c>
      <c r="AG41">
        <v>13.5</v>
      </c>
      <c r="AH41">
        <v>0</v>
      </c>
      <c r="AI41">
        <v>1</v>
      </c>
      <c r="AJ41">
        <v>6.53</v>
      </c>
      <c r="AK41">
        <v>1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3</v>
      </c>
      <c r="AT41">
        <v>0.35</v>
      </c>
      <c r="AU41" t="s">
        <v>3</v>
      </c>
      <c r="AV41">
        <v>0</v>
      </c>
      <c r="AW41">
        <v>2</v>
      </c>
      <c r="AX41">
        <v>39100225</v>
      </c>
      <c r="AY41">
        <v>1</v>
      </c>
      <c r="AZ41">
        <v>0</v>
      </c>
      <c r="BA41">
        <v>45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Y41*Source!I39</f>
        <v>0.97755000000000003</v>
      </c>
      <c r="CY41">
        <f>AB41</f>
        <v>204.13</v>
      </c>
      <c r="CZ41">
        <f>AF41</f>
        <v>31.26</v>
      </c>
      <c r="DA41">
        <f>AJ41</f>
        <v>6.53</v>
      </c>
      <c r="DB41">
        <v>0</v>
      </c>
    </row>
    <row r="42" spans="1:106" x14ac:dyDescent="0.2">
      <c r="A42">
        <f>ROW(Source!A39)</f>
        <v>39</v>
      </c>
      <c r="B42">
        <v>39099382</v>
      </c>
      <c r="C42">
        <v>39100213</v>
      </c>
      <c r="D42">
        <v>36883554</v>
      </c>
      <c r="E42">
        <v>1</v>
      </c>
      <c r="F42">
        <v>1</v>
      </c>
      <c r="G42">
        <v>1</v>
      </c>
      <c r="H42">
        <v>2</v>
      </c>
      <c r="I42" t="s">
        <v>665</v>
      </c>
      <c r="J42" t="s">
        <v>666</v>
      </c>
      <c r="K42" t="s">
        <v>667</v>
      </c>
      <c r="L42">
        <v>1368</v>
      </c>
      <c r="N42">
        <v>1011</v>
      </c>
      <c r="O42" t="s">
        <v>647</v>
      </c>
      <c r="P42" t="s">
        <v>647</v>
      </c>
      <c r="Q42">
        <v>1</v>
      </c>
      <c r="W42">
        <v>0</v>
      </c>
      <c r="X42">
        <v>1372534845</v>
      </c>
      <c r="Y42">
        <v>0.5</v>
      </c>
      <c r="AA42">
        <v>0</v>
      </c>
      <c r="AB42">
        <v>429.09</v>
      </c>
      <c r="AC42">
        <v>11.6</v>
      </c>
      <c r="AD42">
        <v>0</v>
      </c>
      <c r="AE42">
        <v>0</v>
      </c>
      <c r="AF42">
        <v>65.709999999999994</v>
      </c>
      <c r="AG42">
        <v>11.6</v>
      </c>
      <c r="AH42">
        <v>0</v>
      </c>
      <c r="AI42">
        <v>1</v>
      </c>
      <c r="AJ42">
        <v>6.53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3</v>
      </c>
      <c r="AT42">
        <v>0.5</v>
      </c>
      <c r="AU42" t="s">
        <v>3</v>
      </c>
      <c r="AV42">
        <v>0</v>
      </c>
      <c r="AW42">
        <v>2</v>
      </c>
      <c r="AX42">
        <v>39100226</v>
      </c>
      <c r="AY42">
        <v>1</v>
      </c>
      <c r="AZ42">
        <v>0</v>
      </c>
      <c r="BA42">
        <v>46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Y42*Source!I39</f>
        <v>1.3965000000000001</v>
      </c>
      <c r="CY42">
        <f>AB42</f>
        <v>429.09</v>
      </c>
      <c r="CZ42">
        <f>AF42</f>
        <v>65.709999999999994</v>
      </c>
      <c r="DA42">
        <f>AJ42</f>
        <v>6.53</v>
      </c>
      <c r="DB42">
        <v>0</v>
      </c>
    </row>
    <row r="43" spans="1:106" x14ac:dyDescent="0.2">
      <c r="A43">
        <f>ROW(Source!A39)</f>
        <v>39</v>
      </c>
      <c r="B43">
        <v>39099382</v>
      </c>
      <c r="C43">
        <v>39100213</v>
      </c>
      <c r="D43">
        <v>36797243</v>
      </c>
      <c r="E43">
        <v>17</v>
      </c>
      <c r="F43">
        <v>1</v>
      </c>
      <c r="G43">
        <v>1</v>
      </c>
      <c r="H43">
        <v>3</v>
      </c>
      <c r="I43" t="s">
        <v>87</v>
      </c>
      <c r="J43" t="s">
        <v>3</v>
      </c>
      <c r="K43" t="s">
        <v>88</v>
      </c>
      <c r="L43">
        <v>1327</v>
      </c>
      <c r="N43">
        <v>1005</v>
      </c>
      <c r="O43" t="s">
        <v>89</v>
      </c>
      <c r="P43" t="s">
        <v>89</v>
      </c>
      <c r="Q43">
        <v>1</v>
      </c>
      <c r="W43">
        <v>0</v>
      </c>
      <c r="X43">
        <v>-919469713</v>
      </c>
      <c r="Y43">
        <v>102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6.53</v>
      </c>
      <c r="AJ43">
        <v>1</v>
      </c>
      <c r="AK43">
        <v>1</v>
      </c>
      <c r="AL43">
        <v>1</v>
      </c>
      <c r="AN43">
        <v>0</v>
      </c>
      <c r="AO43">
        <v>0</v>
      </c>
      <c r="AP43">
        <v>0</v>
      </c>
      <c r="AQ43">
        <v>0</v>
      </c>
      <c r="AR43">
        <v>0</v>
      </c>
      <c r="AS43" t="s">
        <v>3</v>
      </c>
      <c r="AT43">
        <v>102</v>
      </c>
      <c r="AU43" t="s">
        <v>3</v>
      </c>
      <c r="AV43">
        <v>0</v>
      </c>
      <c r="AW43">
        <v>2</v>
      </c>
      <c r="AX43">
        <v>39100227</v>
      </c>
      <c r="AY43">
        <v>1</v>
      </c>
      <c r="AZ43">
        <v>0</v>
      </c>
      <c r="BA43">
        <v>47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Y43*Source!I39</f>
        <v>284.88600000000002</v>
      </c>
      <c r="CY43">
        <f>AA43</f>
        <v>0</v>
      </c>
      <c r="CZ43">
        <f>AE43</f>
        <v>0</v>
      </c>
      <c r="DA43">
        <f>AI43</f>
        <v>6.53</v>
      </c>
      <c r="DB43">
        <v>0</v>
      </c>
    </row>
    <row r="44" spans="1:106" x14ac:dyDescent="0.2">
      <c r="A44">
        <f>ROW(Source!A39)</f>
        <v>39</v>
      </c>
      <c r="B44">
        <v>39099382</v>
      </c>
      <c r="C44">
        <v>39100213</v>
      </c>
      <c r="D44">
        <v>36801524</v>
      </c>
      <c r="E44">
        <v>1</v>
      </c>
      <c r="F44">
        <v>1</v>
      </c>
      <c r="G44">
        <v>1</v>
      </c>
      <c r="H44">
        <v>3</v>
      </c>
      <c r="I44" t="s">
        <v>91</v>
      </c>
      <c r="J44" t="s">
        <v>93</v>
      </c>
      <c r="K44" t="s">
        <v>92</v>
      </c>
      <c r="L44">
        <v>1327</v>
      </c>
      <c r="N44">
        <v>1005</v>
      </c>
      <c r="O44" t="s">
        <v>89</v>
      </c>
      <c r="P44" t="s">
        <v>89</v>
      </c>
      <c r="Q44">
        <v>1</v>
      </c>
      <c r="W44">
        <v>0</v>
      </c>
      <c r="X44">
        <v>1392042579</v>
      </c>
      <c r="Y44">
        <v>102</v>
      </c>
      <c r="AA44">
        <v>506.08</v>
      </c>
      <c r="AB44">
        <v>0</v>
      </c>
      <c r="AC44">
        <v>0</v>
      </c>
      <c r="AD44">
        <v>0</v>
      </c>
      <c r="AE44">
        <v>77.5</v>
      </c>
      <c r="AF44">
        <v>0</v>
      </c>
      <c r="AG44">
        <v>0</v>
      </c>
      <c r="AH44">
        <v>0</v>
      </c>
      <c r="AI44">
        <v>6.53</v>
      </c>
      <c r="AJ44">
        <v>1</v>
      </c>
      <c r="AK44">
        <v>1</v>
      </c>
      <c r="AL44">
        <v>1</v>
      </c>
      <c r="AN44">
        <v>0</v>
      </c>
      <c r="AO44">
        <v>0</v>
      </c>
      <c r="AP44">
        <v>0</v>
      </c>
      <c r="AQ44">
        <v>0</v>
      </c>
      <c r="AR44">
        <v>0</v>
      </c>
      <c r="AS44" t="s">
        <v>3</v>
      </c>
      <c r="AT44">
        <v>102</v>
      </c>
      <c r="AU44" t="s">
        <v>3</v>
      </c>
      <c r="AV44">
        <v>0</v>
      </c>
      <c r="AW44">
        <v>1</v>
      </c>
      <c r="AX44">
        <v>-1</v>
      </c>
      <c r="AY44">
        <v>0</v>
      </c>
      <c r="AZ44">
        <v>0</v>
      </c>
      <c r="BA44" t="s">
        <v>3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Y44*Source!I39</f>
        <v>284.88600000000002</v>
      </c>
      <c r="CY44">
        <f>AA44</f>
        <v>506.08</v>
      </c>
      <c r="CZ44">
        <f>AE44</f>
        <v>77.5</v>
      </c>
      <c r="DA44">
        <f>AI44</f>
        <v>6.53</v>
      </c>
      <c r="DB44">
        <v>0</v>
      </c>
    </row>
    <row r="45" spans="1:106" x14ac:dyDescent="0.2">
      <c r="A45">
        <f>ROW(Source!A39)</f>
        <v>39</v>
      </c>
      <c r="B45">
        <v>39099382</v>
      </c>
      <c r="C45">
        <v>39100213</v>
      </c>
      <c r="D45">
        <v>36805524</v>
      </c>
      <c r="E45">
        <v>1</v>
      </c>
      <c r="F45">
        <v>1</v>
      </c>
      <c r="G45">
        <v>1</v>
      </c>
      <c r="H45">
        <v>3</v>
      </c>
      <c r="I45" t="s">
        <v>679</v>
      </c>
      <c r="J45" t="s">
        <v>680</v>
      </c>
      <c r="K45" t="s">
        <v>681</v>
      </c>
      <c r="L45">
        <v>1346</v>
      </c>
      <c r="N45">
        <v>1009</v>
      </c>
      <c r="O45" t="s">
        <v>97</v>
      </c>
      <c r="P45" t="s">
        <v>97</v>
      </c>
      <c r="Q45">
        <v>1</v>
      </c>
      <c r="W45">
        <v>0</v>
      </c>
      <c r="X45">
        <v>813963326</v>
      </c>
      <c r="Y45">
        <v>0.5</v>
      </c>
      <c r="AA45">
        <v>11.88</v>
      </c>
      <c r="AB45">
        <v>0</v>
      </c>
      <c r="AC45">
        <v>0</v>
      </c>
      <c r="AD45">
        <v>0</v>
      </c>
      <c r="AE45">
        <v>1.82</v>
      </c>
      <c r="AF45">
        <v>0</v>
      </c>
      <c r="AG45">
        <v>0</v>
      </c>
      <c r="AH45">
        <v>0</v>
      </c>
      <c r="AI45">
        <v>6.53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3</v>
      </c>
      <c r="AT45">
        <v>0.5</v>
      </c>
      <c r="AU45" t="s">
        <v>3</v>
      </c>
      <c r="AV45">
        <v>0</v>
      </c>
      <c r="AW45">
        <v>2</v>
      </c>
      <c r="AX45">
        <v>39100228</v>
      </c>
      <c r="AY45">
        <v>1</v>
      </c>
      <c r="AZ45">
        <v>0</v>
      </c>
      <c r="BA45">
        <v>48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Y45*Source!I39</f>
        <v>1.3965000000000001</v>
      </c>
      <c r="CY45">
        <f>AA45</f>
        <v>11.88</v>
      </c>
      <c r="CZ45">
        <f>AE45</f>
        <v>1.82</v>
      </c>
      <c r="DA45">
        <f>AI45</f>
        <v>6.53</v>
      </c>
      <c r="DB45">
        <v>0</v>
      </c>
    </row>
    <row r="46" spans="1:106" x14ac:dyDescent="0.2">
      <c r="A46">
        <f>ROW(Source!A39)</f>
        <v>39</v>
      </c>
      <c r="B46">
        <v>39099382</v>
      </c>
      <c r="C46">
        <v>39100213</v>
      </c>
      <c r="D46">
        <v>36836950</v>
      </c>
      <c r="E46">
        <v>1</v>
      </c>
      <c r="F46">
        <v>1</v>
      </c>
      <c r="G46">
        <v>1</v>
      </c>
      <c r="H46">
        <v>3</v>
      </c>
      <c r="I46" t="s">
        <v>99</v>
      </c>
      <c r="J46" t="s">
        <v>101</v>
      </c>
      <c r="K46" t="s">
        <v>100</v>
      </c>
      <c r="L46">
        <v>1346</v>
      </c>
      <c r="N46">
        <v>1009</v>
      </c>
      <c r="O46" t="s">
        <v>97</v>
      </c>
      <c r="P46" t="s">
        <v>97</v>
      </c>
      <c r="Q46">
        <v>1</v>
      </c>
      <c r="W46">
        <v>0</v>
      </c>
      <c r="X46">
        <v>1104462431</v>
      </c>
      <c r="Y46">
        <v>50</v>
      </c>
      <c r="AA46">
        <v>103.83</v>
      </c>
      <c r="AB46">
        <v>0</v>
      </c>
      <c r="AC46">
        <v>0</v>
      </c>
      <c r="AD46">
        <v>0</v>
      </c>
      <c r="AE46">
        <v>15.9</v>
      </c>
      <c r="AF46">
        <v>0</v>
      </c>
      <c r="AG46">
        <v>0</v>
      </c>
      <c r="AH46">
        <v>0</v>
      </c>
      <c r="AI46">
        <v>6.53</v>
      </c>
      <c r="AJ46">
        <v>1</v>
      </c>
      <c r="AK46">
        <v>1</v>
      </c>
      <c r="AL46">
        <v>1</v>
      </c>
      <c r="AN46">
        <v>0</v>
      </c>
      <c r="AO46">
        <v>0</v>
      </c>
      <c r="AP46">
        <v>0</v>
      </c>
      <c r="AQ46">
        <v>0</v>
      </c>
      <c r="AR46">
        <v>0</v>
      </c>
      <c r="AS46" t="s">
        <v>3</v>
      </c>
      <c r="AT46">
        <v>50</v>
      </c>
      <c r="AU46" t="s">
        <v>3</v>
      </c>
      <c r="AV46">
        <v>0</v>
      </c>
      <c r="AW46">
        <v>1</v>
      </c>
      <c r="AX46">
        <v>-1</v>
      </c>
      <c r="AY46">
        <v>0</v>
      </c>
      <c r="AZ46">
        <v>0</v>
      </c>
      <c r="BA46" t="s">
        <v>3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Y46*Source!I39</f>
        <v>139.65</v>
      </c>
      <c r="CY46">
        <f>AA46</f>
        <v>103.83</v>
      </c>
      <c r="CZ46">
        <f>AE46</f>
        <v>15.9</v>
      </c>
      <c r="DA46">
        <f>AI46</f>
        <v>6.53</v>
      </c>
      <c r="DB46">
        <v>0</v>
      </c>
    </row>
    <row r="47" spans="1:106" x14ac:dyDescent="0.2">
      <c r="A47">
        <f>ROW(Source!A39)</f>
        <v>39</v>
      </c>
      <c r="B47">
        <v>39099382</v>
      </c>
      <c r="C47">
        <v>39100213</v>
      </c>
      <c r="D47">
        <v>36796764</v>
      </c>
      <c r="E47">
        <v>17</v>
      </c>
      <c r="F47">
        <v>1</v>
      </c>
      <c r="G47">
        <v>1</v>
      </c>
      <c r="H47">
        <v>3</v>
      </c>
      <c r="I47" t="s">
        <v>95</v>
      </c>
      <c r="J47" t="s">
        <v>3</v>
      </c>
      <c r="K47" t="s">
        <v>96</v>
      </c>
      <c r="L47">
        <v>1346</v>
      </c>
      <c r="N47">
        <v>1009</v>
      </c>
      <c r="O47" t="s">
        <v>97</v>
      </c>
      <c r="P47" t="s">
        <v>97</v>
      </c>
      <c r="Q47">
        <v>1</v>
      </c>
      <c r="W47">
        <v>0</v>
      </c>
      <c r="X47">
        <v>290394019</v>
      </c>
      <c r="Y47">
        <v>50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6.53</v>
      </c>
      <c r="AJ47">
        <v>1</v>
      </c>
      <c r="AK47">
        <v>1</v>
      </c>
      <c r="AL47">
        <v>1</v>
      </c>
      <c r="AN47">
        <v>0</v>
      </c>
      <c r="AO47">
        <v>0</v>
      </c>
      <c r="AP47">
        <v>0</v>
      </c>
      <c r="AQ47">
        <v>0</v>
      </c>
      <c r="AR47">
        <v>0</v>
      </c>
      <c r="AS47" t="s">
        <v>3</v>
      </c>
      <c r="AT47">
        <v>50</v>
      </c>
      <c r="AU47" t="s">
        <v>3</v>
      </c>
      <c r="AV47">
        <v>0</v>
      </c>
      <c r="AW47">
        <v>2</v>
      </c>
      <c r="AX47">
        <v>39100229</v>
      </c>
      <c r="AY47">
        <v>1</v>
      </c>
      <c r="AZ47">
        <v>0</v>
      </c>
      <c r="BA47">
        <v>49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Y47*Source!I39</f>
        <v>139.65</v>
      </c>
      <c r="CY47">
        <f>AA47</f>
        <v>0</v>
      </c>
      <c r="CZ47">
        <f>AE47</f>
        <v>0</v>
      </c>
      <c r="DA47">
        <f>AI47</f>
        <v>6.53</v>
      </c>
      <c r="DB47">
        <v>0</v>
      </c>
    </row>
    <row r="48" spans="1:106" x14ac:dyDescent="0.2">
      <c r="A48">
        <f>ROW(Source!A44)</f>
        <v>44</v>
      </c>
      <c r="B48">
        <v>39099382</v>
      </c>
      <c r="C48">
        <v>39100234</v>
      </c>
      <c r="D48">
        <v>37072767</v>
      </c>
      <c r="E48">
        <v>1</v>
      </c>
      <c r="F48">
        <v>1</v>
      </c>
      <c r="G48">
        <v>1</v>
      </c>
      <c r="H48">
        <v>1</v>
      </c>
      <c r="I48" t="s">
        <v>674</v>
      </c>
      <c r="J48" t="s">
        <v>3</v>
      </c>
      <c r="K48" t="s">
        <v>675</v>
      </c>
      <c r="L48">
        <v>1191</v>
      </c>
      <c r="N48">
        <v>1013</v>
      </c>
      <c r="O48" t="s">
        <v>641</v>
      </c>
      <c r="P48" t="s">
        <v>641</v>
      </c>
      <c r="Q48">
        <v>1</v>
      </c>
      <c r="W48">
        <v>0</v>
      </c>
      <c r="X48">
        <v>-1027537862</v>
      </c>
      <c r="Y48">
        <v>6.68</v>
      </c>
      <c r="AA48">
        <v>0</v>
      </c>
      <c r="AB48">
        <v>0</v>
      </c>
      <c r="AC48">
        <v>0</v>
      </c>
      <c r="AD48">
        <v>59.95</v>
      </c>
      <c r="AE48">
        <v>0</v>
      </c>
      <c r="AF48">
        <v>0</v>
      </c>
      <c r="AG48">
        <v>0</v>
      </c>
      <c r="AH48">
        <v>9.18</v>
      </c>
      <c r="AI48">
        <v>1</v>
      </c>
      <c r="AJ48">
        <v>1</v>
      </c>
      <c r="AK48">
        <v>1</v>
      </c>
      <c r="AL48">
        <v>6.53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3</v>
      </c>
      <c r="AT48">
        <v>6.68</v>
      </c>
      <c r="AU48" t="s">
        <v>3</v>
      </c>
      <c r="AV48">
        <v>1</v>
      </c>
      <c r="AW48">
        <v>2</v>
      </c>
      <c r="AX48">
        <v>39100253</v>
      </c>
      <c r="AY48">
        <v>1</v>
      </c>
      <c r="AZ48">
        <v>0</v>
      </c>
      <c r="BA48">
        <v>50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Y48*Source!I44</f>
        <v>11.388064</v>
      </c>
      <c r="CY48">
        <f>AD48</f>
        <v>59.95</v>
      </c>
      <c r="CZ48">
        <f>AH48</f>
        <v>9.18</v>
      </c>
      <c r="DA48">
        <f>AL48</f>
        <v>6.53</v>
      </c>
      <c r="DB48">
        <v>0</v>
      </c>
    </row>
    <row r="49" spans="1:106" x14ac:dyDescent="0.2">
      <c r="A49">
        <f>ROW(Source!A44)</f>
        <v>44</v>
      </c>
      <c r="B49">
        <v>39099382</v>
      </c>
      <c r="C49">
        <v>39100234</v>
      </c>
      <c r="D49">
        <v>37064876</v>
      </c>
      <c r="E49">
        <v>1</v>
      </c>
      <c r="F49">
        <v>1</v>
      </c>
      <c r="G49">
        <v>1</v>
      </c>
      <c r="H49">
        <v>1</v>
      </c>
      <c r="I49" t="s">
        <v>642</v>
      </c>
      <c r="J49" t="s">
        <v>3</v>
      </c>
      <c r="K49" t="s">
        <v>643</v>
      </c>
      <c r="L49">
        <v>1191</v>
      </c>
      <c r="N49">
        <v>1013</v>
      </c>
      <c r="O49" t="s">
        <v>641</v>
      </c>
      <c r="P49" t="s">
        <v>641</v>
      </c>
      <c r="Q49">
        <v>1</v>
      </c>
      <c r="W49">
        <v>0</v>
      </c>
      <c r="X49">
        <v>-1417349443</v>
      </c>
      <c r="Y49">
        <v>0.04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1</v>
      </c>
      <c r="AJ49">
        <v>1</v>
      </c>
      <c r="AK49">
        <v>6.53</v>
      </c>
      <c r="AL49">
        <v>1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3</v>
      </c>
      <c r="AT49">
        <v>0.04</v>
      </c>
      <c r="AU49" t="s">
        <v>3</v>
      </c>
      <c r="AV49">
        <v>2</v>
      </c>
      <c r="AW49">
        <v>2</v>
      </c>
      <c r="AX49">
        <v>39100254</v>
      </c>
      <c r="AY49">
        <v>1</v>
      </c>
      <c r="AZ49">
        <v>0</v>
      </c>
      <c r="BA49">
        <v>51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Y49*Source!I44</f>
        <v>6.8192000000000003E-2</v>
      </c>
      <c r="CY49">
        <f>AD49</f>
        <v>0</v>
      </c>
      <c r="CZ49">
        <f>AH49</f>
        <v>0</v>
      </c>
      <c r="DA49">
        <f>AL49</f>
        <v>1</v>
      </c>
      <c r="DB49">
        <v>0</v>
      </c>
    </row>
    <row r="50" spans="1:106" x14ac:dyDescent="0.2">
      <c r="A50">
        <f>ROW(Source!A44)</f>
        <v>44</v>
      </c>
      <c r="B50">
        <v>39099382</v>
      </c>
      <c r="C50">
        <v>39100234</v>
      </c>
      <c r="D50">
        <v>36882452</v>
      </c>
      <c r="E50">
        <v>1</v>
      </c>
      <c r="F50">
        <v>1</v>
      </c>
      <c r="G50">
        <v>1</v>
      </c>
      <c r="H50">
        <v>2</v>
      </c>
      <c r="I50" t="s">
        <v>644</v>
      </c>
      <c r="J50" t="s">
        <v>645</v>
      </c>
      <c r="K50" t="s">
        <v>646</v>
      </c>
      <c r="L50">
        <v>1368</v>
      </c>
      <c r="N50">
        <v>1011</v>
      </c>
      <c r="O50" t="s">
        <v>647</v>
      </c>
      <c r="P50" t="s">
        <v>647</v>
      </c>
      <c r="Q50">
        <v>1</v>
      </c>
      <c r="W50">
        <v>0</v>
      </c>
      <c r="X50">
        <v>1188625873</v>
      </c>
      <c r="Y50">
        <v>5.0000000000000001E-3</v>
      </c>
      <c r="AA50">
        <v>0</v>
      </c>
      <c r="AB50">
        <v>204.13</v>
      </c>
      <c r="AC50">
        <v>13.5</v>
      </c>
      <c r="AD50">
        <v>0</v>
      </c>
      <c r="AE50">
        <v>0</v>
      </c>
      <c r="AF50">
        <v>31.26</v>
      </c>
      <c r="AG50">
        <v>13.5</v>
      </c>
      <c r="AH50">
        <v>0</v>
      </c>
      <c r="AI50">
        <v>1</v>
      </c>
      <c r="AJ50">
        <v>6.53</v>
      </c>
      <c r="AK50">
        <v>1</v>
      </c>
      <c r="AL50">
        <v>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3</v>
      </c>
      <c r="AT50">
        <v>5.0000000000000001E-3</v>
      </c>
      <c r="AU50" t="s">
        <v>3</v>
      </c>
      <c r="AV50">
        <v>0</v>
      </c>
      <c r="AW50">
        <v>2</v>
      </c>
      <c r="AX50">
        <v>39100255</v>
      </c>
      <c r="AY50">
        <v>1</v>
      </c>
      <c r="AZ50">
        <v>0</v>
      </c>
      <c r="BA50">
        <v>52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Y50*Source!I44</f>
        <v>8.5240000000000003E-3</v>
      </c>
      <c r="CY50">
        <f>AB50</f>
        <v>204.13</v>
      </c>
      <c r="CZ50">
        <f>AF50</f>
        <v>31.26</v>
      </c>
      <c r="DA50">
        <f>AJ50</f>
        <v>6.53</v>
      </c>
      <c r="DB50">
        <v>0</v>
      </c>
    </row>
    <row r="51" spans="1:106" x14ac:dyDescent="0.2">
      <c r="A51">
        <f>ROW(Source!A44)</f>
        <v>44</v>
      </c>
      <c r="B51">
        <v>39099382</v>
      </c>
      <c r="C51">
        <v>39100234</v>
      </c>
      <c r="D51">
        <v>36883554</v>
      </c>
      <c r="E51">
        <v>1</v>
      </c>
      <c r="F51">
        <v>1</v>
      </c>
      <c r="G51">
        <v>1</v>
      </c>
      <c r="H51">
        <v>2</v>
      </c>
      <c r="I51" t="s">
        <v>665</v>
      </c>
      <c r="J51" t="s">
        <v>666</v>
      </c>
      <c r="K51" t="s">
        <v>667</v>
      </c>
      <c r="L51">
        <v>1368</v>
      </c>
      <c r="N51">
        <v>1011</v>
      </c>
      <c r="O51" t="s">
        <v>647</v>
      </c>
      <c r="P51" t="s">
        <v>647</v>
      </c>
      <c r="Q51">
        <v>1</v>
      </c>
      <c r="W51">
        <v>0</v>
      </c>
      <c r="X51">
        <v>1372534845</v>
      </c>
      <c r="Y51">
        <v>0.03</v>
      </c>
      <c r="AA51">
        <v>0</v>
      </c>
      <c r="AB51">
        <v>429.09</v>
      </c>
      <c r="AC51">
        <v>11.6</v>
      </c>
      <c r="AD51">
        <v>0</v>
      </c>
      <c r="AE51">
        <v>0</v>
      </c>
      <c r="AF51">
        <v>65.709999999999994</v>
      </c>
      <c r="AG51">
        <v>11.6</v>
      </c>
      <c r="AH51">
        <v>0</v>
      </c>
      <c r="AI51">
        <v>1</v>
      </c>
      <c r="AJ51">
        <v>6.53</v>
      </c>
      <c r="AK51">
        <v>1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3</v>
      </c>
      <c r="AT51">
        <v>0.03</v>
      </c>
      <c r="AU51" t="s">
        <v>3</v>
      </c>
      <c r="AV51">
        <v>0</v>
      </c>
      <c r="AW51">
        <v>2</v>
      </c>
      <c r="AX51">
        <v>39100256</v>
      </c>
      <c r="AY51">
        <v>1</v>
      </c>
      <c r="AZ51">
        <v>0</v>
      </c>
      <c r="BA51">
        <v>53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Y51*Source!I44</f>
        <v>5.1144000000000002E-2</v>
      </c>
      <c r="CY51">
        <f>AB51</f>
        <v>429.09</v>
      </c>
      <c r="CZ51">
        <f>AF51</f>
        <v>65.709999999999994</v>
      </c>
      <c r="DA51">
        <f>AJ51</f>
        <v>6.53</v>
      </c>
      <c r="DB51">
        <v>0</v>
      </c>
    </row>
    <row r="52" spans="1:106" x14ac:dyDescent="0.2">
      <c r="A52">
        <f>ROW(Source!A44)</f>
        <v>44</v>
      </c>
      <c r="B52">
        <v>39099382</v>
      </c>
      <c r="C52">
        <v>39100234</v>
      </c>
      <c r="D52">
        <v>36804478</v>
      </c>
      <c r="E52">
        <v>1</v>
      </c>
      <c r="F52">
        <v>1</v>
      </c>
      <c r="G52">
        <v>1</v>
      </c>
      <c r="H52">
        <v>3</v>
      </c>
      <c r="I52" t="s">
        <v>684</v>
      </c>
      <c r="J52" t="s">
        <v>685</v>
      </c>
      <c r="K52" t="s">
        <v>686</v>
      </c>
      <c r="L52">
        <v>1355</v>
      </c>
      <c r="N52">
        <v>1010</v>
      </c>
      <c r="O52" t="s">
        <v>120</v>
      </c>
      <c r="P52" t="s">
        <v>120</v>
      </c>
      <c r="Q52">
        <v>100</v>
      </c>
      <c r="W52">
        <v>0</v>
      </c>
      <c r="X52">
        <v>-725528132</v>
      </c>
      <c r="Y52">
        <v>2.63</v>
      </c>
      <c r="AA52">
        <v>78.36</v>
      </c>
      <c r="AB52">
        <v>0</v>
      </c>
      <c r="AC52">
        <v>0</v>
      </c>
      <c r="AD52">
        <v>0</v>
      </c>
      <c r="AE52">
        <v>12</v>
      </c>
      <c r="AF52">
        <v>0</v>
      </c>
      <c r="AG52">
        <v>0</v>
      </c>
      <c r="AH52">
        <v>0</v>
      </c>
      <c r="AI52">
        <v>6.53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3</v>
      </c>
      <c r="AT52">
        <v>2.63</v>
      </c>
      <c r="AU52" t="s">
        <v>3</v>
      </c>
      <c r="AV52">
        <v>0</v>
      </c>
      <c r="AW52">
        <v>2</v>
      </c>
      <c r="AX52">
        <v>39100257</v>
      </c>
      <c r="AY52">
        <v>1</v>
      </c>
      <c r="AZ52">
        <v>0</v>
      </c>
      <c r="BA52">
        <v>54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Y52*Source!I44</f>
        <v>4.4836239999999998</v>
      </c>
      <c r="CY52">
        <f t="shared" ref="CY52:CY65" si="0">AA52</f>
        <v>78.36</v>
      </c>
      <c r="CZ52">
        <f t="shared" ref="CZ52:CZ65" si="1">AE52</f>
        <v>12</v>
      </c>
      <c r="DA52">
        <f t="shared" ref="DA52:DA65" si="2">AI52</f>
        <v>6.53</v>
      </c>
      <c r="DB52">
        <v>0</v>
      </c>
    </row>
    <row r="53" spans="1:106" x14ac:dyDescent="0.2">
      <c r="A53">
        <f>ROW(Source!A44)</f>
        <v>44</v>
      </c>
      <c r="B53">
        <v>39099382</v>
      </c>
      <c r="C53">
        <v>39100234</v>
      </c>
      <c r="D53">
        <v>36804581</v>
      </c>
      <c r="E53">
        <v>1</v>
      </c>
      <c r="F53">
        <v>1</v>
      </c>
      <c r="G53">
        <v>1</v>
      </c>
      <c r="H53">
        <v>3</v>
      </c>
      <c r="I53" t="s">
        <v>687</v>
      </c>
      <c r="J53" t="s">
        <v>688</v>
      </c>
      <c r="K53" t="s">
        <v>689</v>
      </c>
      <c r="L53">
        <v>1356</v>
      </c>
      <c r="N53">
        <v>1010</v>
      </c>
      <c r="O53" t="s">
        <v>690</v>
      </c>
      <c r="P53" t="s">
        <v>690</v>
      </c>
      <c r="Q53">
        <v>1000</v>
      </c>
      <c r="W53">
        <v>0</v>
      </c>
      <c r="X53">
        <v>1130533903</v>
      </c>
      <c r="Y53">
        <v>0.26300000000000001</v>
      </c>
      <c r="AA53">
        <v>1044.8</v>
      </c>
      <c r="AB53">
        <v>0</v>
      </c>
      <c r="AC53">
        <v>0</v>
      </c>
      <c r="AD53">
        <v>0</v>
      </c>
      <c r="AE53">
        <v>160</v>
      </c>
      <c r="AF53">
        <v>0</v>
      </c>
      <c r="AG53">
        <v>0</v>
      </c>
      <c r="AH53">
        <v>0</v>
      </c>
      <c r="AI53">
        <v>6.53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0</v>
      </c>
      <c r="AQ53">
        <v>0</v>
      </c>
      <c r="AR53">
        <v>0</v>
      </c>
      <c r="AS53" t="s">
        <v>3</v>
      </c>
      <c r="AT53">
        <v>0.26300000000000001</v>
      </c>
      <c r="AU53" t="s">
        <v>3</v>
      </c>
      <c r="AV53">
        <v>0</v>
      </c>
      <c r="AW53">
        <v>2</v>
      </c>
      <c r="AX53">
        <v>39100258</v>
      </c>
      <c r="AY53">
        <v>1</v>
      </c>
      <c r="AZ53">
        <v>0</v>
      </c>
      <c r="BA53">
        <v>55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Y53*Source!I44</f>
        <v>0.44836240000000005</v>
      </c>
      <c r="CY53">
        <f t="shared" si="0"/>
        <v>1044.8</v>
      </c>
      <c r="CZ53">
        <f t="shared" si="1"/>
        <v>160</v>
      </c>
      <c r="DA53">
        <f t="shared" si="2"/>
        <v>6.53</v>
      </c>
      <c r="DB53">
        <v>0</v>
      </c>
    </row>
    <row r="54" spans="1:106" x14ac:dyDescent="0.2">
      <c r="A54">
        <f>ROW(Source!A44)</f>
        <v>44</v>
      </c>
      <c r="B54">
        <v>39099382</v>
      </c>
      <c r="C54">
        <v>39100234</v>
      </c>
      <c r="D54">
        <v>36797263</v>
      </c>
      <c r="E54">
        <v>17</v>
      </c>
      <c r="F54">
        <v>1</v>
      </c>
      <c r="G54">
        <v>1</v>
      </c>
      <c r="H54">
        <v>3</v>
      </c>
      <c r="I54" t="s">
        <v>107</v>
      </c>
      <c r="J54" t="s">
        <v>3</v>
      </c>
      <c r="K54" t="s">
        <v>108</v>
      </c>
      <c r="L54">
        <v>1301</v>
      </c>
      <c r="N54">
        <v>1003</v>
      </c>
      <c r="O54" t="s">
        <v>109</v>
      </c>
      <c r="P54" t="s">
        <v>109</v>
      </c>
      <c r="Q54">
        <v>1</v>
      </c>
      <c r="W54">
        <v>0</v>
      </c>
      <c r="X54">
        <v>-2049262376</v>
      </c>
      <c r="Y54">
        <v>101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6.53</v>
      </c>
      <c r="AJ54">
        <v>1</v>
      </c>
      <c r="AK54">
        <v>1</v>
      </c>
      <c r="AL54">
        <v>1</v>
      </c>
      <c r="AN54">
        <v>0</v>
      </c>
      <c r="AO54">
        <v>0</v>
      </c>
      <c r="AP54">
        <v>0</v>
      </c>
      <c r="AQ54">
        <v>0</v>
      </c>
      <c r="AR54">
        <v>0</v>
      </c>
      <c r="AS54" t="s">
        <v>3</v>
      </c>
      <c r="AT54">
        <v>101</v>
      </c>
      <c r="AU54" t="s">
        <v>3</v>
      </c>
      <c r="AV54">
        <v>0</v>
      </c>
      <c r="AW54">
        <v>2</v>
      </c>
      <c r="AX54">
        <v>39100259</v>
      </c>
      <c r="AY54">
        <v>1</v>
      </c>
      <c r="AZ54">
        <v>0</v>
      </c>
      <c r="BA54">
        <v>56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Y54*Source!I44</f>
        <v>172.1848</v>
      </c>
      <c r="CY54">
        <f t="shared" si="0"/>
        <v>0</v>
      </c>
      <c r="CZ54">
        <f t="shared" si="1"/>
        <v>0</v>
      </c>
      <c r="DA54">
        <f t="shared" si="2"/>
        <v>6.53</v>
      </c>
      <c r="DB54">
        <v>0</v>
      </c>
    </row>
    <row r="55" spans="1:106" x14ac:dyDescent="0.2">
      <c r="A55">
        <f>ROW(Source!A44)</f>
        <v>44</v>
      </c>
      <c r="B55">
        <v>39099382</v>
      </c>
      <c r="C55">
        <v>39100234</v>
      </c>
      <c r="D55">
        <v>36832175</v>
      </c>
      <c r="E55">
        <v>1</v>
      </c>
      <c r="F55">
        <v>1</v>
      </c>
      <c r="G55">
        <v>1</v>
      </c>
      <c r="H55">
        <v>3</v>
      </c>
      <c r="I55" t="s">
        <v>111</v>
      </c>
      <c r="J55" t="s">
        <v>113</v>
      </c>
      <c r="K55" t="s">
        <v>112</v>
      </c>
      <c r="L55">
        <v>1301</v>
      </c>
      <c r="N55">
        <v>1003</v>
      </c>
      <c r="O55" t="s">
        <v>109</v>
      </c>
      <c r="P55" t="s">
        <v>109</v>
      </c>
      <c r="Q55">
        <v>1</v>
      </c>
      <c r="W55">
        <v>0</v>
      </c>
      <c r="X55">
        <v>-843297162</v>
      </c>
      <c r="Y55">
        <v>101</v>
      </c>
      <c r="AA55">
        <v>80.319999999999993</v>
      </c>
      <c r="AB55">
        <v>0</v>
      </c>
      <c r="AC55">
        <v>0</v>
      </c>
      <c r="AD55">
        <v>0</v>
      </c>
      <c r="AE55">
        <v>12.3</v>
      </c>
      <c r="AF55">
        <v>0</v>
      </c>
      <c r="AG55">
        <v>0</v>
      </c>
      <c r="AH55">
        <v>0</v>
      </c>
      <c r="AI55">
        <v>6.53</v>
      </c>
      <c r="AJ55">
        <v>1</v>
      </c>
      <c r="AK55">
        <v>1</v>
      </c>
      <c r="AL55">
        <v>1</v>
      </c>
      <c r="AN55">
        <v>0</v>
      </c>
      <c r="AO55">
        <v>0</v>
      </c>
      <c r="AP55">
        <v>0</v>
      </c>
      <c r="AQ55">
        <v>0</v>
      </c>
      <c r="AR55">
        <v>0</v>
      </c>
      <c r="AS55" t="s">
        <v>3</v>
      </c>
      <c r="AT55">
        <v>101</v>
      </c>
      <c r="AU55" t="s">
        <v>3</v>
      </c>
      <c r="AV55">
        <v>0</v>
      </c>
      <c r="AW55">
        <v>1</v>
      </c>
      <c r="AX55">
        <v>-1</v>
      </c>
      <c r="AY55">
        <v>0</v>
      </c>
      <c r="AZ55">
        <v>0</v>
      </c>
      <c r="BA55" t="s">
        <v>3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Y55*Source!I44</f>
        <v>172.1848</v>
      </c>
      <c r="CY55">
        <f t="shared" si="0"/>
        <v>80.319999999999993</v>
      </c>
      <c r="CZ55">
        <f t="shared" si="1"/>
        <v>12.3</v>
      </c>
      <c r="DA55">
        <f t="shared" si="2"/>
        <v>6.53</v>
      </c>
      <c r="DB55">
        <v>0</v>
      </c>
    </row>
    <row r="56" spans="1:106" x14ac:dyDescent="0.2">
      <c r="A56">
        <f>ROW(Source!A44)</f>
        <v>44</v>
      </c>
      <c r="B56">
        <v>39099382</v>
      </c>
      <c r="C56">
        <v>39100234</v>
      </c>
      <c r="D56">
        <v>36797266</v>
      </c>
      <c r="E56">
        <v>17</v>
      </c>
      <c r="F56">
        <v>1</v>
      </c>
      <c r="G56">
        <v>1</v>
      </c>
      <c r="H56">
        <v>3</v>
      </c>
      <c r="I56" t="s">
        <v>115</v>
      </c>
      <c r="J56" t="s">
        <v>3</v>
      </c>
      <c r="K56" t="s">
        <v>116</v>
      </c>
      <c r="L56">
        <v>1354</v>
      </c>
      <c r="N56">
        <v>1010</v>
      </c>
      <c r="O56" t="s">
        <v>37</v>
      </c>
      <c r="P56" t="s">
        <v>37</v>
      </c>
      <c r="Q56">
        <v>1</v>
      </c>
      <c r="W56">
        <v>0</v>
      </c>
      <c r="X56">
        <v>457303772</v>
      </c>
      <c r="Y56">
        <v>7.0389489999999997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6.53</v>
      </c>
      <c r="AJ56">
        <v>1</v>
      </c>
      <c r="AK56">
        <v>1</v>
      </c>
      <c r="AL56">
        <v>1</v>
      </c>
      <c r="AN56">
        <v>0</v>
      </c>
      <c r="AO56">
        <v>0</v>
      </c>
      <c r="AP56">
        <v>0</v>
      </c>
      <c r="AQ56">
        <v>0</v>
      </c>
      <c r="AR56">
        <v>0</v>
      </c>
      <c r="AS56" t="s">
        <v>3</v>
      </c>
      <c r="AT56">
        <v>7.0389489999999997</v>
      </c>
      <c r="AU56" t="s">
        <v>3</v>
      </c>
      <c r="AV56">
        <v>0</v>
      </c>
      <c r="AW56">
        <v>2</v>
      </c>
      <c r="AX56">
        <v>39100260</v>
      </c>
      <c r="AY56">
        <v>1</v>
      </c>
      <c r="AZ56">
        <v>6144</v>
      </c>
      <c r="BA56">
        <v>57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Y56*Source!I44</f>
        <v>12.0000002552</v>
      </c>
      <c r="CY56">
        <f t="shared" si="0"/>
        <v>0</v>
      </c>
      <c r="CZ56">
        <f t="shared" si="1"/>
        <v>0</v>
      </c>
      <c r="DA56">
        <f t="shared" si="2"/>
        <v>6.53</v>
      </c>
      <c r="DB56">
        <v>0</v>
      </c>
    </row>
    <row r="57" spans="1:106" x14ac:dyDescent="0.2">
      <c r="A57">
        <f>ROW(Source!A44)</f>
        <v>44</v>
      </c>
      <c r="B57">
        <v>39099382</v>
      </c>
      <c r="C57">
        <v>39100234</v>
      </c>
      <c r="D57">
        <v>36797266</v>
      </c>
      <c r="E57">
        <v>17</v>
      </c>
      <c r="F57">
        <v>1</v>
      </c>
      <c r="G57">
        <v>1</v>
      </c>
      <c r="H57">
        <v>3</v>
      </c>
      <c r="I57" t="s">
        <v>115</v>
      </c>
      <c r="J57" t="s">
        <v>3</v>
      </c>
      <c r="K57" t="s">
        <v>140</v>
      </c>
      <c r="L57">
        <v>1354</v>
      </c>
      <c r="N57">
        <v>1010</v>
      </c>
      <c r="O57" t="s">
        <v>37</v>
      </c>
      <c r="P57" t="s">
        <v>37</v>
      </c>
      <c r="Q57">
        <v>1</v>
      </c>
      <c r="W57">
        <v>0</v>
      </c>
      <c r="X57">
        <v>2133044040</v>
      </c>
      <c r="Y57">
        <v>39.887377000000001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6.53</v>
      </c>
      <c r="AJ57">
        <v>1</v>
      </c>
      <c r="AK57">
        <v>1</v>
      </c>
      <c r="AL57">
        <v>1</v>
      </c>
      <c r="AN57">
        <v>0</v>
      </c>
      <c r="AO57">
        <v>0</v>
      </c>
      <c r="AP57">
        <v>0</v>
      </c>
      <c r="AQ57">
        <v>0</v>
      </c>
      <c r="AR57">
        <v>0</v>
      </c>
      <c r="AS57" t="s">
        <v>3</v>
      </c>
      <c r="AT57">
        <v>39.887377000000001</v>
      </c>
      <c r="AU57" t="s">
        <v>3</v>
      </c>
      <c r="AV57">
        <v>0</v>
      </c>
      <c r="AW57">
        <v>2</v>
      </c>
      <c r="AX57">
        <v>39100261</v>
      </c>
      <c r="AY57">
        <v>1</v>
      </c>
      <c r="AZ57">
        <v>6144</v>
      </c>
      <c r="BA57">
        <v>58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Y57*Source!I44</f>
        <v>68.000000309600011</v>
      </c>
      <c r="CY57">
        <f t="shared" si="0"/>
        <v>0</v>
      </c>
      <c r="CZ57">
        <f t="shared" si="1"/>
        <v>0</v>
      </c>
      <c r="DA57">
        <f t="shared" si="2"/>
        <v>6.53</v>
      </c>
      <c r="DB57">
        <v>0</v>
      </c>
    </row>
    <row r="58" spans="1:106" x14ac:dyDescent="0.2">
      <c r="A58">
        <f>ROW(Source!A44)</f>
        <v>44</v>
      </c>
      <c r="B58">
        <v>39099382</v>
      </c>
      <c r="C58">
        <v>39100234</v>
      </c>
      <c r="D58">
        <v>36797266</v>
      </c>
      <c r="E58">
        <v>17</v>
      </c>
      <c r="F58">
        <v>1</v>
      </c>
      <c r="G58">
        <v>1</v>
      </c>
      <c r="H58">
        <v>3</v>
      </c>
      <c r="I58" t="s">
        <v>115</v>
      </c>
      <c r="J58" t="s">
        <v>3</v>
      </c>
      <c r="K58" t="s">
        <v>142</v>
      </c>
      <c r="L58">
        <v>1354</v>
      </c>
      <c r="N58">
        <v>1010</v>
      </c>
      <c r="O58" t="s">
        <v>37</v>
      </c>
      <c r="P58" t="s">
        <v>37</v>
      </c>
      <c r="Q58">
        <v>1</v>
      </c>
      <c r="W58">
        <v>0</v>
      </c>
      <c r="X58">
        <v>1953413105</v>
      </c>
      <c r="Y58">
        <v>8.2121069999999996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6.53</v>
      </c>
      <c r="AJ58">
        <v>1</v>
      </c>
      <c r="AK58">
        <v>1</v>
      </c>
      <c r="AL58">
        <v>1</v>
      </c>
      <c r="AN58">
        <v>0</v>
      </c>
      <c r="AO58">
        <v>0</v>
      </c>
      <c r="AP58">
        <v>0</v>
      </c>
      <c r="AQ58">
        <v>0</v>
      </c>
      <c r="AR58">
        <v>0</v>
      </c>
      <c r="AS58" t="s">
        <v>3</v>
      </c>
      <c r="AT58">
        <v>8.2121069999999996</v>
      </c>
      <c r="AU58" t="s">
        <v>3</v>
      </c>
      <c r="AV58">
        <v>0</v>
      </c>
      <c r="AW58">
        <v>2</v>
      </c>
      <c r="AX58">
        <v>39100262</v>
      </c>
      <c r="AY58">
        <v>1</v>
      </c>
      <c r="AZ58">
        <v>6144</v>
      </c>
      <c r="BA58">
        <v>59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Y58*Source!I44</f>
        <v>14.000000013599999</v>
      </c>
      <c r="CY58">
        <f t="shared" si="0"/>
        <v>0</v>
      </c>
      <c r="CZ58">
        <f t="shared" si="1"/>
        <v>0</v>
      </c>
      <c r="DA58">
        <f t="shared" si="2"/>
        <v>6.53</v>
      </c>
      <c r="DB58">
        <v>0</v>
      </c>
    </row>
    <row r="59" spans="1:106" x14ac:dyDescent="0.2">
      <c r="A59">
        <f>ROW(Source!A44)</f>
        <v>44</v>
      </c>
      <c r="B59">
        <v>39099382</v>
      </c>
      <c r="C59">
        <v>39100234</v>
      </c>
      <c r="D59">
        <v>36797266</v>
      </c>
      <c r="E59">
        <v>17</v>
      </c>
      <c r="F59">
        <v>1</v>
      </c>
      <c r="G59">
        <v>1</v>
      </c>
      <c r="H59">
        <v>3</v>
      </c>
      <c r="I59" t="s">
        <v>115</v>
      </c>
      <c r="J59" t="s">
        <v>3</v>
      </c>
      <c r="K59" t="s">
        <v>144</v>
      </c>
      <c r="L59">
        <v>1354</v>
      </c>
      <c r="N59">
        <v>1010</v>
      </c>
      <c r="O59" t="s">
        <v>37</v>
      </c>
      <c r="P59" t="s">
        <v>37</v>
      </c>
      <c r="Q59">
        <v>1</v>
      </c>
      <c r="W59">
        <v>0</v>
      </c>
      <c r="X59">
        <v>-333106949</v>
      </c>
      <c r="Y59">
        <v>8.2121069999999996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6.53</v>
      </c>
      <c r="AJ59">
        <v>1</v>
      </c>
      <c r="AK59">
        <v>1</v>
      </c>
      <c r="AL59">
        <v>1</v>
      </c>
      <c r="AN59">
        <v>0</v>
      </c>
      <c r="AO59">
        <v>0</v>
      </c>
      <c r="AP59">
        <v>0</v>
      </c>
      <c r="AQ59">
        <v>0</v>
      </c>
      <c r="AR59">
        <v>0</v>
      </c>
      <c r="AS59" t="s">
        <v>3</v>
      </c>
      <c r="AT59">
        <v>8.2121069999999996</v>
      </c>
      <c r="AU59" t="s">
        <v>3</v>
      </c>
      <c r="AV59">
        <v>0</v>
      </c>
      <c r="AW59">
        <v>2</v>
      </c>
      <c r="AX59">
        <v>39100263</v>
      </c>
      <c r="AY59">
        <v>1</v>
      </c>
      <c r="AZ59">
        <v>6144</v>
      </c>
      <c r="BA59">
        <v>60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Y59*Source!I44</f>
        <v>14.000000013599999</v>
      </c>
      <c r="CY59">
        <f t="shared" si="0"/>
        <v>0</v>
      </c>
      <c r="CZ59">
        <f t="shared" si="1"/>
        <v>0</v>
      </c>
      <c r="DA59">
        <f t="shared" si="2"/>
        <v>6.53</v>
      </c>
      <c r="DB59">
        <v>0</v>
      </c>
    </row>
    <row r="60" spans="1:106" x14ac:dyDescent="0.2">
      <c r="A60">
        <f>ROW(Source!A44)</f>
        <v>44</v>
      </c>
      <c r="B60">
        <v>39099382</v>
      </c>
      <c r="C60">
        <v>39100234</v>
      </c>
      <c r="D60">
        <v>36832261</v>
      </c>
      <c r="E60">
        <v>1</v>
      </c>
      <c r="F60">
        <v>1</v>
      </c>
      <c r="G60">
        <v>1</v>
      </c>
      <c r="H60">
        <v>3</v>
      </c>
      <c r="I60" t="s">
        <v>123</v>
      </c>
      <c r="J60" t="s">
        <v>125</v>
      </c>
      <c r="K60" t="s">
        <v>124</v>
      </c>
      <c r="L60">
        <v>1355</v>
      </c>
      <c r="N60">
        <v>1010</v>
      </c>
      <c r="O60" t="s">
        <v>120</v>
      </c>
      <c r="P60" t="s">
        <v>120</v>
      </c>
      <c r="Q60">
        <v>100</v>
      </c>
      <c r="W60">
        <v>0</v>
      </c>
      <c r="X60">
        <v>1345842772</v>
      </c>
      <c r="Y60">
        <v>8.2121E-2</v>
      </c>
      <c r="AA60">
        <v>411.39</v>
      </c>
      <c r="AB60">
        <v>0</v>
      </c>
      <c r="AC60">
        <v>0</v>
      </c>
      <c r="AD60">
        <v>0</v>
      </c>
      <c r="AE60">
        <v>63</v>
      </c>
      <c r="AF60">
        <v>0</v>
      </c>
      <c r="AG60">
        <v>0</v>
      </c>
      <c r="AH60">
        <v>0</v>
      </c>
      <c r="AI60">
        <v>6.53</v>
      </c>
      <c r="AJ60">
        <v>1</v>
      </c>
      <c r="AK60">
        <v>1</v>
      </c>
      <c r="AL60">
        <v>1</v>
      </c>
      <c r="AN60">
        <v>0</v>
      </c>
      <c r="AO60">
        <v>0</v>
      </c>
      <c r="AP60">
        <v>0</v>
      </c>
      <c r="AQ60">
        <v>0</v>
      </c>
      <c r="AR60">
        <v>0</v>
      </c>
      <c r="AS60" t="s">
        <v>3</v>
      </c>
      <c r="AT60">
        <v>8.2121E-2</v>
      </c>
      <c r="AU60" t="s">
        <v>3</v>
      </c>
      <c r="AV60">
        <v>0</v>
      </c>
      <c r="AW60">
        <v>1</v>
      </c>
      <c r="AX60">
        <v>-1</v>
      </c>
      <c r="AY60">
        <v>0</v>
      </c>
      <c r="AZ60">
        <v>0</v>
      </c>
      <c r="BA60" t="s">
        <v>3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Y60*Source!I44</f>
        <v>0.1399998808</v>
      </c>
      <c r="CY60">
        <f t="shared" si="0"/>
        <v>411.39</v>
      </c>
      <c r="CZ60">
        <f t="shared" si="1"/>
        <v>63</v>
      </c>
      <c r="DA60">
        <f t="shared" si="2"/>
        <v>6.53</v>
      </c>
      <c r="DB60">
        <v>0</v>
      </c>
    </row>
    <row r="61" spans="1:106" x14ac:dyDescent="0.2">
      <c r="A61">
        <f>ROW(Source!A44)</f>
        <v>44</v>
      </c>
      <c r="B61">
        <v>39099382</v>
      </c>
      <c r="C61">
        <v>39100234</v>
      </c>
      <c r="D61">
        <v>36832261</v>
      </c>
      <c r="E61">
        <v>1</v>
      </c>
      <c r="F61">
        <v>1</v>
      </c>
      <c r="G61">
        <v>1</v>
      </c>
      <c r="H61">
        <v>3</v>
      </c>
      <c r="I61" t="s">
        <v>123</v>
      </c>
      <c r="J61" t="s">
        <v>125</v>
      </c>
      <c r="K61" t="s">
        <v>124</v>
      </c>
      <c r="L61">
        <v>1355</v>
      </c>
      <c r="N61">
        <v>1010</v>
      </c>
      <c r="O61" t="s">
        <v>120</v>
      </c>
      <c r="P61" t="s">
        <v>120</v>
      </c>
      <c r="Q61">
        <v>100</v>
      </c>
      <c r="W61">
        <v>0</v>
      </c>
      <c r="X61">
        <v>1345842772</v>
      </c>
      <c r="Y61">
        <v>7.0388999999999993E-2</v>
      </c>
      <c r="AA61">
        <v>411.39</v>
      </c>
      <c r="AB61">
        <v>0</v>
      </c>
      <c r="AC61">
        <v>0</v>
      </c>
      <c r="AD61">
        <v>0</v>
      </c>
      <c r="AE61">
        <v>63</v>
      </c>
      <c r="AF61">
        <v>0</v>
      </c>
      <c r="AG61">
        <v>0</v>
      </c>
      <c r="AH61">
        <v>0</v>
      </c>
      <c r="AI61">
        <v>6.53</v>
      </c>
      <c r="AJ61">
        <v>1</v>
      </c>
      <c r="AK61">
        <v>1</v>
      </c>
      <c r="AL61">
        <v>1</v>
      </c>
      <c r="AN61">
        <v>0</v>
      </c>
      <c r="AO61">
        <v>0</v>
      </c>
      <c r="AP61">
        <v>0</v>
      </c>
      <c r="AQ61">
        <v>0</v>
      </c>
      <c r="AR61">
        <v>0</v>
      </c>
      <c r="AS61" t="s">
        <v>3</v>
      </c>
      <c r="AT61">
        <v>7.0388999999999993E-2</v>
      </c>
      <c r="AU61" t="s">
        <v>3</v>
      </c>
      <c r="AV61">
        <v>0</v>
      </c>
      <c r="AW61">
        <v>1</v>
      </c>
      <c r="AX61">
        <v>-1</v>
      </c>
      <c r="AY61">
        <v>0</v>
      </c>
      <c r="AZ61">
        <v>0</v>
      </c>
      <c r="BA61" t="s">
        <v>3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Y61*Source!I44</f>
        <v>0.11999916719999999</v>
      </c>
      <c r="CY61">
        <f t="shared" si="0"/>
        <v>411.39</v>
      </c>
      <c r="CZ61">
        <f t="shared" si="1"/>
        <v>63</v>
      </c>
      <c r="DA61">
        <f t="shared" si="2"/>
        <v>6.53</v>
      </c>
      <c r="DB61">
        <v>0</v>
      </c>
    </row>
    <row r="62" spans="1:106" x14ac:dyDescent="0.2">
      <c r="A62">
        <f>ROW(Source!A44)</f>
        <v>44</v>
      </c>
      <c r="B62">
        <v>39099382</v>
      </c>
      <c r="C62">
        <v>39100234</v>
      </c>
      <c r="D62">
        <v>36832263</v>
      </c>
      <c r="E62">
        <v>1</v>
      </c>
      <c r="F62">
        <v>1</v>
      </c>
      <c r="G62">
        <v>1</v>
      </c>
      <c r="H62">
        <v>3</v>
      </c>
      <c r="I62" t="s">
        <v>118</v>
      </c>
      <c r="J62" t="s">
        <v>121</v>
      </c>
      <c r="K62" t="s">
        <v>119</v>
      </c>
      <c r="L62">
        <v>1355</v>
      </c>
      <c r="N62">
        <v>1010</v>
      </c>
      <c r="O62" t="s">
        <v>120</v>
      </c>
      <c r="P62" t="s">
        <v>120</v>
      </c>
      <c r="Q62">
        <v>100</v>
      </c>
      <c r="W62">
        <v>0</v>
      </c>
      <c r="X62">
        <v>1906340979</v>
      </c>
      <c r="Y62">
        <v>8.2121E-2</v>
      </c>
      <c r="AA62">
        <v>411.39</v>
      </c>
      <c r="AB62">
        <v>0</v>
      </c>
      <c r="AC62">
        <v>0</v>
      </c>
      <c r="AD62">
        <v>0</v>
      </c>
      <c r="AE62">
        <v>63</v>
      </c>
      <c r="AF62">
        <v>0</v>
      </c>
      <c r="AG62">
        <v>0</v>
      </c>
      <c r="AH62">
        <v>0</v>
      </c>
      <c r="AI62">
        <v>6.53</v>
      </c>
      <c r="AJ62">
        <v>1</v>
      </c>
      <c r="AK62">
        <v>1</v>
      </c>
      <c r="AL62">
        <v>1</v>
      </c>
      <c r="AN62">
        <v>0</v>
      </c>
      <c r="AO62">
        <v>0</v>
      </c>
      <c r="AP62">
        <v>0</v>
      </c>
      <c r="AQ62">
        <v>0</v>
      </c>
      <c r="AR62">
        <v>0</v>
      </c>
      <c r="AS62" t="s">
        <v>3</v>
      </c>
      <c r="AT62">
        <v>8.2121E-2</v>
      </c>
      <c r="AU62" t="s">
        <v>3</v>
      </c>
      <c r="AV62">
        <v>0</v>
      </c>
      <c r="AW62">
        <v>1</v>
      </c>
      <c r="AX62">
        <v>-1</v>
      </c>
      <c r="AY62">
        <v>0</v>
      </c>
      <c r="AZ62">
        <v>0</v>
      </c>
      <c r="BA62" t="s">
        <v>3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Y62*Source!I44</f>
        <v>0.1399998808</v>
      </c>
      <c r="CY62">
        <f t="shared" si="0"/>
        <v>411.39</v>
      </c>
      <c r="CZ62">
        <f t="shared" si="1"/>
        <v>63</v>
      </c>
      <c r="DA62">
        <f t="shared" si="2"/>
        <v>6.53</v>
      </c>
      <c r="DB62">
        <v>0</v>
      </c>
    </row>
    <row r="63" spans="1:106" x14ac:dyDescent="0.2">
      <c r="A63">
        <f>ROW(Source!A44)</f>
        <v>44</v>
      </c>
      <c r="B63">
        <v>39099382</v>
      </c>
      <c r="C63">
        <v>39100234</v>
      </c>
      <c r="D63">
        <v>36832265</v>
      </c>
      <c r="E63">
        <v>1</v>
      </c>
      <c r="F63">
        <v>1</v>
      </c>
      <c r="G63">
        <v>1</v>
      </c>
      <c r="H63">
        <v>3</v>
      </c>
      <c r="I63" t="s">
        <v>127</v>
      </c>
      <c r="J63" t="s">
        <v>129</v>
      </c>
      <c r="K63" t="s">
        <v>128</v>
      </c>
      <c r="L63">
        <v>1355</v>
      </c>
      <c r="N63">
        <v>1010</v>
      </c>
      <c r="O63" t="s">
        <v>120</v>
      </c>
      <c r="P63" t="s">
        <v>120</v>
      </c>
      <c r="Q63">
        <v>100</v>
      </c>
      <c r="W63">
        <v>0</v>
      </c>
      <c r="X63">
        <v>848075668</v>
      </c>
      <c r="Y63">
        <v>0.39887400000000001</v>
      </c>
      <c r="AA63">
        <v>835.84</v>
      </c>
      <c r="AB63">
        <v>0</v>
      </c>
      <c r="AC63">
        <v>0</v>
      </c>
      <c r="AD63">
        <v>0</v>
      </c>
      <c r="AE63">
        <v>128</v>
      </c>
      <c r="AF63">
        <v>0</v>
      </c>
      <c r="AG63">
        <v>0</v>
      </c>
      <c r="AH63">
        <v>0</v>
      </c>
      <c r="AI63">
        <v>6.53</v>
      </c>
      <c r="AJ63">
        <v>1</v>
      </c>
      <c r="AK63">
        <v>1</v>
      </c>
      <c r="AL63">
        <v>1</v>
      </c>
      <c r="AN63">
        <v>0</v>
      </c>
      <c r="AO63">
        <v>0</v>
      </c>
      <c r="AP63">
        <v>0</v>
      </c>
      <c r="AQ63">
        <v>0</v>
      </c>
      <c r="AR63">
        <v>0</v>
      </c>
      <c r="AS63" t="s">
        <v>3</v>
      </c>
      <c r="AT63">
        <v>0.39887400000000001</v>
      </c>
      <c r="AU63" t="s">
        <v>3</v>
      </c>
      <c r="AV63">
        <v>0</v>
      </c>
      <c r="AW63">
        <v>1</v>
      </c>
      <c r="AX63">
        <v>-1</v>
      </c>
      <c r="AY63">
        <v>0</v>
      </c>
      <c r="AZ63">
        <v>0</v>
      </c>
      <c r="BA63" t="s">
        <v>3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Y63*Source!I44</f>
        <v>0.6800003952</v>
      </c>
      <c r="CY63">
        <f t="shared" si="0"/>
        <v>835.84</v>
      </c>
      <c r="CZ63">
        <f t="shared" si="1"/>
        <v>128</v>
      </c>
      <c r="DA63">
        <f t="shared" si="2"/>
        <v>6.53</v>
      </c>
      <c r="DB63">
        <v>0</v>
      </c>
    </row>
    <row r="64" spans="1:106" x14ac:dyDescent="0.2">
      <c r="A64">
        <f>ROW(Source!A44)</f>
        <v>44</v>
      </c>
      <c r="B64">
        <v>39099382</v>
      </c>
      <c r="C64">
        <v>39100234</v>
      </c>
      <c r="D64">
        <v>36832267</v>
      </c>
      <c r="E64">
        <v>1</v>
      </c>
      <c r="F64">
        <v>1</v>
      </c>
      <c r="G64">
        <v>1</v>
      </c>
      <c r="H64">
        <v>3</v>
      </c>
      <c r="I64" t="s">
        <v>131</v>
      </c>
      <c r="J64" t="s">
        <v>133</v>
      </c>
      <c r="K64" t="s">
        <v>132</v>
      </c>
      <c r="L64">
        <v>1355</v>
      </c>
      <c r="N64">
        <v>1010</v>
      </c>
      <c r="O64" t="s">
        <v>120</v>
      </c>
      <c r="P64" t="s">
        <v>120</v>
      </c>
      <c r="Q64">
        <v>100</v>
      </c>
      <c r="W64">
        <v>0</v>
      </c>
      <c r="X64">
        <v>1508644261</v>
      </c>
      <c r="Y64">
        <v>7.0388999999999993E-2</v>
      </c>
      <c r="AA64">
        <v>835.84</v>
      </c>
      <c r="AB64">
        <v>0</v>
      </c>
      <c r="AC64">
        <v>0</v>
      </c>
      <c r="AD64">
        <v>0</v>
      </c>
      <c r="AE64">
        <v>128</v>
      </c>
      <c r="AF64">
        <v>0</v>
      </c>
      <c r="AG64">
        <v>0</v>
      </c>
      <c r="AH64">
        <v>0</v>
      </c>
      <c r="AI64">
        <v>6.53</v>
      </c>
      <c r="AJ64">
        <v>1</v>
      </c>
      <c r="AK64">
        <v>1</v>
      </c>
      <c r="AL64">
        <v>1</v>
      </c>
      <c r="AN64">
        <v>0</v>
      </c>
      <c r="AO64">
        <v>0</v>
      </c>
      <c r="AP64">
        <v>0</v>
      </c>
      <c r="AQ64">
        <v>0</v>
      </c>
      <c r="AR64">
        <v>0</v>
      </c>
      <c r="AS64" t="s">
        <v>3</v>
      </c>
      <c r="AT64">
        <v>7.0388999999999993E-2</v>
      </c>
      <c r="AU64" t="s">
        <v>3</v>
      </c>
      <c r="AV64">
        <v>0</v>
      </c>
      <c r="AW64">
        <v>1</v>
      </c>
      <c r="AX64">
        <v>-1</v>
      </c>
      <c r="AY64">
        <v>0</v>
      </c>
      <c r="AZ64">
        <v>0</v>
      </c>
      <c r="BA64" t="s">
        <v>3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Y64*Source!I44</f>
        <v>0.11999916719999999</v>
      </c>
      <c r="CY64">
        <f t="shared" si="0"/>
        <v>835.84</v>
      </c>
      <c r="CZ64">
        <f t="shared" si="1"/>
        <v>128</v>
      </c>
      <c r="DA64">
        <f t="shared" si="2"/>
        <v>6.53</v>
      </c>
      <c r="DB64">
        <v>0</v>
      </c>
    </row>
    <row r="65" spans="1:106" x14ac:dyDescent="0.2">
      <c r="A65">
        <f>ROW(Source!A44)</f>
        <v>44</v>
      </c>
      <c r="B65">
        <v>39099382</v>
      </c>
      <c r="C65">
        <v>39100234</v>
      </c>
      <c r="D65">
        <v>36832269</v>
      </c>
      <c r="E65">
        <v>1</v>
      </c>
      <c r="F65">
        <v>1</v>
      </c>
      <c r="G65">
        <v>1</v>
      </c>
      <c r="H65">
        <v>3</v>
      </c>
      <c r="I65" t="s">
        <v>135</v>
      </c>
      <c r="J65" t="s">
        <v>137</v>
      </c>
      <c r="K65" t="s">
        <v>136</v>
      </c>
      <c r="L65">
        <v>1355</v>
      </c>
      <c r="N65">
        <v>1010</v>
      </c>
      <c r="O65" t="s">
        <v>120</v>
      </c>
      <c r="P65" t="s">
        <v>120</v>
      </c>
      <c r="Q65">
        <v>100</v>
      </c>
      <c r="W65">
        <v>0</v>
      </c>
      <c r="X65">
        <v>-1530028590</v>
      </c>
      <c r="Y65">
        <v>7.0388999999999993E-2</v>
      </c>
      <c r="AA65">
        <v>835.84</v>
      </c>
      <c r="AB65">
        <v>0</v>
      </c>
      <c r="AC65">
        <v>0</v>
      </c>
      <c r="AD65">
        <v>0</v>
      </c>
      <c r="AE65">
        <v>128</v>
      </c>
      <c r="AF65">
        <v>0</v>
      </c>
      <c r="AG65">
        <v>0</v>
      </c>
      <c r="AH65">
        <v>0</v>
      </c>
      <c r="AI65">
        <v>6.53</v>
      </c>
      <c r="AJ65">
        <v>1</v>
      </c>
      <c r="AK65">
        <v>1</v>
      </c>
      <c r="AL65">
        <v>1</v>
      </c>
      <c r="AN65">
        <v>0</v>
      </c>
      <c r="AO65">
        <v>0</v>
      </c>
      <c r="AP65">
        <v>0</v>
      </c>
      <c r="AQ65">
        <v>0</v>
      </c>
      <c r="AR65">
        <v>0</v>
      </c>
      <c r="AS65" t="s">
        <v>3</v>
      </c>
      <c r="AT65">
        <v>7.0388999999999993E-2</v>
      </c>
      <c r="AU65" t="s">
        <v>3</v>
      </c>
      <c r="AV65">
        <v>0</v>
      </c>
      <c r="AW65">
        <v>1</v>
      </c>
      <c r="AX65">
        <v>-1</v>
      </c>
      <c r="AY65">
        <v>0</v>
      </c>
      <c r="AZ65">
        <v>0</v>
      </c>
      <c r="BA65" t="s">
        <v>3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Y65*Source!I44</f>
        <v>0.11999916719999999</v>
      </c>
      <c r="CY65">
        <f t="shared" si="0"/>
        <v>835.84</v>
      </c>
      <c r="CZ65">
        <f t="shared" si="1"/>
        <v>128</v>
      </c>
      <c r="DA65">
        <f t="shared" si="2"/>
        <v>6.53</v>
      </c>
      <c r="DB65">
        <v>0</v>
      </c>
    </row>
    <row r="66" spans="1:106" x14ac:dyDescent="0.2">
      <c r="A66">
        <f>ROW(Source!A57)</f>
        <v>57</v>
      </c>
      <c r="B66">
        <v>39099382</v>
      </c>
      <c r="C66">
        <v>39100277</v>
      </c>
      <c r="D66">
        <v>37070495</v>
      </c>
      <c r="E66">
        <v>1</v>
      </c>
      <c r="F66">
        <v>1</v>
      </c>
      <c r="G66">
        <v>1</v>
      </c>
      <c r="H66">
        <v>1</v>
      </c>
      <c r="I66" t="s">
        <v>691</v>
      </c>
      <c r="J66" t="s">
        <v>3</v>
      </c>
      <c r="K66" t="s">
        <v>692</v>
      </c>
      <c r="L66">
        <v>1191</v>
      </c>
      <c r="N66">
        <v>1013</v>
      </c>
      <c r="O66" t="s">
        <v>641</v>
      </c>
      <c r="P66" t="s">
        <v>641</v>
      </c>
      <c r="Q66">
        <v>1</v>
      </c>
      <c r="W66">
        <v>0</v>
      </c>
      <c r="X66">
        <v>-784637506</v>
      </c>
      <c r="Y66">
        <v>16.64</v>
      </c>
      <c r="AA66">
        <v>0</v>
      </c>
      <c r="AB66">
        <v>0</v>
      </c>
      <c r="AC66">
        <v>0</v>
      </c>
      <c r="AD66">
        <v>57.07</v>
      </c>
      <c r="AE66">
        <v>0</v>
      </c>
      <c r="AF66">
        <v>0</v>
      </c>
      <c r="AG66">
        <v>0</v>
      </c>
      <c r="AH66">
        <v>8.74</v>
      </c>
      <c r="AI66">
        <v>1</v>
      </c>
      <c r="AJ66">
        <v>1</v>
      </c>
      <c r="AK66">
        <v>1</v>
      </c>
      <c r="AL66">
        <v>6.53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3</v>
      </c>
      <c r="AT66">
        <v>16.64</v>
      </c>
      <c r="AU66" t="s">
        <v>3</v>
      </c>
      <c r="AV66">
        <v>1</v>
      </c>
      <c r="AW66">
        <v>2</v>
      </c>
      <c r="AX66">
        <v>39100283</v>
      </c>
      <c r="AY66">
        <v>1</v>
      </c>
      <c r="AZ66">
        <v>0</v>
      </c>
      <c r="BA66">
        <v>62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Y66*Source!I57</f>
        <v>1.19808</v>
      </c>
      <c r="CY66">
        <f>AD66</f>
        <v>57.07</v>
      </c>
      <c r="CZ66">
        <f>AH66</f>
        <v>8.74</v>
      </c>
      <c r="DA66">
        <f>AL66</f>
        <v>6.53</v>
      </c>
      <c r="DB66">
        <v>0</v>
      </c>
    </row>
    <row r="67" spans="1:106" x14ac:dyDescent="0.2">
      <c r="A67">
        <f>ROW(Source!A57)</f>
        <v>57</v>
      </c>
      <c r="B67">
        <v>39099382</v>
      </c>
      <c r="C67">
        <v>39100277</v>
      </c>
      <c r="D67">
        <v>36804478</v>
      </c>
      <c r="E67">
        <v>1</v>
      </c>
      <c r="F67">
        <v>1</v>
      </c>
      <c r="G67">
        <v>1</v>
      </c>
      <c r="H67">
        <v>3</v>
      </c>
      <c r="I67" t="s">
        <v>684</v>
      </c>
      <c r="J67" t="s">
        <v>685</v>
      </c>
      <c r="K67" t="s">
        <v>686</v>
      </c>
      <c r="L67">
        <v>1355</v>
      </c>
      <c r="N67">
        <v>1010</v>
      </c>
      <c r="O67" t="s">
        <v>120</v>
      </c>
      <c r="P67" t="s">
        <v>120</v>
      </c>
      <c r="Q67">
        <v>100</v>
      </c>
      <c r="W67">
        <v>0</v>
      </c>
      <c r="X67">
        <v>-725528132</v>
      </c>
      <c r="Y67">
        <v>6.7</v>
      </c>
      <c r="AA67">
        <v>78.36</v>
      </c>
      <c r="AB67">
        <v>0</v>
      </c>
      <c r="AC67">
        <v>0</v>
      </c>
      <c r="AD67">
        <v>0</v>
      </c>
      <c r="AE67">
        <v>12</v>
      </c>
      <c r="AF67">
        <v>0</v>
      </c>
      <c r="AG67">
        <v>0</v>
      </c>
      <c r="AH67">
        <v>0</v>
      </c>
      <c r="AI67">
        <v>6.53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3</v>
      </c>
      <c r="AT67">
        <v>6.7</v>
      </c>
      <c r="AU67" t="s">
        <v>3</v>
      </c>
      <c r="AV67">
        <v>0</v>
      </c>
      <c r="AW67">
        <v>2</v>
      </c>
      <c r="AX67">
        <v>39100284</v>
      </c>
      <c r="AY67">
        <v>1</v>
      </c>
      <c r="AZ67">
        <v>0</v>
      </c>
      <c r="BA67">
        <v>63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Y67*Source!I57</f>
        <v>0.4824</v>
      </c>
      <c r="CY67">
        <f>AA67</f>
        <v>78.36</v>
      </c>
      <c r="CZ67">
        <f>AE67</f>
        <v>12</v>
      </c>
      <c r="DA67">
        <f>AI67</f>
        <v>6.53</v>
      </c>
      <c r="DB67">
        <v>0</v>
      </c>
    </row>
    <row r="68" spans="1:106" x14ac:dyDescent="0.2">
      <c r="A68">
        <f>ROW(Source!A57)</f>
        <v>57</v>
      </c>
      <c r="B68">
        <v>39099382</v>
      </c>
      <c r="C68">
        <v>39100277</v>
      </c>
      <c r="D68">
        <v>36797282</v>
      </c>
      <c r="E68">
        <v>17</v>
      </c>
      <c r="F68">
        <v>1</v>
      </c>
      <c r="G68">
        <v>1</v>
      </c>
      <c r="H68">
        <v>3</v>
      </c>
      <c r="I68" t="s">
        <v>158</v>
      </c>
      <c r="J68" t="s">
        <v>3</v>
      </c>
      <c r="K68" t="s">
        <v>159</v>
      </c>
      <c r="L68">
        <v>1301</v>
      </c>
      <c r="N68">
        <v>1003</v>
      </c>
      <c r="O68" t="s">
        <v>109</v>
      </c>
      <c r="P68" t="s">
        <v>109</v>
      </c>
      <c r="Q68">
        <v>1</v>
      </c>
      <c r="W68">
        <v>0</v>
      </c>
      <c r="X68">
        <v>2101938969</v>
      </c>
      <c r="Y68">
        <v>105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6.53</v>
      </c>
      <c r="AJ68">
        <v>1</v>
      </c>
      <c r="AK68">
        <v>1</v>
      </c>
      <c r="AL68">
        <v>1</v>
      </c>
      <c r="AN68">
        <v>0</v>
      </c>
      <c r="AO68">
        <v>0</v>
      </c>
      <c r="AP68">
        <v>0</v>
      </c>
      <c r="AQ68">
        <v>0</v>
      </c>
      <c r="AR68">
        <v>0</v>
      </c>
      <c r="AS68" t="s">
        <v>3</v>
      </c>
      <c r="AT68">
        <v>105</v>
      </c>
      <c r="AU68" t="s">
        <v>3</v>
      </c>
      <c r="AV68">
        <v>0</v>
      </c>
      <c r="AW68">
        <v>2</v>
      </c>
      <c r="AX68">
        <v>39100285</v>
      </c>
      <c r="AY68">
        <v>1</v>
      </c>
      <c r="AZ68">
        <v>0</v>
      </c>
      <c r="BA68">
        <v>64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Y68*Source!I57</f>
        <v>7.56</v>
      </c>
      <c r="CY68">
        <f>AA68</f>
        <v>0</v>
      </c>
      <c r="CZ68">
        <f>AE68</f>
        <v>0</v>
      </c>
      <c r="DA68">
        <f>AI68</f>
        <v>6.53</v>
      </c>
      <c r="DB68">
        <v>0</v>
      </c>
    </row>
    <row r="69" spans="1:106" x14ac:dyDescent="0.2">
      <c r="A69">
        <f>ROW(Source!A57)</f>
        <v>57</v>
      </c>
      <c r="B69">
        <v>39099382</v>
      </c>
      <c r="C69">
        <v>39100277</v>
      </c>
      <c r="D69">
        <v>36827371</v>
      </c>
      <c r="E69">
        <v>1</v>
      </c>
      <c r="F69">
        <v>1</v>
      </c>
      <c r="G69">
        <v>1</v>
      </c>
      <c r="H69">
        <v>3</v>
      </c>
      <c r="I69" t="s">
        <v>154</v>
      </c>
      <c r="J69" t="s">
        <v>156</v>
      </c>
      <c r="K69" t="s">
        <v>155</v>
      </c>
      <c r="L69">
        <v>1354</v>
      </c>
      <c r="N69">
        <v>1010</v>
      </c>
      <c r="O69" t="s">
        <v>37</v>
      </c>
      <c r="P69" t="s">
        <v>37</v>
      </c>
      <c r="Q69">
        <v>1</v>
      </c>
      <c r="W69">
        <v>0</v>
      </c>
      <c r="X69">
        <v>-1858633972</v>
      </c>
      <c r="Y69">
        <v>83.333332999999996</v>
      </c>
      <c r="AA69">
        <v>98.41</v>
      </c>
      <c r="AB69">
        <v>0</v>
      </c>
      <c r="AC69">
        <v>0</v>
      </c>
      <c r="AD69">
        <v>0</v>
      </c>
      <c r="AE69">
        <v>15.07</v>
      </c>
      <c r="AF69">
        <v>0</v>
      </c>
      <c r="AG69">
        <v>0</v>
      </c>
      <c r="AH69">
        <v>0</v>
      </c>
      <c r="AI69">
        <v>6.53</v>
      </c>
      <c r="AJ69">
        <v>1</v>
      </c>
      <c r="AK69">
        <v>1</v>
      </c>
      <c r="AL69">
        <v>1</v>
      </c>
      <c r="AN69">
        <v>0</v>
      </c>
      <c r="AO69">
        <v>0</v>
      </c>
      <c r="AP69">
        <v>0</v>
      </c>
      <c r="AQ69">
        <v>0</v>
      </c>
      <c r="AR69">
        <v>0</v>
      </c>
      <c r="AS69" t="s">
        <v>3</v>
      </c>
      <c r="AT69">
        <v>83.333332999999996</v>
      </c>
      <c r="AU69" t="s">
        <v>3</v>
      </c>
      <c r="AV69">
        <v>0</v>
      </c>
      <c r="AW69">
        <v>1</v>
      </c>
      <c r="AX69">
        <v>-1</v>
      </c>
      <c r="AY69">
        <v>0</v>
      </c>
      <c r="AZ69">
        <v>0</v>
      </c>
      <c r="BA69" t="s">
        <v>3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Y69*Source!I57</f>
        <v>5.9999999759999989</v>
      </c>
      <c r="CY69">
        <f>AA69</f>
        <v>98.41</v>
      </c>
      <c r="CZ69">
        <f>AE69</f>
        <v>15.07</v>
      </c>
      <c r="DA69">
        <f>AI69</f>
        <v>6.53</v>
      </c>
      <c r="DB69">
        <v>0</v>
      </c>
    </row>
    <row r="70" spans="1:106" x14ac:dyDescent="0.2">
      <c r="A70">
        <f>ROW(Source!A57)</f>
        <v>57</v>
      </c>
      <c r="B70">
        <v>39099382</v>
      </c>
      <c r="C70">
        <v>39100277</v>
      </c>
      <c r="D70">
        <v>36827372</v>
      </c>
      <c r="E70">
        <v>1</v>
      </c>
      <c r="F70">
        <v>1</v>
      </c>
      <c r="G70">
        <v>1</v>
      </c>
      <c r="H70">
        <v>3</v>
      </c>
      <c r="I70" t="s">
        <v>150</v>
      </c>
      <c r="J70" t="s">
        <v>152</v>
      </c>
      <c r="K70" t="s">
        <v>151</v>
      </c>
      <c r="L70">
        <v>1354</v>
      </c>
      <c r="N70">
        <v>1010</v>
      </c>
      <c r="O70" t="s">
        <v>37</v>
      </c>
      <c r="P70" t="s">
        <v>37</v>
      </c>
      <c r="Q70">
        <v>1</v>
      </c>
      <c r="W70">
        <v>0</v>
      </c>
      <c r="X70">
        <v>577992781</v>
      </c>
      <c r="Y70">
        <v>13.888889000000001</v>
      </c>
      <c r="AA70">
        <v>204.26</v>
      </c>
      <c r="AB70">
        <v>0</v>
      </c>
      <c r="AC70">
        <v>0</v>
      </c>
      <c r="AD70">
        <v>0</v>
      </c>
      <c r="AE70">
        <v>31.28</v>
      </c>
      <c r="AF70">
        <v>0</v>
      </c>
      <c r="AG70">
        <v>0</v>
      </c>
      <c r="AH70">
        <v>0</v>
      </c>
      <c r="AI70">
        <v>6.53</v>
      </c>
      <c r="AJ70">
        <v>1</v>
      </c>
      <c r="AK70">
        <v>1</v>
      </c>
      <c r="AL70">
        <v>1</v>
      </c>
      <c r="AN70">
        <v>0</v>
      </c>
      <c r="AO70">
        <v>0</v>
      </c>
      <c r="AP70">
        <v>0</v>
      </c>
      <c r="AQ70">
        <v>0</v>
      </c>
      <c r="AR70">
        <v>0</v>
      </c>
      <c r="AS70" t="s">
        <v>3</v>
      </c>
      <c r="AT70">
        <v>13.888889000000001</v>
      </c>
      <c r="AU70" t="s">
        <v>3</v>
      </c>
      <c r="AV70">
        <v>0</v>
      </c>
      <c r="AW70">
        <v>1</v>
      </c>
      <c r="AX70">
        <v>-1</v>
      </c>
      <c r="AY70">
        <v>0</v>
      </c>
      <c r="AZ70">
        <v>0</v>
      </c>
      <c r="BA70" t="s">
        <v>3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Y70*Source!I57</f>
        <v>1.000000008</v>
      </c>
      <c r="CY70">
        <f>AA70</f>
        <v>204.26</v>
      </c>
      <c r="CZ70">
        <f>AE70</f>
        <v>31.28</v>
      </c>
      <c r="DA70">
        <f>AI70</f>
        <v>6.53</v>
      </c>
      <c r="DB70">
        <v>0</v>
      </c>
    </row>
    <row r="71" spans="1:106" x14ac:dyDescent="0.2">
      <c r="A71">
        <f>ROW(Source!A61)</f>
        <v>61</v>
      </c>
      <c r="B71">
        <v>39099382</v>
      </c>
      <c r="C71">
        <v>39101243</v>
      </c>
      <c r="D71">
        <v>37064878</v>
      </c>
      <c r="E71">
        <v>1</v>
      </c>
      <c r="F71">
        <v>1</v>
      </c>
      <c r="G71">
        <v>1</v>
      </c>
      <c r="H71">
        <v>1</v>
      </c>
      <c r="I71" t="s">
        <v>693</v>
      </c>
      <c r="J71" t="s">
        <v>3</v>
      </c>
      <c r="K71" t="s">
        <v>694</v>
      </c>
      <c r="L71">
        <v>1191</v>
      </c>
      <c r="N71">
        <v>1013</v>
      </c>
      <c r="O71" t="s">
        <v>641</v>
      </c>
      <c r="P71" t="s">
        <v>641</v>
      </c>
      <c r="Q71">
        <v>1</v>
      </c>
      <c r="W71">
        <v>0</v>
      </c>
      <c r="X71">
        <v>-1081351934</v>
      </c>
      <c r="Y71">
        <v>98.715999999999994</v>
      </c>
      <c r="AA71">
        <v>0</v>
      </c>
      <c r="AB71">
        <v>0</v>
      </c>
      <c r="AC71">
        <v>0</v>
      </c>
      <c r="AD71">
        <v>61.38</v>
      </c>
      <c r="AE71">
        <v>0</v>
      </c>
      <c r="AF71">
        <v>0</v>
      </c>
      <c r="AG71">
        <v>0</v>
      </c>
      <c r="AH71">
        <v>9.4</v>
      </c>
      <c r="AI71">
        <v>1</v>
      </c>
      <c r="AJ71">
        <v>1</v>
      </c>
      <c r="AK71">
        <v>1</v>
      </c>
      <c r="AL71">
        <v>6.53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3</v>
      </c>
      <c r="AT71">
        <v>85.84</v>
      </c>
      <c r="AU71" t="s">
        <v>66</v>
      </c>
      <c r="AV71">
        <v>1</v>
      </c>
      <c r="AW71">
        <v>2</v>
      </c>
      <c r="AX71">
        <v>39101244</v>
      </c>
      <c r="AY71">
        <v>1</v>
      </c>
      <c r="AZ71">
        <v>0</v>
      </c>
      <c r="BA71">
        <v>65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Y71*Source!I61</f>
        <v>152.66429399999998</v>
      </c>
      <c r="CY71">
        <f>AD71</f>
        <v>61.38</v>
      </c>
      <c r="CZ71">
        <f>AH71</f>
        <v>9.4</v>
      </c>
      <c r="DA71">
        <f>AL71</f>
        <v>6.53</v>
      </c>
      <c r="DB71">
        <v>0</v>
      </c>
    </row>
    <row r="72" spans="1:106" x14ac:dyDescent="0.2">
      <c r="A72">
        <f>ROW(Source!A61)</f>
        <v>61</v>
      </c>
      <c r="B72">
        <v>39099382</v>
      </c>
      <c r="C72">
        <v>39101243</v>
      </c>
      <c r="D72">
        <v>37064876</v>
      </c>
      <c r="E72">
        <v>1</v>
      </c>
      <c r="F72">
        <v>1</v>
      </c>
      <c r="G72">
        <v>1</v>
      </c>
      <c r="H72">
        <v>1</v>
      </c>
      <c r="I72" t="s">
        <v>642</v>
      </c>
      <c r="J72" t="s">
        <v>3</v>
      </c>
      <c r="K72" t="s">
        <v>643</v>
      </c>
      <c r="L72">
        <v>1191</v>
      </c>
      <c r="N72">
        <v>1013</v>
      </c>
      <c r="O72" t="s">
        <v>641</v>
      </c>
      <c r="P72" t="s">
        <v>641</v>
      </c>
      <c r="Q72">
        <v>1</v>
      </c>
      <c r="W72">
        <v>0</v>
      </c>
      <c r="X72">
        <v>-1417349443</v>
      </c>
      <c r="Y72">
        <v>6.29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6.53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3</v>
      </c>
      <c r="AT72">
        <v>6.29</v>
      </c>
      <c r="AU72" t="s">
        <v>3</v>
      </c>
      <c r="AV72">
        <v>2</v>
      </c>
      <c r="AW72">
        <v>2</v>
      </c>
      <c r="AX72">
        <v>39101245</v>
      </c>
      <c r="AY72">
        <v>1</v>
      </c>
      <c r="AZ72">
        <v>2048</v>
      </c>
      <c r="BA72">
        <v>66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Y72*Source!I61</f>
        <v>9.7274849999999997</v>
      </c>
      <c r="CY72">
        <f>AD72</f>
        <v>0</v>
      </c>
      <c r="CZ72">
        <f>AH72</f>
        <v>0</v>
      </c>
      <c r="DA72">
        <f>AL72</f>
        <v>1</v>
      </c>
      <c r="DB72">
        <v>0</v>
      </c>
    </row>
    <row r="73" spans="1:106" x14ac:dyDescent="0.2">
      <c r="A73">
        <f>ROW(Source!A61)</f>
        <v>61</v>
      </c>
      <c r="B73">
        <v>39099382</v>
      </c>
      <c r="C73">
        <v>39101243</v>
      </c>
      <c r="D73">
        <v>36882452</v>
      </c>
      <c r="E73">
        <v>1</v>
      </c>
      <c r="F73">
        <v>1</v>
      </c>
      <c r="G73">
        <v>1</v>
      </c>
      <c r="H73">
        <v>2</v>
      </c>
      <c r="I73" t="s">
        <v>644</v>
      </c>
      <c r="J73" t="s">
        <v>645</v>
      </c>
      <c r="K73" t="s">
        <v>646</v>
      </c>
      <c r="L73">
        <v>1368</v>
      </c>
      <c r="N73">
        <v>1011</v>
      </c>
      <c r="O73" t="s">
        <v>647</v>
      </c>
      <c r="P73" t="s">
        <v>647</v>
      </c>
      <c r="Q73">
        <v>1</v>
      </c>
      <c r="W73">
        <v>0</v>
      </c>
      <c r="X73">
        <v>1188625873</v>
      </c>
      <c r="Y73">
        <v>1.05</v>
      </c>
      <c r="AA73">
        <v>0</v>
      </c>
      <c r="AB73">
        <v>204.13</v>
      </c>
      <c r="AC73">
        <v>13.5</v>
      </c>
      <c r="AD73">
        <v>0</v>
      </c>
      <c r="AE73">
        <v>0</v>
      </c>
      <c r="AF73">
        <v>31.26</v>
      </c>
      <c r="AG73">
        <v>13.5</v>
      </c>
      <c r="AH73">
        <v>0</v>
      </c>
      <c r="AI73">
        <v>1</v>
      </c>
      <c r="AJ73">
        <v>6.53</v>
      </c>
      <c r="AK73">
        <v>1</v>
      </c>
      <c r="AL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3</v>
      </c>
      <c r="AT73">
        <v>0.84</v>
      </c>
      <c r="AU73" t="s">
        <v>65</v>
      </c>
      <c r="AV73">
        <v>0</v>
      </c>
      <c r="AW73">
        <v>2</v>
      </c>
      <c r="AX73">
        <v>39101246</v>
      </c>
      <c r="AY73">
        <v>1</v>
      </c>
      <c r="AZ73">
        <v>0</v>
      </c>
      <c r="BA73">
        <v>67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Y73*Source!I61</f>
        <v>1.6238250000000001</v>
      </c>
      <c r="CY73">
        <f>AB73</f>
        <v>204.13</v>
      </c>
      <c r="CZ73">
        <f>AF73</f>
        <v>31.26</v>
      </c>
      <c r="DA73">
        <f>AJ73</f>
        <v>6.53</v>
      </c>
      <c r="DB73">
        <v>0</v>
      </c>
    </row>
    <row r="74" spans="1:106" x14ac:dyDescent="0.2">
      <c r="A74">
        <f>ROW(Source!A61)</f>
        <v>61</v>
      </c>
      <c r="B74">
        <v>39099382</v>
      </c>
      <c r="C74">
        <v>39101243</v>
      </c>
      <c r="D74">
        <v>36882608</v>
      </c>
      <c r="E74">
        <v>1</v>
      </c>
      <c r="F74">
        <v>1</v>
      </c>
      <c r="G74">
        <v>1</v>
      </c>
      <c r="H74">
        <v>2</v>
      </c>
      <c r="I74" t="s">
        <v>695</v>
      </c>
      <c r="J74" t="s">
        <v>696</v>
      </c>
      <c r="K74" t="s">
        <v>697</v>
      </c>
      <c r="L74">
        <v>1368</v>
      </c>
      <c r="N74">
        <v>1011</v>
      </c>
      <c r="O74" t="s">
        <v>647</v>
      </c>
      <c r="P74" t="s">
        <v>647</v>
      </c>
      <c r="Q74">
        <v>1</v>
      </c>
      <c r="W74">
        <v>0</v>
      </c>
      <c r="X74">
        <v>1573467769</v>
      </c>
      <c r="Y74">
        <v>6.8125</v>
      </c>
      <c r="AA74">
        <v>0</v>
      </c>
      <c r="AB74">
        <v>92.4</v>
      </c>
      <c r="AC74">
        <v>8.91</v>
      </c>
      <c r="AD74">
        <v>0</v>
      </c>
      <c r="AE74">
        <v>0</v>
      </c>
      <c r="AF74">
        <v>14.15</v>
      </c>
      <c r="AG74">
        <v>8.91</v>
      </c>
      <c r="AH74">
        <v>0</v>
      </c>
      <c r="AI74">
        <v>1</v>
      </c>
      <c r="AJ74">
        <v>6.53</v>
      </c>
      <c r="AK74">
        <v>1</v>
      </c>
      <c r="AL74">
        <v>1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3</v>
      </c>
      <c r="AT74">
        <v>5.45</v>
      </c>
      <c r="AU74" t="s">
        <v>65</v>
      </c>
      <c r="AV74">
        <v>0</v>
      </c>
      <c r="AW74">
        <v>2</v>
      </c>
      <c r="AX74">
        <v>39101247</v>
      </c>
      <c r="AY74">
        <v>1</v>
      </c>
      <c r="AZ74">
        <v>0</v>
      </c>
      <c r="BA74">
        <v>68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Y74*Source!I61</f>
        <v>10.53553125</v>
      </c>
      <c r="CY74">
        <f>AB74</f>
        <v>92.4</v>
      </c>
      <c r="CZ74">
        <f>AF74</f>
        <v>14.15</v>
      </c>
      <c r="DA74">
        <f>AJ74</f>
        <v>6.53</v>
      </c>
      <c r="DB74">
        <v>0</v>
      </c>
    </row>
    <row r="75" spans="1:106" x14ac:dyDescent="0.2">
      <c r="A75">
        <f>ROW(Source!A61)</f>
        <v>61</v>
      </c>
      <c r="B75">
        <v>39099382</v>
      </c>
      <c r="C75">
        <v>39101243</v>
      </c>
      <c r="D75">
        <v>36804547</v>
      </c>
      <c r="E75">
        <v>1</v>
      </c>
      <c r="F75">
        <v>1</v>
      </c>
      <c r="G75">
        <v>1</v>
      </c>
      <c r="H75">
        <v>3</v>
      </c>
      <c r="I75" t="s">
        <v>698</v>
      </c>
      <c r="J75" t="s">
        <v>699</v>
      </c>
      <c r="K75" t="s">
        <v>700</v>
      </c>
      <c r="L75">
        <v>1348</v>
      </c>
      <c r="N75">
        <v>1009</v>
      </c>
      <c r="O75" t="s">
        <v>189</v>
      </c>
      <c r="P75" t="s">
        <v>189</v>
      </c>
      <c r="Q75">
        <v>1000</v>
      </c>
      <c r="W75">
        <v>0</v>
      </c>
      <c r="X75">
        <v>2032238625</v>
      </c>
      <c r="Y75">
        <v>1.2E-4</v>
      </c>
      <c r="AA75">
        <v>55341.75</v>
      </c>
      <c r="AB75">
        <v>0</v>
      </c>
      <c r="AC75">
        <v>0</v>
      </c>
      <c r="AD75">
        <v>0</v>
      </c>
      <c r="AE75">
        <v>8475</v>
      </c>
      <c r="AF75">
        <v>0</v>
      </c>
      <c r="AG75">
        <v>0</v>
      </c>
      <c r="AH75">
        <v>0</v>
      </c>
      <c r="AI75">
        <v>6.53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3</v>
      </c>
      <c r="AT75">
        <v>1.2E-4</v>
      </c>
      <c r="AU75" t="s">
        <v>3</v>
      </c>
      <c r="AV75">
        <v>0</v>
      </c>
      <c r="AW75">
        <v>2</v>
      </c>
      <c r="AX75">
        <v>39101248</v>
      </c>
      <c r="AY75">
        <v>1</v>
      </c>
      <c r="AZ75">
        <v>0</v>
      </c>
      <c r="BA75">
        <v>69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Y75*Source!I61</f>
        <v>1.8558E-4</v>
      </c>
      <c r="CY75">
        <f>AA75</f>
        <v>55341.75</v>
      </c>
      <c r="CZ75">
        <f>AE75</f>
        <v>8475</v>
      </c>
      <c r="DA75">
        <f>AI75</f>
        <v>6.53</v>
      </c>
      <c r="DB75">
        <v>0</v>
      </c>
    </row>
    <row r="76" spans="1:106" x14ac:dyDescent="0.2">
      <c r="A76">
        <f>ROW(Source!A61)</f>
        <v>61</v>
      </c>
      <c r="B76">
        <v>39099382</v>
      </c>
      <c r="C76">
        <v>39101243</v>
      </c>
      <c r="D76">
        <v>36806488</v>
      </c>
      <c r="E76">
        <v>1</v>
      </c>
      <c r="F76">
        <v>1</v>
      </c>
      <c r="G76">
        <v>1</v>
      </c>
      <c r="H76">
        <v>3</v>
      </c>
      <c r="I76" t="s">
        <v>653</v>
      </c>
      <c r="J76" t="s">
        <v>654</v>
      </c>
      <c r="K76" t="s">
        <v>655</v>
      </c>
      <c r="L76">
        <v>1348</v>
      </c>
      <c r="N76">
        <v>1009</v>
      </c>
      <c r="O76" t="s">
        <v>189</v>
      </c>
      <c r="P76" t="s">
        <v>189</v>
      </c>
      <c r="Q76">
        <v>1000</v>
      </c>
      <c r="W76">
        <v>0</v>
      </c>
      <c r="X76">
        <v>-1421715385</v>
      </c>
      <c r="Y76">
        <v>6.0000000000000001E-3</v>
      </c>
      <c r="AA76">
        <v>4766.7700000000004</v>
      </c>
      <c r="AB76">
        <v>0</v>
      </c>
      <c r="AC76">
        <v>0</v>
      </c>
      <c r="AD76">
        <v>0</v>
      </c>
      <c r="AE76">
        <v>729.98</v>
      </c>
      <c r="AF76">
        <v>0</v>
      </c>
      <c r="AG76">
        <v>0</v>
      </c>
      <c r="AH76">
        <v>0</v>
      </c>
      <c r="AI76">
        <v>6.53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3</v>
      </c>
      <c r="AT76">
        <v>6.0000000000000001E-3</v>
      </c>
      <c r="AU76" t="s">
        <v>3</v>
      </c>
      <c r="AV76">
        <v>0</v>
      </c>
      <c r="AW76">
        <v>2</v>
      </c>
      <c r="AX76">
        <v>39101249</v>
      </c>
      <c r="AY76">
        <v>1</v>
      </c>
      <c r="AZ76">
        <v>0</v>
      </c>
      <c r="BA76">
        <v>70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Y76*Source!I61</f>
        <v>9.2790000000000008E-3</v>
      </c>
      <c r="CY76">
        <f>AA76</f>
        <v>4766.7700000000004</v>
      </c>
      <c r="CZ76">
        <f>AE76</f>
        <v>729.98</v>
      </c>
      <c r="DA76">
        <f>AI76</f>
        <v>6.53</v>
      </c>
      <c r="DB76">
        <v>0</v>
      </c>
    </row>
    <row r="77" spans="1:106" x14ac:dyDescent="0.2">
      <c r="A77">
        <f>ROW(Source!A61)</f>
        <v>61</v>
      </c>
      <c r="B77">
        <v>39099382</v>
      </c>
      <c r="C77">
        <v>39101243</v>
      </c>
      <c r="D77">
        <v>36807381</v>
      </c>
      <c r="E77">
        <v>1</v>
      </c>
      <c r="F77">
        <v>1</v>
      </c>
      <c r="G77">
        <v>1</v>
      </c>
      <c r="H77">
        <v>3</v>
      </c>
      <c r="I77" t="s">
        <v>175</v>
      </c>
      <c r="J77" t="s">
        <v>177</v>
      </c>
      <c r="K77" t="s">
        <v>176</v>
      </c>
      <c r="L77">
        <v>1339</v>
      </c>
      <c r="N77">
        <v>1007</v>
      </c>
      <c r="O77" t="s">
        <v>56</v>
      </c>
      <c r="P77" t="s">
        <v>56</v>
      </c>
      <c r="Q77">
        <v>1</v>
      </c>
      <c r="W77">
        <v>0</v>
      </c>
      <c r="X77">
        <v>-1001479081</v>
      </c>
      <c r="Y77">
        <v>1.87</v>
      </c>
      <c r="AA77">
        <v>3381.95</v>
      </c>
      <c r="AB77">
        <v>0</v>
      </c>
      <c r="AC77">
        <v>0</v>
      </c>
      <c r="AD77">
        <v>0</v>
      </c>
      <c r="AE77">
        <v>517.91</v>
      </c>
      <c r="AF77">
        <v>0</v>
      </c>
      <c r="AG77">
        <v>0</v>
      </c>
      <c r="AH77">
        <v>0</v>
      </c>
      <c r="AI77">
        <v>6.53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3</v>
      </c>
      <c r="AT77">
        <v>1.87</v>
      </c>
      <c r="AU77" t="s">
        <v>3</v>
      </c>
      <c r="AV77">
        <v>0</v>
      </c>
      <c r="AW77">
        <v>2</v>
      </c>
      <c r="AX77">
        <v>39101250</v>
      </c>
      <c r="AY77">
        <v>1</v>
      </c>
      <c r="AZ77">
        <v>0</v>
      </c>
      <c r="BA77">
        <v>71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Y77*Source!I61</f>
        <v>2.8919550000000003</v>
      </c>
      <c r="CY77">
        <f>AA77</f>
        <v>3381.95</v>
      </c>
      <c r="CZ77">
        <f>AE77</f>
        <v>517.91</v>
      </c>
      <c r="DA77">
        <f>AI77</f>
        <v>6.53</v>
      </c>
      <c r="DB77">
        <v>0</v>
      </c>
    </row>
    <row r="78" spans="1:106" x14ac:dyDescent="0.2">
      <c r="A78">
        <f>ROW(Source!A61)</f>
        <v>61</v>
      </c>
      <c r="B78">
        <v>39099382</v>
      </c>
      <c r="C78">
        <v>39101243</v>
      </c>
      <c r="D78">
        <v>36824423</v>
      </c>
      <c r="E78">
        <v>1</v>
      </c>
      <c r="F78">
        <v>1</v>
      </c>
      <c r="G78">
        <v>1</v>
      </c>
      <c r="H78">
        <v>3</v>
      </c>
      <c r="I78" t="s">
        <v>701</v>
      </c>
      <c r="J78" t="s">
        <v>702</v>
      </c>
      <c r="K78" t="s">
        <v>703</v>
      </c>
      <c r="L78">
        <v>1327</v>
      </c>
      <c r="N78">
        <v>1005</v>
      </c>
      <c r="O78" t="s">
        <v>89</v>
      </c>
      <c r="P78" t="s">
        <v>89</v>
      </c>
      <c r="Q78">
        <v>1</v>
      </c>
      <c r="W78">
        <v>0</v>
      </c>
      <c r="X78">
        <v>1704710638</v>
      </c>
      <c r="Y78">
        <v>5.54</v>
      </c>
      <c r="AA78">
        <v>184.47</v>
      </c>
      <c r="AB78">
        <v>0</v>
      </c>
      <c r="AC78">
        <v>0</v>
      </c>
      <c r="AD78">
        <v>0</v>
      </c>
      <c r="AE78">
        <v>28.25</v>
      </c>
      <c r="AF78">
        <v>0</v>
      </c>
      <c r="AG78">
        <v>0</v>
      </c>
      <c r="AH78">
        <v>0</v>
      </c>
      <c r="AI78">
        <v>6.53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3</v>
      </c>
      <c r="AT78">
        <v>5.54</v>
      </c>
      <c r="AU78" t="s">
        <v>3</v>
      </c>
      <c r="AV78">
        <v>0</v>
      </c>
      <c r="AW78">
        <v>2</v>
      </c>
      <c r="AX78">
        <v>39101251</v>
      </c>
      <c r="AY78">
        <v>1</v>
      </c>
      <c r="AZ78">
        <v>0</v>
      </c>
      <c r="BA78">
        <v>72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Y78*Source!I61</f>
        <v>8.5676100000000002</v>
      </c>
      <c r="CY78">
        <f>AA78</f>
        <v>184.47</v>
      </c>
      <c r="CZ78">
        <f>AE78</f>
        <v>28.25</v>
      </c>
      <c r="DA78">
        <f>AI78</f>
        <v>6.53</v>
      </c>
      <c r="DB78">
        <v>0</v>
      </c>
    </row>
    <row r="79" spans="1:106" x14ac:dyDescent="0.2">
      <c r="A79">
        <f>ROW(Source!A62)</f>
        <v>62</v>
      </c>
      <c r="B79">
        <v>39099382</v>
      </c>
      <c r="C79">
        <v>39100301</v>
      </c>
      <c r="D79">
        <v>37064878</v>
      </c>
      <c r="E79">
        <v>1</v>
      </c>
      <c r="F79">
        <v>1</v>
      </c>
      <c r="G79">
        <v>1</v>
      </c>
      <c r="H79">
        <v>1</v>
      </c>
      <c r="I79" t="s">
        <v>693</v>
      </c>
      <c r="J79" t="s">
        <v>3</v>
      </c>
      <c r="K79" t="s">
        <v>694</v>
      </c>
      <c r="L79">
        <v>1191</v>
      </c>
      <c r="N79">
        <v>1013</v>
      </c>
      <c r="O79" t="s">
        <v>641</v>
      </c>
      <c r="P79" t="s">
        <v>641</v>
      </c>
      <c r="Q79">
        <v>1</v>
      </c>
      <c r="W79">
        <v>0</v>
      </c>
      <c r="X79">
        <v>-1081351934</v>
      </c>
      <c r="Y79">
        <v>102.46</v>
      </c>
      <c r="AA79">
        <v>0</v>
      </c>
      <c r="AB79">
        <v>0</v>
      </c>
      <c r="AC79">
        <v>0</v>
      </c>
      <c r="AD79">
        <v>61.38</v>
      </c>
      <c r="AE79">
        <v>0</v>
      </c>
      <c r="AF79">
        <v>0</v>
      </c>
      <c r="AG79">
        <v>0</v>
      </c>
      <c r="AH79">
        <v>9.4</v>
      </c>
      <c r="AI79">
        <v>1</v>
      </c>
      <c r="AJ79">
        <v>1</v>
      </c>
      <c r="AK79">
        <v>1</v>
      </c>
      <c r="AL79">
        <v>6.53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3</v>
      </c>
      <c r="AT79">
        <v>102.46</v>
      </c>
      <c r="AU79" t="s">
        <v>3</v>
      </c>
      <c r="AV79">
        <v>1</v>
      </c>
      <c r="AW79">
        <v>2</v>
      </c>
      <c r="AX79">
        <v>39100307</v>
      </c>
      <c r="AY79">
        <v>1</v>
      </c>
      <c r="AZ79">
        <v>0</v>
      </c>
      <c r="BA79">
        <v>73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Y79*Source!I62</f>
        <v>286.17077999999998</v>
      </c>
      <c r="CY79">
        <f>AD79</f>
        <v>61.38</v>
      </c>
      <c r="CZ79">
        <f>AH79</f>
        <v>9.4</v>
      </c>
      <c r="DA79">
        <f>AL79</f>
        <v>6.53</v>
      </c>
      <c r="DB79">
        <v>0</v>
      </c>
    </row>
    <row r="80" spans="1:106" x14ac:dyDescent="0.2">
      <c r="A80">
        <f>ROW(Source!A62)</f>
        <v>62</v>
      </c>
      <c r="B80">
        <v>39099382</v>
      </c>
      <c r="C80">
        <v>39100301</v>
      </c>
      <c r="D80">
        <v>37064876</v>
      </c>
      <c r="E80">
        <v>1</v>
      </c>
      <c r="F80">
        <v>1</v>
      </c>
      <c r="G80">
        <v>1</v>
      </c>
      <c r="H80">
        <v>1</v>
      </c>
      <c r="I80" t="s">
        <v>642</v>
      </c>
      <c r="J80" t="s">
        <v>3</v>
      </c>
      <c r="K80" t="s">
        <v>643</v>
      </c>
      <c r="L80">
        <v>1191</v>
      </c>
      <c r="N80">
        <v>1013</v>
      </c>
      <c r="O80" t="s">
        <v>641</v>
      </c>
      <c r="P80" t="s">
        <v>641</v>
      </c>
      <c r="Q80">
        <v>1</v>
      </c>
      <c r="W80">
        <v>0</v>
      </c>
      <c r="X80">
        <v>-1417349443</v>
      </c>
      <c r="Y80">
        <v>5.34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1</v>
      </c>
      <c r="AJ80">
        <v>1</v>
      </c>
      <c r="AK80">
        <v>6.53</v>
      </c>
      <c r="AL80">
        <v>1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3</v>
      </c>
      <c r="AT80">
        <v>5.34</v>
      </c>
      <c r="AU80" t="s">
        <v>3</v>
      </c>
      <c r="AV80">
        <v>2</v>
      </c>
      <c r="AW80">
        <v>2</v>
      </c>
      <c r="AX80">
        <v>39100308</v>
      </c>
      <c r="AY80">
        <v>1</v>
      </c>
      <c r="AZ80">
        <v>0</v>
      </c>
      <c r="BA80">
        <v>74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Y80*Source!I62</f>
        <v>14.914620000000001</v>
      </c>
      <c r="CY80">
        <f>AD80</f>
        <v>0</v>
      </c>
      <c r="CZ80">
        <f>AH80</f>
        <v>0</v>
      </c>
      <c r="DA80">
        <f>AL80</f>
        <v>1</v>
      </c>
      <c r="DB80">
        <v>0</v>
      </c>
    </row>
    <row r="81" spans="1:106" x14ac:dyDescent="0.2">
      <c r="A81">
        <f>ROW(Source!A62)</f>
        <v>62</v>
      </c>
      <c r="B81">
        <v>39099382</v>
      </c>
      <c r="C81">
        <v>39100301</v>
      </c>
      <c r="D81">
        <v>36882452</v>
      </c>
      <c r="E81">
        <v>1</v>
      </c>
      <c r="F81">
        <v>1</v>
      </c>
      <c r="G81">
        <v>1</v>
      </c>
      <c r="H81">
        <v>2</v>
      </c>
      <c r="I81" t="s">
        <v>644</v>
      </c>
      <c r="J81" t="s">
        <v>645</v>
      </c>
      <c r="K81" t="s">
        <v>646</v>
      </c>
      <c r="L81">
        <v>1368</v>
      </c>
      <c r="N81">
        <v>1011</v>
      </c>
      <c r="O81" t="s">
        <v>647</v>
      </c>
      <c r="P81" t="s">
        <v>647</v>
      </c>
      <c r="Q81">
        <v>1</v>
      </c>
      <c r="W81">
        <v>0</v>
      </c>
      <c r="X81">
        <v>1188625873</v>
      </c>
      <c r="Y81">
        <v>0.76</v>
      </c>
      <c r="AA81">
        <v>0</v>
      </c>
      <c r="AB81">
        <v>204.13</v>
      </c>
      <c r="AC81">
        <v>13.5</v>
      </c>
      <c r="AD81">
        <v>0</v>
      </c>
      <c r="AE81">
        <v>0</v>
      </c>
      <c r="AF81">
        <v>31.26</v>
      </c>
      <c r="AG81">
        <v>13.5</v>
      </c>
      <c r="AH81">
        <v>0</v>
      </c>
      <c r="AI81">
        <v>1</v>
      </c>
      <c r="AJ81">
        <v>6.53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3</v>
      </c>
      <c r="AT81">
        <v>0.76</v>
      </c>
      <c r="AU81" t="s">
        <v>3</v>
      </c>
      <c r="AV81">
        <v>0</v>
      </c>
      <c r="AW81">
        <v>2</v>
      </c>
      <c r="AX81">
        <v>39100309</v>
      </c>
      <c r="AY81">
        <v>1</v>
      </c>
      <c r="AZ81">
        <v>0</v>
      </c>
      <c r="BA81">
        <v>75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Y81*Source!I62</f>
        <v>2.1226800000000003</v>
      </c>
      <c r="CY81">
        <f>AB81</f>
        <v>204.13</v>
      </c>
      <c r="CZ81">
        <f>AF81</f>
        <v>31.26</v>
      </c>
      <c r="DA81">
        <f>AJ81</f>
        <v>6.53</v>
      </c>
      <c r="DB81">
        <v>0</v>
      </c>
    </row>
    <row r="82" spans="1:106" x14ac:dyDescent="0.2">
      <c r="A82">
        <f>ROW(Source!A62)</f>
        <v>62</v>
      </c>
      <c r="B82">
        <v>39099382</v>
      </c>
      <c r="C82">
        <v>39100301</v>
      </c>
      <c r="D82">
        <v>36883554</v>
      </c>
      <c r="E82">
        <v>1</v>
      </c>
      <c r="F82">
        <v>1</v>
      </c>
      <c r="G82">
        <v>1</v>
      </c>
      <c r="H82">
        <v>2</v>
      </c>
      <c r="I82" t="s">
        <v>665</v>
      </c>
      <c r="J82" t="s">
        <v>666</v>
      </c>
      <c r="K82" t="s">
        <v>667</v>
      </c>
      <c r="L82">
        <v>1368</v>
      </c>
      <c r="N82">
        <v>1011</v>
      </c>
      <c r="O82" t="s">
        <v>647</v>
      </c>
      <c r="P82" t="s">
        <v>647</v>
      </c>
      <c r="Q82">
        <v>1</v>
      </c>
      <c r="W82">
        <v>0</v>
      </c>
      <c r="X82">
        <v>1372534845</v>
      </c>
      <c r="Y82">
        <v>4.58</v>
      </c>
      <c r="AA82">
        <v>0</v>
      </c>
      <c r="AB82">
        <v>429.09</v>
      </c>
      <c r="AC82">
        <v>11.6</v>
      </c>
      <c r="AD82">
        <v>0</v>
      </c>
      <c r="AE82">
        <v>0</v>
      </c>
      <c r="AF82">
        <v>65.709999999999994</v>
      </c>
      <c r="AG82">
        <v>11.6</v>
      </c>
      <c r="AH82">
        <v>0</v>
      </c>
      <c r="AI82">
        <v>1</v>
      </c>
      <c r="AJ82">
        <v>6.53</v>
      </c>
      <c r="AK82">
        <v>1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3</v>
      </c>
      <c r="AT82">
        <v>4.58</v>
      </c>
      <c r="AU82" t="s">
        <v>3</v>
      </c>
      <c r="AV82">
        <v>0</v>
      </c>
      <c r="AW82">
        <v>2</v>
      </c>
      <c r="AX82">
        <v>39100310</v>
      </c>
      <c r="AY82">
        <v>1</v>
      </c>
      <c r="AZ82">
        <v>0</v>
      </c>
      <c r="BA82">
        <v>76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Y82*Source!I62</f>
        <v>12.79194</v>
      </c>
      <c r="CY82">
        <f>AB82</f>
        <v>429.09</v>
      </c>
      <c r="CZ82">
        <f>AF82</f>
        <v>65.709999999999994</v>
      </c>
      <c r="DA82">
        <f>AJ82</f>
        <v>6.53</v>
      </c>
      <c r="DB82">
        <v>0</v>
      </c>
    </row>
    <row r="83" spans="1:106" x14ac:dyDescent="0.2">
      <c r="A83">
        <f>ROW(Source!A62)</f>
        <v>62</v>
      </c>
      <c r="B83">
        <v>39099382</v>
      </c>
      <c r="C83">
        <v>39100301</v>
      </c>
      <c r="D83">
        <v>36801649</v>
      </c>
      <c r="E83">
        <v>1</v>
      </c>
      <c r="F83">
        <v>1</v>
      </c>
      <c r="G83">
        <v>1</v>
      </c>
      <c r="H83">
        <v>3</v>
      </c>
      <c r="I83" t="s">
        <v>704</v>
      </c>
      <c r="J83" t="s">
        <v>705</v>
      </c>
      <c r="K83" t="s">
        <v>706</v>
      </c>
      <c r="L83">
        <v>1327</v>
      </c>
      <c r="N83">
        <v>1005</v>
      </c>
      <c r="O83" t="s">
        <v>89</v>
      </c>
      <c r="P83" t="s">
        <v>89</v>
      </c>
      <c r="Q83">
        <v>1</v>
      </c>
      <c r="W83">
        <v>0</v>
      </c>
      <c r="X83">
        <v>1385600515</v>
      </c>
      <c r="Y83">
        <v>103</v>
      </c>
      <c r="AA83">
        <v>338.25</v>
      </c>
      <c r="AB83">
        <v>0</v>
      </c>
      <c r="AC83">
        <v>0</v>
      </c>
      <c r="AD83">
        <v>0</v>
      </c>
      <c r="AE83">
        <v>51.8</v>
      </c>
      <c r="AF83">
        <v>0</v>
      </c>
      <c r="AG83">
        <v>0</v>
      </c>
      <c r="AH83">
        <v>0</v>
      </c>
      <c r="AI83">
        <v>6.53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0</v>
      </c>
      <c r="AQ83">
        <v>0</v>
      </c>
      <c r="AR83">
        <v>0</v>
      </c>
      <c r="AS83" t="s">
        <v>3</v>
      </c>
      <c r="AT83">
        <v>103</v>
      </c>
      <c r="AU83" t="s">
        <v>3</v>
      </c>
      <c r="AV83">
        <v>0</v>
      </c>
      <c r="AW83">
        <v>2</v>
      </c>
      <c r="AX83">
        <v>39100311</v>
      </c>
      <c r="AY83">
        <v>1</v>
      </c>
      <c r="AZ83">
        <v>0</v>
      </c>
      <c r="BA83">
        <v>77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Y83*Source!I62</f>
        <v>287.67900000000003</v>
      </c>
      <c r="CY83">
        <f>AA83</f>
        <v>338.25</v>
      </c>
      <c r="CZ83">
        <f>AE83</f>
        <v>51.8</v>
      </c>
      <c r="DA83">
        <f>AI83</f>
        <v>6.53</v>
      </c>
      <c r="DB83">
        <v>0</v>
      </c>
    </row>
    <row r="84" spans="1:106" x14ac:dyDescent="0.2">
      <c r="A84">
        <f>ROW(Source!A63)</f>
        <v>63</v>
      </c>
      <c r="B84">
        <v>39099382</v>
      </c>
      <c r="C84">
        <v>39100312</v>
      </c>
      <c r="D84">
        <v>37066837</v>
      </c>
      <c r="E84">
        <v>1</v>
      </c>
      <c r="F84">
        <v>1</v>
      </c>
      <c r="G84">
        <v>1</v>
      </c>
      <c r="H84">
        <v>1</v>
      </c>
      <c r="I84" t="s">
        <v>682</v>
      </c>
      <c r="J84" t="s">
        <v>3</v>
      </c>
      <c r="K84" t="s">
        <v>683</v>
      </c>
      <c r="L84">
        <v>1191</v>
      </c>
      <c r="N84">
        <v>1013</v>
      </c>
      <c r="O84" t="s">
        <v>641</v>
      </c>
      <c r="P84" t="s">
        <v>641</v>
      </c>
      <c r="Q84">
        <v>1</v>
      </c>
      <c r="W84">
        <v>0</v>
      </c>
      <c r="X84">
        <v>1850719656</v>
      </c>
      <c r="Y84">
        <v>42.37</v>
      </c>
      <c r="AA84">
        <v>0</v>
      </c>
      <c r="AB84">
        <v>0</v>
      </c>
      <c r="AC84">
        <v>0</v>
      </c>
      <c r="AD84">
        <v>54.26</v>
      </c>
      <c r="AE84">
        <v>0</v>
      </c>
      <c r="AF84">
        <v>0</v>
      </c>
      <c r="AG84">
        <v>0</v>
      </c>
      <c r="AH84">
        <v>8.31</v>
      </c>
      <c r="AI84">
        <v>1</v>
      </c>
      <c r="AJ84">
        <v>1</v>
      </c>
      <c r="AK84">
        <v>1</v>
      </c>
      <c r="AL84">
        <v>6.53</v>
      </c>
      <c r="AN84">
        <v>0</v>
      </c>
      <c r="AO84">
        <v>1</v>
      </c>
      <c r="AP84">
        <v>0</v>
      </c>
      <c r="AQ84">
        <v>0</v>
      </c>
      <c r="AR84">
        <v>0</v>
      </c>
      <c r="AS84" t="s">
        <v>3</v>
      </c>
      <c r="AT84">
        <v>42.37</v>
      </c>
      <c r="AU84" t="s">
        <v>3</v>
      </c>
      <c r="AV84">
        <v>1</v>
      </c>
      <c r="AW84">
        <v>2</v>
      </c>
      <c r="AX84">
        <v>39100319</v>
      </c>
      <c r="AY84">
        <v>1</v>
      </c>
      <c r="AZ84">
        <v>0</v>
      </c>
      <c r="BA84">
        <v>78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Y84*Source!I63</f>
        <v>196.51205999999999</v>
      </c>
      <c r="CY84">
        <f>AD84</f>
        <v>54.26</v>
      </c>
      <c r="CZ84">
        <f>AH84</f>
        <v>8.31</v>
      </c>
      <c r="DA84">
        <f>AL84</f>
        <v>6.53</v>
      </c>
      <c r="DB84">
        <v>0</v>
      </c>
    </row>
    <row r="85" spans="1:106" x14ac:dyDescent="0.2">
      <c r="A85">
        <f>ROW(Source!A63)</f>
        <v>63</v>
      </c>
      <c r="B85">
        <v>39099382</v>
      </c>
      <c r="C85">
        <v>39100312</v>
      </c>
      <c r="D85">
        <v>37064876</v>
      </c>
      <c r="E85">
        <v>1</v>
      </c>
      <c r="F85">
        <v>1</v>
      </c>
      <c r="G85">
        <v>1</v>
      </c>
      <c r="H85">
        <v>1</v>
      </c>
      <c r="I85" t="s">
        <v>642</v>
      </c>
      <c r="J85" t="s">
        <v>3</v>
      </c>
      <c r="K85" t="s">
        <v>643</v>
      </c>
      <c r="L85">
        <v>1191</v>
      </c>
      <c r="N85">
        <v>1013</v>
      </c>
      <c r="O85" t="s">
        <v>641</v>
      </c>
      <c r="P85" t="s">
        <v>641</v>
      </c>
      <c r="Q85">
        <v>1</v>
      </c>
      <c r="W85">
        <v>0</v>
      </c>
      <c r="X85">
        <v>-1417349443</v>
      </c>
      <c r="Y85">
        <v>0.64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1</v>
      </c>
      <c r="AJ85">
        <v>1</v>
      </c>
      <c r="AK85">
        <v>6.53</v>
      </c>
      <c r="AL85">
        <v>1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3</v>
      </c>
      <c r="AT85">
        <v>0.64</v>
      </c>
      <c r="AU85" t="s">
        <v>3</v>
      </c>
      <c r="AV85">
        <v>2</v>
      </c>
      <c r="AW85">
        <v>2</v>
      </c>
      <c r="AX85">
        <v>39100320</v>
      </c>
      <c r="AY85">
        <v>1</v>
      </c>
      <c r="AZ85">
        <v>0</v>
      </c>
      <c r="BA85">
        <v>79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Y85*Source!I63</f>
        <v>2.9683199999999998</v>
      </c>
      <c r="CY85">
        <f>AD85</f>
        <v>0</v>
      </c>
      <c r="CZ85">
        <f>AH85</f>
        <v>0</v>
      </c>
      <c r="DA85">
        <f>AL85</f>
        <v>1</v>
      </c>
      <c r="DB85">
        <v>0</v>
      </c>
    </row>
    <row r="86" spans="1:106" x14ac:dyDescent="0.2">
      <c r="A86">
        <f>ROW(Source!A63)</f>
        <v>63</v>
      </c>
      <c r="B86">
        <v>39099382</v>
      </c>
      <c r="C86">
        <v>39100312</v>
      </c>
      <c r="D86">
        <v>36882452</v>
      </c>
      <c r="E86">
        <v>1</v>
      </c>
      <c r="F86">
        <v>1</v>
      </c>
      <c r="G86">
        <v>1</v>
      </c>
      <c r="H86">
        <v>2</v>
      </c>
      <c r="I86" t="s">
        <v>644</v>
      </c>
      <c r="J86" t="s">
        <v>645</v>
      </c>
      <c r="K86" t="s">
        <v>646</v>
      </c>
      <c r="L86">
        <v>1368</v>
      </c>
      <c r="N86">
        <v>1011</v>
      </c>
      <c r="O86" t="s">
        <v>647</v>
      </c>
      <c r="P86" t="s">
        <v>647</v>
      </c>
      <c r="Q86">
        <v>1</v>
      </c>
      <c r="W86">
        <v>0</v>
      </c>
      <c r="X86">
        <v>1188625873</v>
      </c>
      <c r="Y86">
        <v>0.64</v>
      </c>
      <c r="AA86">
        <v>0</v>
      </c>
      <c r="AB86">
        <v>204.13</v>
      </c>
      <c r="AC86">
        <v>13.5</v>
      </c>
      <c r="AD86">
        <v>0</v>
      </c>
      <c r="AE86">
        <v>0</v>
      </c>
      <c r="AF86">
        <v>31.26</v>
      </c>
      <c r="AG86">
        <v>13.5</v>
      </c>
      <c r="AH86">
        <v>0</v>
      </c>
      <c r="AI86">
        <v>1</v>
      </c>
      <c r="AJ86">
        <v>6.53</v>
      </c>
      <c r="AK86">
        <v>1</v>
      </c>
      <c r="AL86">
        <v>1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3</v>
      </c>
      <c r="AT86">
        <v>0.64</v>
      </c>
      <c r="AU86" t="s">
        <v>3</v>
      </c>
      <c r="AV86">
        <v>0</v>
      </c>
      <c r="AW86">
        <v>2</v>
      </c>
      <c r="AX86">
        <v>39100321</v>
      </c>
      <c r="AY86">
        <v>1</v>
      </c>
      <c r="AZ86">
        <v>0</v>
      </c>
      <c r="BA86">
        <v>80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Y86*Source!I63</f>
        <v>2.9683199999999998</v>
      </c>
      <c r="CY86">
        <f>AB86</f>
        <v>204.13</v>
      </c>
      <c r="CZ86">
        <f>AF86</f>
        <v>31.26</v>
      </c>
      <c r="DA86">
        <f>AJ86</f>
        <v>6.53</v>
      </c>
      <c r="DB86">
        <v>0</v>
      </c>
    </row>
    <row r="87" spans="1:106" x14ac:dyDescent="0.2">
      <c r="A87">
        <f>ROW(Source!A63)</f>
        <v>63</v>
      </c>
      <c r="B87">
        <v>39099382</v>
      </c>
      <c r="C87">
        <v>39100312</v>
      </c>
      <c r="D87">
        <v>36801792</v>
      </c>
      <c r="E87">
        <v>1</v>
      </c>
      <c r="F87">
        <v>1</v>
      </c>
      <c r="G87">
        <v>1</v>
      </c>
      <c r="H87">
        <v>3</v>
      </c>
      <c r="I87" t="s">
        <v>650</v>
      </c>
      <c r="J87" t="s">
        <v>651</v>
      </c>
      <c r="K87" t="s">
        <v>652</v>
      </c>
      <c r="L87">
        <v>1339</v>
      </c>
      <c r="N87">
        <v>1007</v>
      </c>
      <c r="O87" t="s">
        <v>56</v>
      </c>
      <c r="P87" t="s">
        <v>56</v>
      </c>
      <c r="Q87">
        <v>1</v>
      </c>
      <c r="W87">
        <v>0</v>
      </c>
      <c r="X87">
        <v>-1660354250</v>
      </c>
      <c r="Y87">
        <v>0.35</v>
      </c>
      <c r="AA87">
        <v>15.93</v>
      </c>
      <c r="AB87">
        <v>0</v>
      </c>
      <c r="AC87">
        <v>0</v>
      </c>
      <c r="AD87">
        <v>0</v>
      </c>
      <c r="AE87">
        <v>2.44</v>
      </c>
      <c r="AF87">
        <v>0</v>
      </c>
      <c r="AG87">
        <v>0</v>
      </c>
      <c r="AH87">
        <v>0</v>
      </c>
      <c r="AI87">
        <v>6.53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3</v>
      </c>
      <c r="AT87">
        <v>0.35</v>
      </c>
      <c r="AU87" t="s">
        <v>3</v>
      </c>
      <c r="AV87">
        <v>0</v>
      </c>
      <c r="AW87">
        <v>2</v>
      </c>
      <c r="AX87">
        <v>39100322</v>
      </c>
      <c r="AY87">
        <v>1</v>
      </c>
      <c r="AZ87">
        <v>0</v>
      </c>
      <c r="BA87">
        <v>81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Y87*Source!I63</f>
        <v>1.6233</v>
      </c>
      <c r="CY87">
        <f>AA87</f>
        <v>15.93</v>
      </c>
      <c r="CZ87">
        <f>AE87</f>
        <v>2.44</v>
      </c>
      <c r="DA87">
        <f>AI87</f>
        <v>6.53</v>
      </c>
      <c r="DB87">
        <v>0</v>
      </c>
    </row>
    <row r="88" spans="1:106" x14ac:dyDescent="0.2">
      <c r="A88">
        <f>ROW(Source!A63)</f>
        <v>63</v>
      </c>
      <c r="B88">
        <v>39099382</v>
      </c>
      <c r="C88">
        <v>39100312</v>
      </c>
      <c r="D88">
        <v>36807381</v>
      </c>
      <c r="E88">
        <v>1</v>
      </c>
      <c r="F88">
        <v>1</v>
      </c>
      <c r="G88">
        <v>1</v>
      </c>
      <c r="H88">
        <v>3</v>
      </c>
      <c r="I88" t="s">
        <v>175</v>
      </c>
      <c r="J88" t="s">
        <v>177</v>
      </c>
      <c r="K88" t="s">
        <v>176</v>
      </c>
      <c r="L88">
        <v>1339</v>
      </c>
      <c r="N88">
        <v>1007</v>
      </c>
      <c r="O88" t="s">
        <v>56</v>
      </c>
      <c r="P88" t="s">
        <v>56</v>
      </c>
      <c r="Q88">
        <v>1</v>
      </c>
      <c r="W88">
        <v>1</v>
      </c>
      <c r="X88">
        <v>-1001479081</v>
      </c>
      <c r="Y88">
        <v>-1.06</v>
      </c>
      <c r="AA88">
        <v>3381.95</v>
      </c>
      <c r="AB88">
        <v>0</v>
      </c>
      <c r="AC88">
        <v>0</v>
      </c>
      <c r="AD88">
        <v>0</v>
      </c>
      <c r="AE88">
        <v>517.91</v>
      </c>
      <c r="AF88">
        <v>0</v>
      </c>
      <c r="AG88">
        <v>0</v>
      </c>
      <c r="AH88">
        <v>0</v>
      </c>
      <c r="AI88">
        <v>6.53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3</v>
      </c>
      <c r="AT88">
        <v>-1.06</v>
      </c>
      <c r="AU88" t="s">
        <v>3</v>
      </c>
      <c r="AV88">
        <v>0</v>
      </c>
      <c r="AW88">
        <v>2</v>
      </c>
      <c r="AX88">
        <v>39100323</v>
      </c>
      <c r="AY88">
        <v>1</v>
      </c>
      <c r="AZ88">
        <v>6144</v>
      </c>
      <c r="BA88">
        <v>82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Y88*Source!I63</f>
        <v>-4.9162800000000004</v>
      </c>
      <c r="CY88">
        <f>AA88</f>
        <v>3381.95</v>
      </c>
      <c r="CZ88">
        <f>AE88</f>
        <v>517.91</v>
      </c>
      <c r="DA88">
        <f>AI88</f>
        <v>6.53</v>
      </c>
      <c r="DB88">
        <v>0</v>
      </c>
    </row>
    <row r="89" spans="1:106" x14ac:dyDescent="0.2">
      <c r="A89">
        <f>ROW(Source!A63)</f>
        <v>63</v>
      </c>
      <c r="B89">
        <v>39099382</v>
      </c>
      <c r="C89">
        <v>39100312</v>
      </c>
      <c r="D89">
        <v>36807508</v>
      </c>
      <c r="E89">
        <v>1</v>
      </c>
      <c r="F89">
        <v>1</v>
      </c>
      <c r="G89">
        <v>1</v>
      </c>
      <c r="H89">
        <v>3</v>
      </c>
      <c r="I89" t="s">
        <v>179</v>
      </c>
      <c r="J89" t="s">
        <v>181</v>
      </c>
      <c r="K89" t="s">
        <v>180</v>
      </c>
      <c r="L89">
        <v>1346</v>
      </c>
      <c r="N89">
        <v>1009</v>
      </c>
      <c r="O89" t="s">
        <v>97</v>
      </c>
      <c r="P89" t="s">
        <v>97</v>
      </c>
      <c r="Q89">
        <v>1</v>
      </c>
      <c r="W89">
        <v>0</v>
      </c>
      <c r="X89">
        <v>-60067644</v>
      </c>
      <c r="Y89">
        <v>1589.9073519999999</v>
      </c>
      <c r="AA89">
        <v>13.52</v>
      </c>
      <c r="AB89">
        <v>0</v>
      </c>
      <c r="AC89">
        <v>0</v>
      </c>
      <c r="AD89">
        <v>0</v>
      </c>
      <c r="AE89">
        <v>2.0699999999999998</v>
      </c>
      <c r="AF89">
        <v>0</v>
      </c>
      <c r="AG89">
        <v>0</v>
      </c>
      <c r="AH89">
        <v>0</v>
      </c>
      <c r="AI89">
        <v>6.53</v>
      </c>
      <c r="AJ89">
        <v>1</v>
      </c>
      <c r="AK89">
        <v>1</v>
      </c>
      <c r="AL89">
        <v>1</v>
      </c>
      <c r="AN89">
        <v>0</v>
      </c>
      <c r="AO89">
        <v>0</v>
      </c>
      <c r="AP89">
        <v>0</v>
      </c>
      <c r="AQ89">
        <v>0</v>
      </c>
      <c r="AR89">
        <v>0</v>
      </c>
      <c r="AS89" t="s">
        <v>3</v>
      </c>
      <c r="AT89">
        <v>1589.9073519999999</v>
      </c>
      <c r="AU89" t="s">
        <v>3</v>
      </c>
      <c r="AV89">
        <v>0</v>
      </c>
      <c r="AW89">
        <v>1</v>
      </c>
      <c r="AX89">
        <v>-1</v>
      </c>
      <c r="AY89">
        <v>0</v>
      </c>
      <c r="AZ89">
        <v>0</v>
      </c>
      <c r="BA89" t="s">
        <v>3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Y89*Source!I63</f>
        <v>7373.990298576</v>
      </c>
      <c r="CY89">
        <f>AA89</f>
        <v>13.52</v>
      </c>
      <c r="CZ89">
        <f>AE89</f>
        <v>2.0699999999999998</v>
      </c>
      <c r="DA89">
        <f>AI89</f>
        <v>6.53</v>
      </c>
      <c r="DB89">
        <v>0</v>
      </c>
    </row>
    <row r="90" spans="1:106" x14ac:dyDescent="0.2">
      <c r="A90">
        <f>ROW(Source!A66)</f>
        <v>66</v>
      </c>
      <c r="B90">
        <v>39099382</v>
      </c>
      <c r="C90">
        <v>39100326</v>
      </c>
      <c r="D90">
        <v>37071037</v>
      </c>
      <c r="E90">
        <v>1</v>
      </c>
      <c r="F90">
        <v>1</v>
      </c>
      <c r="G90">
        <v>1</v>
      </c>
      <c r="H90">
        <v>1</v>
      </c>
      <c r="I90" t="s">
        <v>707</v>
      </c>
      <c r="J90" t="s">
        <v>3</v>
      </c>
      <c r="K90" t="s">
        <v>708</v>
      </c>
      <c r="L90">
        <v>1191</v>
      </c>
      <c r="N90">
        <v>1013</v>
      </c>
      <c r="O90" t="s">
        <v>641</v>
      </c>
      <c r="P90" t="s">
        <v>641</v>
      </c>
      <c r="Q90">
        <v>1</v>
      </c>
      <c r="W90">
        <v>0</v>
      </c>
      <c r="X90">
        <v>1069510174</v>
      </c>
      <c r="Y90">
        <v>16.32</v>
      </c>
      <c r="AA90">
        <v>0</v>
      </c>
      <c r="AB90">
        <v>0</v>
      </c>
      <c r="AC90">
        <v>0</v>
      </c>
      <c r="AD90">
        <v>62.82</v>
      </c>
      <c r="AE90">
        <v>0</v>
      </c>
      <c r="AF90">
        <v>0</v>
      </c>
      <c r="AG90">
        <v>0</v>
      </c>
      <c r="AH90">
        <v>9.6199999999999992</v>
      </c>
      <c r="AI90">
        <v>1</v>
      </c>
      <c r="AJ90">
        <v>1</v>
      </c>
      <c r="AK90">
        <v>1</v>
      </c>
      <c r="AL90">
        <v>6.53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3</v>
      </c>
      <c r="AT90">
        <v>16.32</v>
      </c>
      <c r="AU90" t="s">
        <v>3</v>
      </c>
      <c r="AV90">
        <v>1</v>
      </c>
      <c r="AW90">
        <v>2</v>
      </c>
      <c r="AX90">
        <v>39100334</v>
      </c>
      <c r="AY90">
        <v>1</v>
      </c>
      <c r="AZ90">
        <v>0</v>
      </c>
      <c r="BA90">
        <v>83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Y90*Source!I66</f>
        <v>75.692160000000001</v>
      </c>
      <c r="CY90">
        <f>AD90</f>
        <v>62.82</v>
      </c>
      <c r="CZ90">
        <f>AH90</f>
        <v>9.6199999999999992</v>
      </c>
      <c r="DA90">
        <f>AL90</f>
        <v>6.53</v>
      </c>
      <c r="DB90">
        <v>0</v>
      </c>
    </row>
    <row r="91" spans="1:106" x14ac:dyDescent="0.2">
      <c r="A91">
        <f>ROW(Source!A66)</f>
        <v>66</v>
      </c>
      <c r="B91">
        <v>39099382</v>
      </c>
      <c r="C91">
        <v>39100326</v>
      </c>
      <c r="D91">
        <v>37064876</v>
      </c>
      <c r="E91">
        <v>1</v>
      </c>
      <c r="F91">
        <v>1</v>
      </c>
      <c r="G91">
        <v>1</v>
      </c>
      <c r="H91">
        <v>1</v>
      </c>
      <c r="I91" t="s">
        <v>642</v>
      </c>
      <c r="J91" t="s">
        <v>3</v>
      </c>
      <c r="K91" t="s">
        <v>643</v>
      </c>
      <c r="L91">
        <v>1191</v>
      </c>
      <c r="N91">
        <v>1013</v>
      </c>
      <c r="O91" t="s">
        <v>641</v>
      </c>
      <c r="P91" t="s">
        <v>641</v>
      </c>
      <c r="Q91">
        <v>1</v>
      </c>
      <c r="W91">
        <v>0</v>
      </c>
      <c r="X91">
        <v>-1417349443</v>
      </c>
      <c r="Y91">
        <v>0.03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1</v>
      </c>
      <c r="AJ91">
        <v>1</v>
      </c>
      <c r="AK91">
        <v>6.53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3</v>
      </c>
      <c r="AT91">
        <v>0.03</v>
      </c>
      <c r="AU91" t="s">
        <v>3</v>
      </c>
      <c r="AV91">
        <v>2</v>
      </c>
      <c r="AW91">
        <v>2</v>
      </c>
      <c r="AX91">
        <v>39100335</v>
      </c>
      <c r="AY91">
        <v>1</v>
      </c>
      <c r="AZ91">
        <v>0</v>
      </c>
      <c r="BA91">
        <v>84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Y91*Source!I66</f>
        <v>0.13913999999999999</v>
      </c>
      <c r="CY91">
        <f>AD91</f>
        <v>0</v>
      </c>
      <c r="CZ91">
        <f>AH91</f>
        <v>0</v>
      </c>
      <c r="DA91">
        <f>AL91</f>
        <v>1</v>
      </c>
      <c r="DB91">
        <v>0</v>
      </c>
    </row>
    <row r="92" spans="1:106" x14ac:dyDescent="0.2">
      <c r="A92">
        <f>ROW(Source!A66)</f>
        <v>66</v>
      </c>
      <c r="B92">
        <v>39099382</v>
      </c>
      <c r="C92">
        <v>39100326</v>
      </c>
      <c r="D92">
        <v>36882452</v>
      </c>
      <c r="E92">
        <v>1</v>
      </c>
      <c r="F92">
        <v>1</v>
      </c>
      <c r="G92">
        <v>1</v>
      </c>
      <c r="H92">
        <v>2</v>
      </c>
      <c r="I92" t="s">
        <v>644</v>
      </c>
      <c r="J92" t="s">
        <v>645</v>
      </c>
      <c r="K92" t="s">
        <v>646</v>
      </c>
      <c r="L92">
        <v>1368</v>
      </c>
      <c r="N92">
        <v>1011</v>
      </c>
      <c r="O92" t="s">
        <v>647</v>
      </c>
      <c r="P92" t="s">
        <v>647</v>
      </c>
      <c r="Q92">
        <v>1</v>
      </c>
      <c r="W92">
        <v>0</v>
      </c>
      <c r="X92">
        <v>1188625873</v>
      </c>
      <c r="Y92">
        <v>0.01</v>
      </c>
      <c r="AA92">
        <v>0</v>
      </c>
      <c r="AB92">
        <v>204.13</v>
      </c>
      <c r="AC92">
        <v>13.5</v>
      </c>
      <c r="AD92">
        <v>0</v>
      </c>
      <c r="AE92">
        <v>0</v>
      </c>
      <c r="AF92">
        <v>31.26</v>
      </c>
      <c r="AG92">
        <v>13.5</v>
      </c>
      <c r="AH92">
        <v>0</v>
      </c>
      <c r="AI92">
        <v>1</v>
      </c>
      <c r="AJ92">
        <v>6.53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3</v>
      </c>
      <c r="AT92">
        <v>0.01</v>
      </c>
      <c r="AU92" t="s">
        <v>3</v>
      </c>
      <c r="AV92">
        <v>0</v>
      </c>
      <c r="AW92">
        <v>2</v>
      </c>
      <c r="AX92">
        <v>39100336</v>
      </c>
      <c r="AY92">
        <v>1</v>
      </c>
      <c r="AZ92">
        <v>0</v>
      </c>
      <c r="BA92">
        <v>85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Y92*Source!I66</f>
        <v>4.6379999999999998E-2</v>
      </c>
      <c r="CY92">
        <f>AB92</f>
        <v>204.13</v>
      </c>
      <c r="CZ92">
        <f>AF92</f>
        <v>31.26</v>
      </c>
      <c r="DA92">
        <f>AJ92</f>
        <v>6.53</v>
      </c>
      <c r="DB92">
        <v>0</v>
      </c>
    </row>
    <row r="93" spans="1:106" x14ac:dyDescent="0.2">
      <c r="A93">
        <f>ROW(Source!A66)</f>
        <v>66</v>
      </c>
      <c r="B93">
        <v>39099382</v>
      </c>
      <c r="C93">
        <v>39100326</v>
      </c>
      <c r="D93">
        <v>36883554</v>
      </c>
      <c r="E93">
        <v>1</v>
      </c>
      <c r="F93">
        <v>1</v>
      </c>
      <c r="G93">
        <v>1</v>
      </c>
      <c r="H93">
        <v>2</v>
      </c>
      <c r="I93" t="s">
        <v>665</v>
      </c>
      <c r="J93" t="s">
        <v>666</v>
      </c>
      <c r="K93" t="s">
        <v>667</v>
      </c>
      <c r="L93">
        <v>1368</v>
      </c>
      <c r="N93">
        <v>1011</v>
      </c>
      <c r="O93" t="s">
        <v>647</v>
      </c>
      <c r="P93" t="s">
        <v>647</v>
      </c>
      <c r="Q93">
        <v>1</v>
      </c>
      <c r="W93">
        <v>0</v>
      </c>
      <c r="X93">
        <v>1372534845</v>
      </c>
      <c r="Y93">
        <v>0.02</v>
      </c>
      <c r="AA93">
        <v>0</v>
      </c>
      <c r="AB93">
        <v>429.09</v>
      </c>
      <c r="AC93">
        <v>11.6</v>
      </c>
      <c r="AD93">
        <v>0</v>
      </c>
      <c r="AE93">
        <v>0</v>
      </c>
      <c r="AF93">
        <v>65.709999999999994</v>
      </c>
      <c r="AG93">
        <v>11.6</v>
      </c>
      <c r="AH93">
        <v>0</v>
      </c>
      <c r="AI93">
        <v>1</v>
      </c>
      <c r="AJ93">
        <v>6.53</v>
      </c>
      <c r="AK93">
        <v>1</v>
      </c>
      <c r="AL93">
        <v>1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3</v>
      </c>
      <c r="AT93">
        <v>0.02</v>
      </c>
      <c r="AU93" t="s">
        <v>3</v>
      </c>
      <c r="AV93">
        <v>0</v>
      </c>
      <c r="AW93">
        <v>2</v>
      </c>
      <c r="AX93">
        <v>39100337</v>
      </c>
      <c r="AY93">
        <v>1</v>
      </c>
      <c r="AZ93">
        <v>0</v>
      </c>
      <c r="BA93">
        <v>86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Y93*Source!I66</f>
        <v>9.2759999999999995E-2</v>
      </c>
      <c r="CY93">
        <f>AB93</f>
        <v>429.09</v>
      </c>
      <c r="CZ93">
        <f>AF93</f>
        <v>65.709999999999994</v>
      </c>
      <c r="DA93">
        <f>AJ93</f>
        <v>6.53</v>
      </c>
      <c r="DB93">
        <v>0</v>
      </c>
    </row>
    <row r="94" spans="1:106" x14ac:dyDescent="0.2">
      <c r="A94">
        <f>ROW(Source!A66)</f>
        <v>66</v>
      </c>
      <c r="B94">
        <v>39099382</v>
      </c>
      <c r="C94">
        <v>39100326</v>
      </c>
      <c r="D94">
        <v>36805524</v>
      </c>
      <c r="E94">
        <v>1</v>
      </c>
      <c r="F94">
        <v>1</v>
      </c>
      <c r="G94">
        <v>1</v>
      </c>
      <c r="H94">
        <v>3</v>
      </c>
      <c r="I94" t="s">
        <v>679</v>
      </c>
      <c r="J94" t="s">
        <v>680</v>
      </c>
      <c r="K94" t="s">
        <v>681</v>
      </c>
      <c r="L94">
        <v>1346</v>
      </c>
      <c r="N94">
        <v>1009</v>
      </c>
      <c r="O94" t="s">
        <v>97</v>
      </c>
      <c r="P94" t="s">
        <v>97</v>
      </c>
      <c r="Q94">
        <v>1</v>
      </c>
      <c r="W94">
        <v>0</v>
      </c>
      <c r="X94">
        <v>813963326</v>
      </c>
      <c r="Y94">
        <v>0.2</v>
      </c>
      <c r="AA94">
        <v>11.88</v>
      </c>
      <c r="AB94">
        <v>0</v>
      </c>
      <c r="AC94">
        <v>0</v>
      </c>
      <c r="AD94">
        <v>0</v>
      </c>
      <c r="AE94">
        <v>1.82</v>
      </c>
      <c r="AF94">
        <v>0</v>
      </c>
      <c r="AG94">
        <v>0</v>
      </c>
      <c r="AH94">
        <v>0</v>
      </c>
      <c r="AI94">
        <v>6.53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3</v>
      </c>
      <c r="AT94">
        <v>0.2</v>
      </c>
      <c r="AU94" t="s">
        <v>3</v>
      </c>
      <c r="AV94">
        <v>0</v>
      </c>
      <c r="AW94">
        <v>2</v>
      </c>
      <c r="AX94">
        <v>39100338</v>
      </c>
      <c r="AY94">
        <v>1</v>
      </c>
      <c r="AZ94">
        <v>0</v>
      </c>
      <c r="BA94">
        <v>87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Y94*Source!I66</f>
        <v>0.92759999999999998</v>
      </c>
      <c r="CY94">
        <f>AA94</f>
        <v>11.88</v>
      </c>
      <c r="CZ94">
        <f>AE94</f>
        <v>1.82</v>
      </c>
      <c r="DA94">
        <f>AI94</f>
        <v>6.53</v>
      </c>
      <c r="DB94">
        <v>0</v>
      </c>
    </row>
    <row r="95" spans="1:106" x14ac:dyDescent="0.2">
      <c r="A95">
        <f>ROW(Source!A66)</f>
        <v>66</v>
      </c>
      <c r="B95">
        <v>39099382</v>
      </c>
      <c r="C95">
        <v>39100326</v>
      </c>
      <c r="D95">
        <v>36837698</v>
      </c>
      <c r="E95">
        <v>1</v>
      </c>
      <c r="F95">
        <v>1</v>
      </c>
      <c r="G95">
        <v>1</v>
      </c>
      <c r="H95">
        <v>3</v>
      </c>
      <c r="I95" t="s">
        <v>191</v>
      </c>
      <c r="J95" t="s">
        <v>193</v>
      </c>
      <c r="K95" t="s">
        <v>192</v>
      </c>
      <c r="L95">
        <v>1346</v>
      </c>
      <c r="N95">
        <v>1009</v>
      </c>
      <c r="O95" t="s">
        <v>97</v>
      </c>
      <c r="P95" t="s">
        <v>97</v>
      </c>
      <c r="Q95">
        <v>1</v>
      </c>
      <c r="W95">
        <v>0</v>
      </c>
      <c r="X95">
        <v>1453462043</v>
      </c>
      <c r="Y95">
        <v>20</v>
      </c>
      <c r="AA95">
        <v>98.54</v>
      </c>
      <c r="AB95">
        <v>0</v>
      </c>
      <c r="AC95">
        <v>0</v>
      </c>
      <c r="AD95">
        <v>0</v>
      </c>
      <c r="AE95">
        <v>15.09</v>
      </c>
      <c r="AF95">
        <v>0</v>
      </c>
      <c r="AG95">
        <v>0</v>
      </c>
      <c r="AH95">
        <v>0</v>
      </c>
      <c r="AI95">
        <v>6.53</v>
      </c>
      <c r="AJ95">
        <v>1</v>
      </c>
      <c r="AK95">
        <v>1</v>
      </c>
      <c r="AL95">
        <v>1</v>
      </c>
      <c r="AN95">
        <v>0</v>
      </c>
      <c r="AO95">
        <v>0</v>
      </c>
      <c r="AP95">
        <v>0</v>
      </c>
      <c r="AQ95">
        <v>0</v>
      </c>
      <c r="AR95">
        <v>0</v>
      </c>
      <c r="AS95" t="s">
        <v>3</v>
      </c>
      <c r="AT95">
        <v>20</v>
      </c>
      <c r="AU95" t="s">
        <v>3</v>
      </c>
      <c r="AV95">
        <v>0</v>
      </c>
      <c r="AW95">
        <v>1</v>
      </c>
      <c r="AX95">
        <v>-1</v>
      </c>
      <c r="AY95">
        <v>0</v>
      </c>
      <c r="AZ95">
        <v>0</v>
      </c>
      <c r="BA95" t="s">
        <v>3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Y95*Source!I66</f>
        <v>92.759999999999991</v>
      </c>
      <c r="CY95">
        <f>AA95</f>
        <v>98.54</v>
      </c>
      <c r="CZ95">
        <f>AE95</f>
        <v>15.09</v>
      </c>
      <c r="DA95">
        <f>AI95</f>
        <v>6.53</v>
      </c>
      <c r="DB95">
        <v>0</v>
      </c>
    </row>
    <row r="96" spans="1:106" x14ac:dyDescent="0.2">
      <c r="A96">
        <f>ROW(Source!A66)</f>
        <v>66</v>
      </c>
      <c r="B96">
        <v>39099382</v>
      </c>
      <c r="C96">
        <v>39100326</v>
      </c>
      <c r="D96">
        <v>36797079</v>
      </c>
      <c r="E96">
        <v>17</v>
      </c>
      <c r="F96">
        <v>1</v>
      </c>
      <c r="G96">
        <v>1</v>
      </c>
      <c r="H96">
        <v>3</v>
      </c>
      <c r="I96" t="s">
        <v>187</v>
      </c>
      <c r="J96" t="s">
        <v>3</v>
      </c>
      <c r="K96" t="s">
        <v>188</v>
      </c>
      <c r="L96">
        <v>1348</v>
      </c>
      <c r="N96">
        <v>1009</v>
      </c>
      <c r="O96" t="s">
        <v>189</v>
      </c>
      <c r="P96" t="s">
        <v>189</v>
      </c>
      <c r="Q96">
        <v>1000</v>
      </c>
      <c r="W96">
        <v>0</v>
      </c>
      <c r="X96">
        <v>-1212923053</v>
      </c>
      <c r="Y96">
        <v>0.02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6.53</v>
      </c>
      <c r="AJ96">
        <v>1</v>
      </c>
      <c r="AK96">
        <v>1</v>
      </c>
      <c r="AL96">
        <v>1</v>
      </c>
      <c r="AN96">
        <v>0</v>
      </c>
      <c r="AO96">
        <v>0</v>
      </c>
      <c r="AP96">
        <v>0</v>
      </c>
      <c r="AQ96">
        <v>0</v>
      </c>
      <c r="AR96">
        <v>0</v>
      </c>
      <c r="AS96" t="s">
        <v>3</v>
      </c>
      <c r="AT96">
        <v>0.02</v>
      </c>
      <c r="AU96" t="s">
        <v>3</v>
      </c>
      <c r="AV96">
        <v>0</v>
      </c>
      <c r="AW96">
        <v>2</v>
      </c>
      <c r="AX96">
        <v>39100339</v>
      </c>
      <c r="AY96">
        <v>1</v>
      </c>
      <c r="AZ96">
        <v>0</v>
      </c>
      <c r="BA96">
        <v>88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Y96*Source!I66</f>
        <v>9.2759999999999995E-2</v>
      </c>
      <c r="CY96">
        <f>AA96</f>
        <v>0</v>
      </c>
      <c r="CZ96">
        <f>AE96</f>
        <v>0</v>
      </c>
      <c r="DA96">
        <f>AI96</f>
        <v>6.53</v>
      </c>
      <c r="DB96">
        <v>0</v>
      </c>
    </row>
    <row r="97" spans="1:106" x14ac:dyDescent="0.2">
      <c r="A97">
        <f>ROW(Source!A69)</f>
        <v>69</v>
      </c>
      <c r="B97">
        <v>39099382</v>
      </c>
      <c r="C97">
        <v>39100342</v>
      </c>
      <c r="D97">
        <v>37070090</v>
      </c>
      <c r="E97">
        <v>1</v>
      </c>
      <c r="F97">
        <v>1</v>
      </c>
      <c r="G97">
        <v>1</v>
      </c>
      <c r="H97">
        <v>1</v>
      </c>
      <c r="I97" t="s">
        <v>709</v>
      </c>
      <c r="J97" t="s">
        <v>3</v>
      </c>
      <c r="K97" t="s">
        <v>710</v>
      </c>
      <c r="L97">
        <v>1191</v>
      </c>
      <c r="N97">
        <v>1013</v>
      </c>
      <c r="O97" t="s">
        <v>641</v>
      </c>
      <c r="P97" t="s">
        <v>641</v>
      </c>
      <c r="Q97">
        <v>1</v>
      </c>
      <c r="W97">
        <v>0</v>
      </c>
      <c r="X97">
        <v>-814890593</v>
      </c>
      <c r="Y97">
        <v>42.9</v>
      </c>
      <c r="AA97">
        <v>0</v>
      </c>
      <c r="AB97">
        <v>0</v>
      </c>
      <c r="AC97">
        <v>0</v>
      </c>
      <c r="AD97">
        <v>58.57</v>
      </c>
      <c r="AE97">
        <v>0</v>
      </c>
      <c r="AF97">
        <v>0</v>
      </c>
      <c r="AG97">
        <v>0</v>
      </c>
      <c r="AH97">
        <v>8.9700000000000006</v>
      </c>
      <c r="AI97">
        <v>1</v>
      </c>
      <c r="AJ97">
        <v>1</v>
      </c>
      <c r="AK97">
        <v>1</v>
      </c>
      <c r="AL97">
        <v>6.53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3</v>
      </c>
      <c r="AT97">
        <v>42.9</v>
      </c>
      <c r="AU97" t="s">
        <v>3</v>
      </c>
      <c r="AV97">
        <v>1</v>
      </c>
      <c r="AW97">
        <v>2</v>
      </c>
      <c r="AX97">
        <v>39100352</v>
      </c>
      <c r="AY97">
        <v>1</v>
      </c>
      <c r="AZ97">
        <v>0</v>
      </c>
      <c r="BA97">
        <v>89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Y97*Source!I69</f>
        <v>198.97019999999998</v>
      </c>
      <c r="CY97">
        <f>AD97</f>
        <v>58.57</v>
      </c>
      <c r="CZ97">
        <f>AH97</f>
        <v>8.9700000000000006</v>
      </c>
      <c r="DA97">
        <f>AL97</f>
        <v>6.53</v>
      </c>
      <c r="DB97">
        <v>0</v>
      </c>
    </row>
    <row r="98" spans="1:106" x14ac:dyDescent="0.2">
      <c r="A98">
        <f>ROW(Source!A69)</f>
        <v>69</v>
      </c>
      <c r="B98">
        <v>39099382</v>
      </c>
      <c r="C98">
        <v>39100342</v>
      </c>
      <c r="D98">
        <v>37064876</v>
      </c>
      <c r="E98">
        <v>1</v>
      </c>
      <c r="F98">
        <v>1</v>
      </c>
      <c r="G98">
        <v>1</v>
      </c>
      <c r="H98">
        <v>1</v>
      </c>
      <c r="I98" t="s">
        <v>642</v>
      </c>
      <c r="J98" t="s">
        <v>3</v>
      </c>
      <c r="K98" t="s">
        <v>643</v>
      </c>
      <c r="L98">
        <v>1191</v>
      </c>
      <c r="N98">
        <v>1013</v>
      </c>
      <c r="O98" t="s">
        <v>641</v>
      </c>
      <c r="P98" t="s">
        <v>641</v>
      </c>
      <c r="Q98">
        <v>1</v>
      </c>
      <c r="W98">
        <v>0</v>
      </c>
      <c r="X98">
        <v>-1417349443</v>
      </c>
      <c r="Y98">
        <v>0.17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1</v>
      </c>
      <c r="AJ98">
        <v>1</v>
      </c>
      <c r="AK98">
        <v>6.53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3</v>
      </c>
      <c r="AT98">
        <v>0.17</v>
      </c>
      <c r="AU98" t="s">
        <v>3</v>
      </c>
      <c r="AV98">
        <v>2</v>
      </c>
      <c r="AW98">
        <v>2</v>
      </c>
      <c r="AX98">
        <v>39100353</v>
      </c>
      <c r="AY98">
        <v>1</v>
      </c>
      <c r="AZ98">
        <v>0</v>
      </c>
      <c r="BA98">
        <v>90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Y98*Source!I69</f>
        <v>0.78846000000000005</v>
      </c>
      <c r="CY98">
        <f>AD98</f>
        <v>0</v>
      </c>
      <c r="CZ98">
        <f>AH98</f>
        <v>0</v>
      </c>
      <c r="DA98">
        <f>AL98</f>
        <v>1</v>
      </c>
      <c r="DB98">
        <v>0</v>
      </c>
    </row>
    <row r="99" spans="1:106" x14ac:dyDescent="0.2">
      <c r="A99">
        <f>ROW(Source!A69)</f>
        <v>69</v>
      </c>
      <c r="B99">
        <v>39099382</v>
      </c>
      <c r="C99">
        <v>39100342</v>
      </c>
      <c r="D99">
        <v>36882452</v>
      </c>
      <c r="E99">
        <v>1</v>
      </c>
      <c r="F99">
        <v>1</v>
      </c>
      <c r="G99">
        <v>1</v>
      </c>
      <c r="H99">
        <v>2</v>
      </c>
      <c r="I99" t="s">
        <v>644</v>
      </c>
      <c r="J99" t="s">
        <v>645</v>
      </c>
      <c r="K99" t="s">
        <v>646</v>
      </c>
      <c r="L99">
        <v>1368</v>
      </c>
      <c r="N99">
        <v>1011</v>
      </c>
      <c r="O99" t="s">
        <v>647</v>
      </c>
      <c r="P99" t="s">
        <v>647</v>
      </c>
      <c r="Q99">
        <v>1</v>
      </c>
      <c r="W99">
        <v>0</v>
      </c>
      <c r="X99">
        <v>1188625873</v>
      </c>
      <c r="Y99">
        <v>0.02</v>
      </c>
      <c r="AA99">
        <v>0</v>
      </c>
      <c r="AB99">
        <v>204.13</v>
      </c>
      <c r="AC99">
        <v>13.5</v>
      </c>
      <c r="AD99">
        <v>0</v>
      </c>
      <c r="AE99">
        <v>0</v>
      </c>
      <c r="AF99">
        <v>31.26</v>
      </c>
      <c r="AG99">
        <v>13.5</v>
      </c>
      <c r="AH99">
        <v>0</v>
      </c>
      <c r="AI99">
        <v>1</v>
      </c>
      <c r="AJ99">
        <v>6.53</v>
      </c>
      <c r="AK99">
        <v>1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3</v>
      </c>
      <c r="AT99">
        <v>0.02</v>
      </c>
      <c r="AU99" t="s">
        <v>3</v>
      </c>
      <c r="AV99">
        <v>0</v>
      </c>
      <c r="AW99">
        <v>2</v>
      </c>
      <c r="AX99">
        <v>39100354</v>
      </c>
      <c r="AY99">
        <v>1</v>
      </c>
      <c r="AZ99">
        <v>0</v>
      </c>
      <c r="BA99">
        <v>91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Y99*Source!I69</f>
        <v>9.2759999999999995E-2</v>
      </c>
      <c r="CY99">
        <f>AB99</f>
        <v>204.13</v>
      </c>
      <c r="CZ99">
        <f>AF99</f>
        <v>31.26</v>
      </c>
      <c r="DA99">
        <f>AJ99</f>
        <v>6.53</v>
      </c>
      <c r="DB99">
        <v>0</v>
      </c>
    </row>
    <row r="100" spans="1:106" x14ac:dyDescent="0.2">
      <c r="A100">
        <f>ROW(Source!A69)</f>
        <v>69</v>
      </c>
      <c r="B100">
        <v>39099382</v>
      </c>
      <c r="C100">
        <v>39100342</v>
      </c>
      <c r="D100">
        <v>36883554</v>
      </c>
      <c r="E100">
        <v>1</v>
      </c>
      <c r="F100">
        <v>1</v>
      </c>
      <c r="G100">
        <v>1</v>
      </c>
      <c r="H100">
        <v>2</v>
      </c>
      <c r="I100" t="s">
        <v>665</v>
      </c>
      <c r="J100" t="s">
        <v>666</v>
      </c>
      <c r="K100" t="s">
        <v>667</v>
      </c>
      <c r="L100">
        <v>1368</v>
      </c>
      <c r="N100">
        <v>1011</v>
      </c>
      <c r="O100" t="s">
        <v>647</v>
      </c>
      <c r="P100" t="s">
        <v>647</v>
      </c>
      <c r="Q100">
        <v>1</v>
      </c>
      <c r="W100">
        <v>0</v>
      </c>
      <c r="X100">
        <v>1372534845</v>
      </c>
      <c r="Y100">
        <v>0.15</v>
      </c>
      <c r="AA100">
        <v>0</v>
      </c>
      <c r="AB100">
        <v>429.09</v>
      </c>
      <c r="AC100">
        <v>11.6</v>
      </c>
      <c r="AD100">
        <v>0</v>
      </c>
      <c r="AE100">
        <v>0</v>
      </c>
      <c r="AF100">
        <v>65.709999999999994</v>
      </c>
      <c r="AG100">
        <v>11.6</v>
      </c>
      <c r="AH100">
        <v>0</v>
      </c>
      <c r="AI100">
        <v>1</v>
      </c>
      <c r="AJ100">
        <v>6.53</v>
      </c>
      <c r="AK100">
        <v>1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3</v>
      </c>
      <c r="AT100">
        <v>0.15</v>
      </c>
      <c r="AU100" t="s">
        <v>3</v>
      </c>
      <c r="AV100">
        <v>0</v>
      </c>
      <c r="AW100">
        <v>2</v>
      </c>
      <c r="AX100">
        <v>39100355</v>
      </c>
      <c r="AY100">
        <v>1</v>
      </c>
      <c r="AZ100">
        <v>0</v>
      </c>
      <c r="BA100">
        <v>92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Y100*Source!I69</f>
        <v>0.69569999999999999</v>
      </c>
      <c r="CY100">
        <f>AB100</f>
        <v>429.09</v>
      </c>
      <c r="CZ100">
        <f>AF100</f>
        <v>65.709999999999994</v>
      </c>
      <c r="DA100">
        <f>AJ100</f>
        <v>6.53</v>
      </c>
      <c r="DB100">
        <v>0</v>
      </c>
    </row>
    <row r="101" spans="1:106" x14ac:dyDescent="0.2">
      <c r="A101">
        <f>ROW(Source!A69)</f>
        <v>69</v>
      </c>
      <c r="B101">
        <v>39099382</v>
      </c>
      <c r="C101">
        <v>39100342</v>
      </c>
      <c r="D101">
        <v>36805188</v>
      </c>
      <c r="E101">
        <v>1</v>
      </c>
      <c r="F101">
        <v>1</v>
      </c>
      <c r="G101">
        <v>1</v>
      </c>
      <c r="H101">
        <v>3</v>
      </c>
      <c r="I101" t="s">
        <v>711</v>
      </c>
      <c r="J101" t="s">
        <v>712</v>
      </c>
      <c r="K101" t="s">
        <v>713</v>
      </c>
      <c r="L101">
        <v>1327</v>
      </c>
      <c r="N101">
        <v>1005</v>
      </c>
      <c r="O101" t="s">
        <v>89</v>
      </c>
      <c r="P101" t="s">
        <v>89</v>
      </c>
      <c r="Q101">
        <v>1</v>
      </c>
      <c r="W101">
        <v>0</v>
      </c>
      <c r="X101">
        <v>-1987926685</v>
      </c>
      <c r="Y101">
        <v>0.84</v>
      </c>
      <c r="AA101">
        <v>472.25</v>
      </c>
      <c r="AB101">
        <v>0</v>
      </c>
      <c r="AC101">
        <v>0</v>
      </c>
      <c r="AD101">
        <v>0</v>
      </c>
      <c r="AE101">
        <v>72.319999999999993</v>
      </c>
      <c r="AF101">
        <v>0</v>
      </c>
      <c r="AG101">
        <v>0</v>
      </c>
      <c r="AH101">
        <v>0</v>
      </c>
      <c r="AI101">
        <v>6.53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3</v>
      </c>
      <c r="AT101">
        <v>0.84</v>
      </c>
      <c r="AU101" t="s">
        <v>3</v>
      </c>
      <c r="AV101">
        <v>0</v>
      </c>
      <c r="AW101">
        <v>2</v>
      </c>
      <c r="AX101">
        <v>39100356</v>
      </c>
      <c r="AY101">
        <v>1</v>
      </c>
      <c r="AZ101">
        <v>0</v>
      </c>
      <c r="BA101">
        <v>93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Y101*Source!I69</f>
        <v>3.8959199999999998</v>
      </c>
      <c r="CY101">
        <f>AA101</f>
        <v>472.25</v>
      </c>
      <c r="CZ101">
        <f>AE101</f>
        <v>72.319999999999993</v>
      </c>
      <c r="DA101">
        <f>AI101</f>
        <v>6.53</v>
      </c>
      <c r="DB101">
        <v>0</v>
      </c>
    </row>
    <row r="102" spans="1:106" x14ac:dyDescent="0.2">
      <c r="A102">
        <f>ROW(Source!A69)</f>
        <v>69</v>
      </c>
      <c r="B102">
        <v>39099382</v>
      </c>
      <c r="C102">
        <v>39100342</v>
      </c>
      <c r="D102">
        <v>36805524</v>
      </c>
      <c r="E102">
        <v>1</v>
      </c>
      <c r="F102">
        <v>1</v>
      </c>
      <c r="G102">
        <v>1</v>
      </c>
      <c r="H102">
        <v>3</v>
      </c>
      <c r="I102" t="s">
        <v>679</v>
      </c>
      <c r="J102" t="s">
        <v>680</v>
      </c>
      <c r="K102" t="s">
        <v>681</v>
      </c>
      <c r="L102">
        <v>1346</v>
      </c>
      <c r="N102">
        <v>1009</v>
      </c>
      <c r="O102" t="s">
        <v>97</v>
      </c>
      <c r="P102" t="s">
        <v>97</v>
      </c>
      <c r="Q102">
        <v>1</v>
      </c>
      <c r="W102">
        <v>0</v>
      </c>
      <c r="X102">
        <v>813963326</v>
      </c>
      <c r="Y102">
        <v>0.31</v>
      </c>
      <c r="AA102">
        <v>11.88</v>
      </c>
      <c r="AB102">
        <v>0</v>
      </c>
      <c r="AC102">
        <v>0</v>
      </c>
      <c r="AD102">
        <v>0</v>
      </c>
      <c r="AE102">
        <v>1.82</v>
      </c>
      <c r="AF102">
        <v>0</v>
      </c>
      <c r="AG102">
        <v>0</v>
      </c>
      <c r="AH102">
        <v>0</v>
      </c>
      <c r="AI102">
        <v>6.53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3</v>
      </c>
      <c r="AT102">
        <v>0.31</v>
      </c>
      <c r="AU102" t="s">
        <v>3</v>
      </c>
      <c r="AV102">
        <v>0</v>
      </c>
      <c r="AW102">
        <v>2</v>
      </c>
      <c r="AX102">
        <v>39100357</v>
      </c>
      <c r="AY102">
        <v>1</v>
      </c>
      <c r="AZ102">
        <v>0</v>
      </c>
      <c r="BA102">
        <v>94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Y102*Source!I69</f>
        <v>1.4377800000000001</v>
      </c>
      <c r="CY102">
        <f>AA102</f>
        <v>11.88</v>
      </c>
      <c r="CZ102">
        <f>AE102</f>
        <v>1.82</v>
      </c>
      <c r="DA102">
        <f>AI102</f>
        <v>6.53</v>
      </c>
      <c r="DB102">
        <v>0</v>
      </c>
    </row>
    <row r="103" spans="1:106" x14ac:dyDescent="0.2">
      <c r="A103">
        <f>ROW(Source!A69)</f>
        <v>69</v>
      </c>
      <c r="B103">
        <v>39099382</v>
      </c>
      <c r="C103">
        <v>39100342</v>
      </c>
      <c r="D103">
        <v>36797561</v>
      </c>
      <c r="E103">
        <v>17</v>
      </c>
      <c r="F103">
        <v>1</v>
      </c>
      <c r="G103">
        <v>1</v>
      </c>
      <c r="H103">
        <v>3</v>
      </c>
      <c r="I103" t="s">
        <v>199</v>
      </c>
      <c r="J103" t="s">
        <v>3</v>
      </c>
      <c r="K103" t="s">
        <v>200</v>
      </c>
      <c r="L103">
        <v>1348</v>
      </c>
      <c r="N103">
        <v>1009</v>
      </c>
      <c r="O103" t="s">
        <v>189</v>
      </c>
      <c r="P103" t="s">
        <v>189</v>
      </c>
      <c r="Q103">
        <v>1000</v>
      </c>
      <c r="W103">
        <v>0</v>
      </c>
      <c r="X103">
        <v>1891904026</v>
      </c>
      <c r="Y103">
        <v>6.3E-2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6.53</v>
      </c>
      <c r="AJ103">
        <v>1</v>
      </c>
      <c r="AK103">
        <v>1</v>
      </c>
      <c r="AL103">
        <v>1</v>
      </c>
      <c r="AN103">
        <v>0</v>
      </c>
      <c r="AO103">
        <v>0</v>
      </c>
      <c r="AP103">
        <v>0</v>
      </c>
      <c r="AQ103">
        <v>0</v>
      </c>
      <c r="AR103">
        <v>0</v>
      </c>
      <c r="AS103" t="s">
        <v>3</v>
      </c>
      <c r="AT103">
        <v>6.3E-2</v>
      </c>
      <c r="AU103" t="s">
        <v>3</v>
      </c>
      <c r="AV103">
        <v>0</v>
      </c>
      <c r="AW103">
        <v>2</v>
      </c>
      <c r="AX103">
        <v>39100358</v>
      </c>
      <c r="AY103">
        <v>1</v>
      </c>
      <c r="AZ103">
        <v>0</v>
      </c>
      <c r="BA103">
        <v>95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Y103*Source!I69</f>
        <v>0.29219400000000001</v>
      </c>
      <c r="CY103">
        <f>AA103</f>
        <v>0</v>
      </c>
      <c r="CZ103">
        <f>AE103</f>
        <v>0</v>
      </c>
      <c r="DA103">
        <f>AI103</f>
        <v>6.53</v>
      </c>
      <c r="DB103">
        <v>0</v>
      </c>
    </row>
    <row r="104" spans="1:106" x14ac:dyDescent="0.2">
      <c r="A104">
        <f>ROW(Source!A69)</f>
        <v>69</v>
      </c>
      <c r="B104">
        <v>39099382</v>
      </c>
      <c r="C104">
        <v>39100342</v>
      </c>
      <c r="D104">
        <v>36837795</v>
      </c>
      <c r="E104">
        <v>1</v>
      </c>
      <c r="F104">
        <v>1</v>
      </c>
      <c r="G104">
        <v>1</v>
      </c>
      <c r="H104">
        <v>3</v>
      </c>
      <c r="I104" t="s">
        <v>202</v>
      </c>
      <c r="J104" t="s">
        <v>204</v>
      </c>
      <c r="K104" t="s">
        <v>203</v>
      </c>
      <c r="L104">
        <v>1348</v>
      </c>
      <c r="N104">
        <v>1009</v>
      </c>
      <c r="O104" t="s">
        <v>189</v>
      </c>
      <c r="P104" t="s">
        <v>189</v>
      </c>
      <c r="Q104">
        <v>1000</v>
      </c>
      <c r="W104">
        <v>0</v>
      </c>
      <c r="X104">
        <v>772632804</v>
      </c>
      <c r="Y104">
        <v>6.3E-2</v>
      </c>
      <c r="AA104">
        <v>130428.07</v>
      </c>
      <c r="AB104">
        <v>0</v>
      </c>
      <c r="AC104">
        <v>0</v>
      </c>
      <c r="AD104">
        <v>0</v>
      </c>
      <c r="AE104">
        <v>19973.669999999998</v>
      </c>
      <c r="AF104">
        <v>0</v>
      </c>
      <c r="AG104">
        <v>0</v>
      </c>
      <c r="AH104">
        <v>0</v>
      </c>
      <c r="AI104">
        <v>6.53</v>
      </c>
      <c r="AJ104">
        <v>1</v>
      </c>
      <c r="AK104">
        <v>1</v>
      </c>
      <c r="AL104">
        <v>1</v>
      </c>
      <c r="AN104">
        <v>0</v>
      </c>
      <c r="AO104">
        <v>0</v>
      </c>
      <c r="AP104">
        <v>0</v>
      </c>
      <c r="AQ104">
        <v>0</v>
      </c>
      <c r="AR104">
        <v>0</v>
      </c>
      <c r="AS104" t="s">
        <v>3</v>
      </c>
      <c r="AT104">
        <v>6.3E-2</v>
      </c>
      <c r="AU104" t="s">
        <v>3</v>
      </c>
      <c r="AV104">
        <v>0</v>
      </c>
      <c r="AW104">
        <v>1</v>
      </c>
      <c r="AX104">
        <v>-1</v>
      </c>
      <c r="AY104">
        <v>0</v>
      </c>
      <c r="AZ104">
        <v>0</v>
      </c>
      <c r="BA104" t="s">
        <v>3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Y104*Source!I69</f>
        <v>0.29219400000000001</v>
      </c>
      <c r="CY104">
        <f>AA104</f>
        <v>130428.07</v>
      </c>
      <c r="CZ104">
        <f>AE104</f>
        <v>19973.669999999998</v>
      </c>
      <c r="DA104">
        <f>AI104</f>
        <v>6.53</v>
      </c>
      <c r="DB104">
        <v>0</v>
      </c>
    </row>
    <row r="105" spans="1:106" x14ac:dyDescent="0.2">
      <c r="A105">
        <f>ROW(Source!A69)</f>
        <v>69</v>
      </c>
      <c r="B105">
        <v>39099382</v>
      </c>
      <c r="C105">
        <v>39100342</v>
      </c>
      <c r="D105">
        <v>36839212</v>
      </c>
      <c r="E105">
        <v>1</v>
      </c>
      <c r="F105">
        <v>1</v>
      </c>
      <c r="G105">
        <v>1</v>
      </c>
      <c r="H105">
        <v>3</v>
      </c>
      <c r="I105" t="s">
        <v>714</v>
      </c>
      <c r="J105" t="s">
        <v>715</v>
      </c>
      <c r="K105" t="s">
        <v>716</v>
      </c>
      <c r="L105">
        <v>1348</v>
      </c>
      <c r="N105">
        <v>1009</v>
      </c>
      <c r="O105" t="s">
        <v>189</v>
      </c>
      <c r="P105" t="s">
        <v>189</v>
      </c>
      <c r="Q105">
        <v>1000</v>
      </c>
      <c r="W105">
        <v>0</v>
      </c>
      <c r="X105">
        <v>-2084827333</v>
      </c>
      <c r="Y105">
        <v>5.0999999999999997E-2</v>
      </c>
      <c r="AA105">
        <v>28039.82</v>
      </c>
      <c r="AB105">
        <v>0</v>
      </c>
      <c r="AC105">
        <v>0</v>
      </c>
      <c r="AD105">
        <v>0</v>
      </c>
      <c r="AE105">
        <v>4294</v>
      </c>
      <c r="AF105">
        <v>0</v>
      </c>
      <c r="AG105">
        <v>0</v>
      </c>
      <c r="AH105">
        <v>0</v>
      </c>
      <c r="AI105">
        <v>6.53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3</v>
      </c>
      <c r="AT105">
        <v>5.0999999999999997E-2</v>
      </c>
      <c r="AU105" t="s">
        <v>3</v>
      </c>
      <c r="AV105">
        <v>0</v>
      </c>
      <c r="AW105">
        <v>2</v>
      </c>
      <c r="AX105">
        <v>39100359</v>
      </c>
      <c r="AY105">
        <v>1</v>
      </c>
      <c r="AZ105">
        <v>0</v>
      </c>
      <c r="BA105">
        <v>96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Y105*Source!I69</f>
        <v>0.23653799999999997</v>
      </c>
      <c r="CY105">
        <f>AA105</f>
        <v>28039.82</v>
      </c>
      <c r="CZ105">
        <f>AE105</f>
        <v>4294</v>
      </c>
      <c r="DA105">
        <f>AI105</f>
        <v>6.53</v>
      </c>
      <c r="DB105">
        <v>0</v>
      </c>
    </row>
    <row r="106" spans="1:106" x14ac:dyDescent="0.2">
      <c r="A106">
        <f>ROW(Source!A72)</f>
        <v>72</v>
      </c>
      <c r="B106">
        <v>39099382</v>
      </c>
      <c r="C106">
        <v>39492209</v>
      </c>
      <c r="D106">
        <v>37070202</v>
      </c>
      <c r="E106">
        <v>1</v>
      </c>
      <c r="F106">
        <v>1</v>
      </c>
      <c r="G106">
        <v>1</v>
      </c>
      <c r="H106">
        <v>1</v>
      </c>
      <c r="I106" t="s">
        <v>717</v>
      </c>
      <c r="J106" t="s">
        <v>3</v>
      </c>
      <c r="K106" t="s">
        <v>718</v>
      </c>
      <c r="L106">
        <v>1191</v>
      </c>
      <c r="N106">
        <v>1013</v>
      </c>
      <c r="O106" t="s">
        <v>641</v>
      </c>
      <c r="P106" t="s">
        <v>641</v>
      </c>
      <c r="Q106">
        <v>1</v>
      </c>
      <c r="W106">
        <v>0</v>
      </c>
      <c r="X106">
        <v>1983201532</v>
      </c>
      <c r="Y106">
        <v>40.480000000000004</v>
      </c>
      <c r="AA106">
        <v>0</v>
      </c>
      <c r="AB106">
        <v>0</v>
      </c>
      <c r="AC106">
        <v>0</v>
      </c>
      <c r="AD106">
        <v>62.1</v>
      </c>
      <c r="AE106">
        <v>0</v>
      </c>
      <c r="AF106">
        <v>0</v>
      </c>
      <c r="AG106">
        <v>0</v>
      </c>
      <c r="AH106">
        <v>9.51</v>
      </c>
      <c r="AI106">
        <v>1</v>
      </c>
      <c r="AJ106">
        <v>1</v>
      </c>
      <c r="AK106">
        <v>1</v>
      </c>
      <c r="AL106">
        <v>6.53</v>
      </c>
      <c r="AN106">
        <v>0</v>
      </c>
      <c r="AO106">
        <v>1</v>
      </c>
      <c r="AP106">
        <v>1</v>
      </c>
      <c r="AQ106">
        <v>0</v>
      </c>
      <c r="AR106">
        <v>0</v>
      </c>
      <c r="AS106" t="s">
        <v>3</v>
      </c>
      <c r="AT106">
        <v>50.6</v>
      </c>
      <c r="AU106" t="s">
        <v>211</v>
      </c>
      <c r="AV106">
        <v>1</v>
      </c>
      <c r="AW106">
        <v>2</v>
      </c>
      <c r="AX106">
        <v>39492219</v>
      </c>
      <c r="AY106">
        <v>1</v>
      </c>
      <c r="AZ106">
        <v>0</v>
      </c>
      <c r="BA106">
        <v>97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Y106*Source!I72</f>
        <v>12.751200000000001</v>
      </c>
      <c r="CY106">
        <f>AD106</f>
        <v>62.1</v>
      </c>
      <c r="CZ106">
        <f>AH106</f>
        <v>9.51</v>
      </c>
      <c r="DA106">
        <f>AL106</f>
        <v>6.53</v>
      </c>
      <c r="DB106">
        <v>0</v>
      </c>
    </row>
    <row r="107" spans="1:106" x14ac:dyDescent="0.2">
      <c r="A107">
        <f>ROW(Source!A72)</f>
        <v>72</v>
      </c>
      <c r="B107">
        <v>39099382</v>
      </c>
      <c r="C107">
        <v>39492209</v>
      </c>
      <c r="D107">
        <v>37064876</v>
      </c>
      <c r="E107">
        <v>1</v>
      </c>
      <c r="F107">
        <v>1</v>
      </c>
      <c r="G107">
        <v>1</v>
      </c>
      <c r="H107">
        <v>1</v>
      </c>
      <c r="I107" t="s">
        <v>642</v>
      </c>
      <c r="J107" t="s">
        <v>3</v>
      </c>
      <c r="K107" t="s">
        <v>643</v>
      </c>
      <c r="L107">
        <v>1191</v>
      </c>
      <c r="N107">
        <v>1013</v>
      </c>
      <c r="O107" t="s">
        <v>641</v>
      </c>
      <c r="P107" t="s">
        <v>641</v>
      </c>
      <c r="Q107">
        <v>1</v>
      </c>
      <c r="W107">
        <v>0</v>
      </c>
      <c r="X107">
        <v>-1417349443</v>
      </c>
      <c r="Y107">
        <v>1.42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1</v>
      </c>
      <c r="AJ107">
        <v>1</v>
      </c>
      <c r="AK107">
        <v>6.53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3</v>
      </c>
      <c r="AT107">
        <v>1.42</v>
      </c>
      <c r="AU107" t="s">
        <v>3</v>
      </c>
      <c r="AV107">
        <v>2</v>
      </c>
      <c r="AW107">
        <v>2</v>
      </c>
      <c r="AX107">
        <v>39492220</v>
      </c>
      <c r="AY107">
        <v>1</v>
      </c>
      <c r="AZ107">
        <v>2048</v>
      </c>
      <c r="BA107">
        <v>98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Y107*Source!I72</f>
        <v>0.44729999999999998</v>
      </c>
      <c r="CY107">
        <f>AD107</f>
        <v>0</v>
      </c>
      <c r="CZ107">
        <f>AH107</f>
        <v>0</v>
      </c>
      <c r="DA107">
        <f>AL107</f>
        <v>1</v>
      </c>
      <c r="DB107">
        <v>0</v>
      </c>
    </row>
    <row r="108" spans="1:106" x14ac:dyDescent="0.2">
      <c r="A108">
        <f>ROW(Source!A72)</f>
        <v>72</v>
      </c>
      <c r="B108">
        <v>39099382</v>
      </c>
      <c r="C108">
        <v>39492209</v>
      </c>
      <c r="D108">
        <v>36882452</v>
      </c>
      <c r="E108">
        <v>1</v>
      </c>
      <c r="F108">
        <v>1</v>
      </c>
      <c r="G108">
        <v>1</v>
      </c>
      <c r="H108">
        <v>2</v>
      </c>
      <c r="I108" t="s">
        <v>644</v>
      </c>
      <c r="J108" t="s">
        <v>645</v>
      </c>
      <c r="K108" t="s">
        <v>646</v>
      </c>
      <c r="L108">
        <v>1368</v>
      </c>
      <c r="N108">
        <v>1011</v>
      </c>
      <c r="O108" t="s">
        <v>647</v>
      </c>
      <c r="P108" t="s">
        <v>647</v>
      </c>
      <c r="Q108">
        <v>1</v>
      </c>
      <c r="W108">
        <v>0</v>
      </c>
      <c r="X108">
        <v>1188625873</v>
      </c>
      <c r="Y108">
        <v>0.17600000000000002</v>
      </c>
      <c r="AA108">
        <v>0</v>
      </c>
      <c r="AB108">
        <v>204.13</v>
      </c>
      <c r="AC108">
        <v>13.5</v>
      </c>
      <c r="AD108">
        <v>0</v>
      </c>
      <c r="AE108">
        <v>0</v>
      </c>
      <c r="AF108">
        <v>31.26</v>
      </c>
      <c r="AG108">
        <v>13.5</v>
      </c>
      <c r="AH108">
        <v>0</v>
      </c>
      <c r="AI108">
        <v>1</v>
      </c>
      <c r="AJ108">
        <v>6.53</v>
      </c>
      <c r="AK108">
        <v>1</v>
      </c>
      <c r="AL108">
        <v>1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3</v>
      </c>
      <c r="AT108">
        <v>0.22</v>
      </c>
      <c r="AU108" t="s">
        <v>211</v>
      </c>
      <c r="AV108">
        <v>0</v>
      </c>
      <c r="AW108">
        <v>2</v>
      </c>
      <c r="AX108">
        <v>39492221</v>
      </c>
      <c r="AY108">
        <v>1</v>
      </c>
      <c r="AZ108">
        <v>0</v>
      </c>
      <c r="BA108">
        <v>99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Y108*Source!I72</f>
        <v>5.5440000000000003E-2</v>
      </c>
      <c r="CY108">
        <f>AB108</f>
        <v>204.13</v>
      </c>
      <c r="CZ108">
        <f>AF108</f>
        <v>31.26</v>
      </c>
      <c r="DA108">
        <f>AJ108</f>
        <v>6.53</v>
      </c>
      <c r="DB108">
        <v>0</v>
      </c>
    </row>
    <row r="109" spans="1:106" x14ac:dyDescent="0.2">
      <c r="A109">
        <f>ROW(Source!A72)</f>
        <v>72</v>
      </c>
      <c r="B109">
        <v>39099382</v>
      </c>
      <c r="C109">
        <v>39492209</v>
      </c>
      <c r="D109">
        <v>36883554</v>
      </c>
      <c r="E109">
        <v>1</v>
      </c>
      <c r="F109">
        <v>1</v>
      </c>
      <c r="G109">
        <v>1</v>
      </c>
      <c r="H109">
        <v>2</v>
      </c>
      <c r="I109" t="s">
        <v>665</v>
      </c>
      <c r="J109" t="s">
        <v>666</v>
      </c>
      <c r="K109" t="s">
        <v>667</v>
      </c>
      <c r="L109">
        <v>1368</v>
      </c>
      <c r="N109">
        <v>1011</v>
      </c>
      <c r="O109" t="s">
        <v>647</v>
      </c>
      <c r="P109" t="s">
        <v>647</v>
      </c>
      <c r="Q109">
        <v>1</v>
      </c>
      <c r="W109">
        <v>0</v>
      </c>
      <c r="X109">
        <v>1372534845</v>
      </c>
      <c r="Y109">
        <v>0.96</v>
      </c>
      <c r="AA109">
        <v>0</v>
      </c>
      <c r="AB109">
        <v>429.09</v>
      </c>
      <c r="AC109">
        <v>11.6</v>
      </c>
      <c r="AD109">
        <v>0</v>
      </c>
      <c r="AE109">
        <v>0</v>
      </c>
      <c r="AF109">
        <v>65.709999999999994</v>
      </c>
      <c r="AG109">
        <v>11.6</v>
      </c>
      <c r="AH109">
        <v>0</v>
      </c>
      <c r="AI109">
        <v>1</v>
      </c>
      <c r="AJ109">
        <v>6.53</v>
      </c>
      <c r="AK109">
        <v>1</v>
      </c>
      <c r="AL109">
        <v>1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3</v>
      </c>
      <c r="AT109">
        <v>1.2</v>
      </c>
      <c r="AU109" t="s">
        <v>211</v>
      </c>
      <c r="AV109">
        <v>0</v>
      </c>
      <c r="AW109">
        <v>2</v>
      </c>
      <c r="AX109">
        <v>39492222</v>
      </c>
      <c r="AY109">
        <v>1</v>
      </c>
      <c r="AZ109">
        <v>0</v>
      </c>
      <c r="BA109">
        <v>100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Y109*Source!I72</f>
        <v>0.3024</v>
      </c>
      <c r="CY109">
        <f>AB109</f>
        <v>429.09</v>
      </c>
      <c r="CZ109">
        <f>AF109</f>
        <v>65.709999999999994</v>
      </c>
      <c r="DA109">
        <f>AJ109</f>
        <v>6.53</v>
      </c>
      <c r="DB109">
        <v>0</v>
      </c>
    </row>
    <row r="110" spans="1:106" x14ac:dyDescent="0.2">
      <c r="A110">
        <f>ROW(Source!A72)</f>
        <v>72</v>
      </c>
      <c r="B110">
        <v>39099382</v>
      </c>
      <c r="C110">
        <v>39492209</v>
      </c>
      <c r="D110">
        <v>36801783</v>
      </c>
      <c r="E110">
        <v>1</v>
      </c>
      <c r="F110">
        <v>1</v>
      </c>
      <c r="G110">
        <v>1</v>
      </c>
      <c r="H110">
        <v>3</v>
      </c>
      <c r="I110" t="s">
        <v>719</v>
      </c>
      <c r="J110" t="s">
        <v>720</v>
      </c>
      <c r="K110" t="s">
        <v>721</v>
      </c>
      <c r="L110">
        <v>1348</v>
      </c>
      <c r="N110">
        <v>1009</v>
      </c>
      <c r="O110" t="s">
        <v>189</v>
      </c>
      <c r="P110" t="s">
        <v>189</v>
      </c>
      <c r="Q110">
        <v>1000</v>
      </c>
      <c r="W110">
        <v>0</v>
      </c>
      <c r="X110">
        <v>-107449080</v>
      </c>
      <c r="Y110">
        <v>0</v>
      </c>
      <c r="AA110">
        <v>36894.5</v>
      </c>
      <c r="AB110">
        <v>0</v>
      </c>
      <c r="AC110">
        <v>0</v>
      </c>
      <c r="AD110">
        <v>0</v>
      </c>
      <c r="AE110">
        <v>5650</v>
      </c>
      <c r="AF110">
        <v>0</v>
      </c>
      <c r="AG110">
        <v>0</v>
      </c>
      <c r="AH110">
        <v>0</v>
      </c>
      <c r="AI110">
        <v>6.53</v>
      </c>
      <c r="AJ110">
        <v>1</v>
      </c>
      <c r="AK110">
        <v>1</v>
      </c>
      <c r="AL110">
        <v>1</v>
      </c>
      <c r="AN110">
        <v>0</v>
      </c>
      <c r="AO110">
        <v>1</v>
      </c>
      <c r="AP110">
        <v>1</v>
      </c>
      <c r="AQ110">
        <v>0</v>
      </c>
      <c r="AR110">
        <v>0</v>
      </c>
      <c r="AS110" t="s">
        <v>3</v>
      </c>
      <c r="AT110">
        <v>0.01</v>
      </c>
      <c r="AU110" t="s">
        <v>210</v>
      </c>
      <c r="AV110">
        <v>0</v>
      </c>
      <c r="AW110">
        <v>2</v>
      </c>
      <c r="AX110">
        <v>39492223</v>
      </c>
      <c r="AY110">
        <v>1</v>
      </c>
      <c r="AZ110">
        <v>0</v>
      </c>
      <c r="BA110">
        <v>101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Y110*Source!I72</f>
        <v>0</v>
      </c>
      <c r="CY110">
        <f>AA110</f>
        <v>36894.5</v>
      </c>
      <c r="CZ110">
        <f>AE110</f>
        <v>5650</v>
      </c>
      <c r="DA110">
        <f>AI110</f>
        <v>6.53</v>
      </c>
      <c r="DB110">
        <v>0</v>
      </c>
    </row>
    <row r="111" spans="1:106" x14ac:dyDescent="0.2">
      <c r="A111">
        <f>ROW(Source!A72)</f>
        <v>72</v>
      </c>
      <c r="B111">
        <v>39099382</v>
      </c>
      <c r="C111">
        <v>39492209</v>
      </c>
      <c r="D111">
        <v>36804953</v>
      </c>
      <c r="E111">
        <v>1</v>
      </c>
      <c r="F111">
        <v>1</v>
      </c>
      <c r="G111">
        <v>1</v>
      </c>
      <c r="H111">
        <v>3</v>
      </c>
      <c r="I111" t="s">
        <v>722</v>
      </c>
      <c r="J111" t="s">
        <v>723</v>
      </c>
      <c r="K111" t="s">
        <v>724</v>
      </c>
      <c r="L111">
        <v>1348</v>
      </c>
      <c r="N111">
        <v>1009</v>
      </c>
      <c r="O111" t="s">
        <v>189</v>
      </c>
      <c r="P111" t="s">
        <v>189</v>
      </c>
      <c r="Q111">
        <v>1000</v>
      </c>
      <c r="W111">
        <v>0</v>
      </c>
      <c r="X111">
        <v>-34039275</v>
      </c>
      <c r="Y111">
        <v>0</v>
      </c>
      <c r="AA111">
        <v>74115.5</v>
      </c>
      <c r="AB111">
        <v>0</v>
      </c>
      <c r="AC111">
        <v>0</v>
      </c>
      <c r="AD111">
        <v>0</v>
      </c>
      <c r="AE111">
        <v>11350</v>
      </c>
      <c r="AF111">
        <v>0</v>
      </c>
      <c r="AG111">
        <v>0</v>
      </c>
      <c r="AH111">
        <v>0</v>
      </c>
      <c r="AI111">
        <v>6.53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3</v>
      </c>
      <c r="AT111">
        <v>8.4000000000000003E-4</v>
      </c>
      <c r="AU111" t="s">
        <v>210</v>
      </c>
      <c r="AV111">
        <v>0</v>
      </c>
      <c r="AW111">
        <v>2</v>
      </c>
      <c r="AX111">
        <v>39492224</v>
      </c>
      <c r="AY111">
        <v>1</v>
      </c>
      <c r="AZ111">
        <v>0</v>
      </c>
      <c r="BA111">
        <v>102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Y111*Source!I72</f>
        <v>0</v>
      </c>
      <c r="CY111">
        <f>AA111</f>
        <v>74115.5</v>
      </c>
      <c r="CZ111">
        <f>AE111</f>
        <v>11350</v>
      </c>
      <c r="DA111">
        <f>AI111</f>
        <v>6.53</v>
      </c>
      <c r="DB111">
        <v>0</v>
      </c>
    </row>
    <row r="112" spans="1:106" x14ac:dyDescent="0.2">
      <c r="A112">
        <f>ROW(Source!A72)</f>
        <v>72</v>
      </c>
      <c r="B112">
        <v>39099382</v>
      </c>
      <c r="C112">
        <v>39492209</v>
      </c>
      <c r="D112">
        <v>36805524</v>
      </c>
      <c r="E112">
        <v>1</v>
      </c>
      <c r="F112">
        <v>1</v>
      </c>
      <c r="G112">
        <v>1</v>
      </c>
      <c r="H112">
        <v>3</v>
      </c>
      <c r="I112" t="s">
        <v>679</v>
      </c>
      <c r="J112" t="s">
        <v>680</v>
      </c>
      <c r="K112" t="s">
        <v>681</v>
      </c>
      <c r="L112">
        <v>1346</v>
      </c>
      <c r="N112">
        <v>1009</v>
      </c>
      <c r="O112" t="s">
        <v>97</v>
      </c>
      <c r="P112" t="s">
        <v>97</v>
      </c>
      <c r="Q112">
        <v>1</v>
      </c>
      <c r="W112">
        <v>0</v>
      </c>
      <c r="X112">
        <v>813963326</v>
      </c>
      <c r="Y112">
        <v>0</v>
      </c>
      <c r="AA112">
        <v>11.88</v>
      </c>
      <c r="AB112">
        <v>0</v>
      </c>
      <c r="AC112">
        <v>0</v>
      </c>
      <c r="AD112">
        <v>0</v>
      </c>
      <c r="AE112">
        <v>1.82</v>
      </c>
      <c r="AF112">
        <v>0</v>
      </c>
      <c r="AG112">
        <v>0</v>
      </c>
      <c r="AH112">
        <v>0</v>
      </c>
      <c r="AI112">
        <v>6.53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1</v>
      </c>
      <c r="AQ112">
        <v>0</v>
      </c>
      <c r="AR112">
        <v>0</v>
      </c>
      <c r="AS112" t="s">
        <v>3</v>
      </c>
      <c r="AT112">
        <v>0.2</v>
      </c>
      <c r="AU112" t="s">
        <v>210</v>
      </c>
      <c r="AV112">
        <v>0</v>
      </c>
      <c r="AW112">
        <v>2</v>
      </c>
      <c r="AX112">
        <v>39492225</v>
      </c>
      <c r="AY112">
        <v>1</v>
      </c>
      <c r="AZ112">
        <v>0</v>
      </c>
      <c r="BA112">
        <v>103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Y112*Source!I72</f>
        <v>0</v>
      </c>
      <c r="CY112">
        <f>AA112</f>
        <v>11.88</v>
      </c>
      <c r="CZ112">
        <f>AE112</f>
        <v>1.82</v>
      </c>
      <c r="DA112">
        <f>AI112</f>
        <v>6.53</v>
      </c>
      <c r="DB112">
        <v>0</v>
      </c>
    </row>
    <row r="113" spans="1:106" x14ac:dyDescent="0.2">
      <c r="A113">
        <f>ROW(Source!A72)</f>
        <v>72</v>
      </c>
      <c r="B113">
        <v>39099382</v>
      </c>
      <c r="C113">
        <v>39492209</v>
      </c>
      <c r="D113">
        <v>36838463</v>
      </c>
      <c r="E113">
        <v>1</v>
      </c>
      <c r="F113">
        <v>1</v>
      </c>
      <c r="G113">
        <v>1</v>
      </c>
      <c r="H113">
        <v>3</v>
      </c>
      <c r="I113" t="s">
        <v>725</v>
      </c>
      <c r="J113" t="s">
        <v>726</v>
      </c>
      <c r="K113" t="s">
        <v>727</v>
      </c>
      <c r="L113">
        <v>1348</v>
      </c>
      <c r="N113">
        <v>1009</v>
      </c>
      <c r="O113" t="s">
        <v>189</v>
      </c>
      <c r="P113" t="s">
        <v>189</v>
      </c>
      <c r="Q113">
        <v>1000</v>
      </c>
      <c r="W113">
        <v>0</v>
      </c>
      <c r="X113">
        <v>307837237</v>
      </c>
      <c r="Y113">
        <v>0</v>
      </c>
      <c r="AA113">
        <v>219669.2</v>
      </c>
      <c r="AB113">
        <v>0</v>
      </c>
      <c r="AC113">
        <v>0</v>
      </c>
      <c r="AD113">
        <v>0</v>
      </c>
      <c r="AE113">
        <v>33640</v>
      </c>
      <c r="AF113">
        <v>0</v>
      </c>
      <c r="AG113">
        <v>0</v>
      </c>
      <c r="AH113">
        <v>0</v>
      </c>
      <c r="AI113">
        <v>6.53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3</v>
      </c>
      <c r="AT113">
        <v>1.1000000000000001E-3</v>
      </c>
      <c r="AU113" t="s">
        <v>210</v>
      </c>
      <c r="AV113">
        <v>0</v>
      </c>
      <c r="AW113">
        <v>2</v>
      </c>
      <c r="AX113">
        <v>39492227</v>
      </c>
      <c r="AY113">
        <v>1</v>
      </c>
      <c r="AZ113">
        <v>0</v>
      </c>
      <c r="BA113">
        <v>105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Y113*Source!I72</f>
        <v>0</v>
      </c>
      <c r="CY113">
        <f>AA113</f>
        <v>219669.2</v>
      </c>
      <c r="CZ113">
        <f>AE113</f>
        <v>33640</v>
      </c>
      <c r="DA113">
        <f>AI113</f>
        <v>6.53</v>
      </c>
      <c r="DB113">
        <v>0</v>
      </c>
    </row>
    <row r="114" spans="1:106" x14ac:dyDescent="0.2">
      <c r="A114">
        <f>ROW(Source!A72)</f>
        <v>72</v>
      </c>
      <c r="B114">
        <v>39099382</v>
      </c>
      <c r="C114">
        <v>39492209</v>
      </c>
      <c r="D114">
        <v>36839148</v>
      </c>
      <c r="E114">
        <v>1</v>
      </c>
      <c r="F114">
        <v>1</v>
      </c>
      <c r="G114">
        <v>1</v>
      </c>
      <c r="H114">
        <v>3</v>
      </c>
      <c r="I114" t="s">
        <v>728</v>
      </c>
      <c r="J114" t="s">
        <v>729</v>
      </c>
      <c r="K114" t="s">
        <v>730</v>
      </c>
      <c r="L114">
        <v>1348</v>
      </c>
      <c r="N114">
        <v>1009</v>
      </c>
      <c r="O114" t="s">
        <v>189</v>
      </c>
      <c r="P114" t="s">
        <v>189</v>
      </c>
      <c r="Q114">
        <v>1000</v>
      </c>
      <c r="W114">
        <v>0</v>
      </c>
      <c r="X114">
        <v>1237311677</v>
      </c>
      <c r="Y114">
        <v>0</v>
      </c>
      <c r="AA114">
        <v>35783.75</v>
      </c>
      <c r="AB114">
        <v>0</v>
      </c>
      <c r="AC114">
        <v>0</v>
      </c>
      <c r="AD114">
        <v>0</v>
      </c>
      <c r="AE114">
        <v>5479.9</v>
      </c>
      <c r="AF114">
        <v>0</v>
      </c>
      <c r="AG114">
        <v>0</v>
      </c>
      <c r="AH114">
        <v>0</v>
      </c>
      <c r="AI114">
        <v>6.53</v>
      </c>
      <c r="AJ114">
        <v>1</v>
      </c>
      <c r="AK114">
        <v>1</v>
      </c>
      <c r="AL114">
        <v>1</v>
      </c>
      <c r="AN114">
        <v>0</v>
      </c>
      <c r="AO114">
        <v>1</v>
      </c>
      <c r="AP114">
        <v>1</v>
      </c>
      <c r="AQ114">
        <v>0</v>
      </c>
      <c r="AR114">
        <v>0</v>
      </c>
      <c r="AS114" t="s">
        <v>3</v>
      </c>
      <c r="AT114">
        <v>3.0000000000000001E-3</v>
      </c>
      <c r="AU114" t="s">
        <v>210</v>
      </c>
      <c r="AV114">
        <v>0</v>
      </c>
      <c r="AW114">
        <v>2</v>
      </c>
      <c r="AX114">
        <v>39492228</v>
      </c>
      <c r="AY114">
        <v>1</v>
      </c>
      <c r="AZ114">
        <v>0</v>
      </c>
      <c r="BA114">
        <v>106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Y114*Source!I72</f>
        <v>0</v>
      </c>
      <c r="CY114">
        <f>AA114</f>
        <v>35783.75</v>
      </c>
      <c r="CZ114">
        <f>AE114</f>
        <v>5479.9</v>
      </c>
      <c r="DA114">
        <f>AI114</f>
        <v>6.53</v>
      </c>
      <c r="DB114">
        <v>0</v>
      </c>
    </row>
    <row r="115" spans="1:106" x14ac:dyDescent="0.2">
      <c r="A115">
        <f>ROW(Source!A73)</f>
        <v>73</v>
      </c>
      <c r="B115">
        <v>39099382</v>
      </c>
      <c r="C115">
        <v>39492229</v>
      </c>
      <c r="D115">
        <v>37070202</v>
      </c>
      <c r="E115">
        <v>1</v>
      </c>
      <c r="F115">
        <v>1</v>
      </c>
      <c r="G115">
        <v>1</v>
      </c>
      <c r="H115">
        <v>1</v>
      </c>
      <c r="I115" t="s">
        <v>717</v>
      </c>
      <c r="J115" t="s">
        <v>3</v>
      </c>
      <c r="K115" t="s">
        <v>718</v>
      </c>
      <c r="L115">
        <v>1191</v>
      </c>
      <c r="N115">
        <v>1013</v>
      </c>
      <c r="O115" t="s">
        <v>641</v>
      </c>
      <c r="P115" t="s">
        <v>641</v>
      </c>
      <c r="Q115">
        <v>1</v>
      </c>
      <c r="W115">
        <v>0</v>
      </c>
      <c r="X115">
        <v>1983201532</v>
      </c>
      <c r="Y115">
        <v>40.480000000000004</v>
      </c>
      <c r="AA115">
        <v>0</v>
      </c>
      <c r="AB115">
        <v>0</v>
      </c>
      <c r="AC115">
        <v>0</v>
      </c>
      <c r="AD115">
        <v>62.1</v>
      </c>
      <c r="AE115">
        <v>0</v>
      </c>
      <c r="AF115">
        <v>0</v>
      </c>
      <c r="AG115">
        <v>0</v>
      </c>
      <c r="AH115">
        <v>9.51</v>
      </c>
      <c r="AI115">
        <v>1</v>
      </c>
      <c r="AJ115">
        <v>1</v>
      </c>
      <c r="AK115">
        <v>1</v>
      </c>
      <c r="AL115">
        <v>6.53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3</v>
      </c>
      <c r="AT115">
        <v>50.6</v>
      </c>
      <c r="AU115" t="s">
        <v>211</v>
      </c>
      <c r="AV115">
        <v>1</v>
      </c>
      <c r="AW115">
        <v>2</v>
      </c>
      <c r="AX115">
        <v>39492239</v>
      </c>
      <c r="AY115">
        <v>1</v>
      </c>
      <c r="AZ115">
        <v>0</v>
      </c>
      <c r="BA115">
        <v>107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Y115*Source!I73</f>
        <v>12.751200000000001</v>
      </c>
      <c r="CY115">
        <f>AD115</f>
        <v>62.1</v>
      </c>
      <c r="CZ115">
        <f>AH115</f>
        <v>9.51</v>
      </c>
      <c r="DA115">
        <f>AL115</f>
        <v>6.53</v>
      </c>
      <c r="DB115">
        <v>0</v>
      </c>
    </row>
    <row r="116" spans="1:106" x14ac:dyDescent="0.2">
      <c r="A116">
        <f>ROW(Source!A73)</f>
        <v>73</v>
      </c>
      <c r="B116">
        <v>39099382</v>
      </c>
      <c r="C116">
        <v>39492229</v>
      </c>
      <c r="D116">
        <v>37064876</v>
      </c>
      <c r="E116">
        <v>1</v>
      </c>
      <c r="F116">
        <v>1</v>
      </c>
      <c r="G116">
        <v>1</v>
      </c>
      <c r="H116">
        <v>1</v>
      </c>
      <c r="I116" t="s">
        <v>642</v>
      </c>
      <c r="J116" t="s">
        <v>3</v>
      </c>
      <c r="K116" t="s">
        <v>643</v>
      </c>
      <c r="L116">
        <v>1191</v>
      </c>
      <c r="N116">
        <v>1013</v>
      </c>
      <c r="O116" t="s">
        <v>641</v>
      </c>
      <c r="P116" t="s">
        <v>641</v>
      </c>
      <c r="Q116">
        <v>1</v>
      </c>
      <c r="W116">
        <v>0</v>
      </c>
      <c r="X116">
        <v>-1417349443</v>
      </c>
      <c r="Y116">
        <v>1.42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1</v>
      </c>
      <c r="AJ116">
        <v>1</v>
      </c>
      <c r="AK116">
        <v>6.53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3</v>
      </c>
      <c r="AT116">
        <v>1.42</v>
      </c>
      <c r="AU116" t="s">
        <v>3</v>
      </c>
      <c r="AV116">
        <v>2</v>
      </c>
      <c r="AW116">
        <v>2</v>
      </c>
      <c r="AX116">
        <v>39492240</v>
      </c>
      <c r="AY116">
        <v>1</v>
      </c>
      <c r="AZ116">
        <v>2048</v>
      </c>
      <c r="BA116">
        <v>108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Y116*Source!I73</f>
        <v>0.44729999999999998</v>
      </c>
      <c r="CY116">
        <f>AD116</f>
        <v>0</v>
      </c>
      <c r="CZ116">
        <f>AH116</f>
        <v>0</v>
      </c>
      <c r="DA116">
        <f>AL116</f>
        <v>1</v>
      </c>
      <c r="DB116">
        <v>0</v>
      </c>
    </row>
    <row r="117" spans="1:106" x14ac:dyDescent="0.2">
      <c r="A117">
        <f>ROW(Source!A73)</f>
        <v>73</v>
      </c>
      <c r="B117">
        <v>39099382</v>
      </c>
      <c r="C117">
        <v>39492229</v>
      </c>
      <c r="D117">
        <v>36882452</v>
      </c>
      <c r="E117">
        <v>1</v>
      </c>
      <c r="F117">
        <v>1</v>
      </c>
      <c r="G117">
        <v>1</v>
      </c>
      <c r="H117">
        <v>2</v>
      </c>
      <c r="I117" t="s">
        <v>644</v>
      </c>
      <c r="J117" t="s">
        <v>645</v>
      </c>
      <c r="K117" t="s">
        <v>646</v>
      </c>
      <c r="L117">
        <v>1368</v>
      </c>
      <c r="N117">
        <v>1011</v>
      </c>
      <c r="O117" t="s">
        <v>647</v>
      </c>
      <c r="P117" t="s">
        <v>647</v>
      </c>
      <c r="Q117">
        <v>1</v>
      </c>
      <c r="W117">
        <v>0</v>
      </c>
      <c r="X117">
        <v>1188625873</v>
      </c>
      <c r="Y117">
        <v>0.17600000000000002</v>
      </c>
      <c r="AA117">
        <v>0</v>
      </c>
      <c r="AB117">
        <v>204.13</v>
      </c>
      <c r="AC117">
        <v>13.5</v>
      </c>
      <c r="AD117">
        <v>0</v>
      </c>
      <c r="AE117">
        <v>0</v>
      </c>
      <c r="AF117">
        <v>31.26</v>
      </c>
      <c r="AG117">
        <v>13.5</v>
      </c>
      <c r="AH117">
        <v>0</v>
      </c>
      <c r="AI117">
        <v>1</v>
      </c>
      <c r="AJ117">
        <v>6.53</v>
      </c>
      <c r="AK117">
        <v>1</v>
      </c>
      <c r="AL117">
        <v>1</v>
      </c>
      <c r="AN117">
        <v>0</v>
      </c>
      <c r="AO117">
        <v>1</v>
      </c>
      <c r="AP117">
        <v>1</v>
      </c>
      <c r="AQ117">
        <v>0</v>
      </c>
      <c r="AR117">
        <v>0</v>
      </c>
      <c r="AS117" t="s">
        <v>3</v>
      </c>
      <c r="AT117">
        <v>0.22</v>
      </c>
      <c r="AU117" t="s">
        <v>211</v>
      </c>
      <c r="AV117">
        <v>0</v>
      </c>
      <c r="AW117">
        <v>2</v>
      </c>
      <c r="AX117">
        <v>39492241</v>
      </c>
      <c r="AY117">
        <v>1</v>
      </c>
      <c r="AZ117">
        <v>0</v>
      </c>
      <c r="BA117">
        <v>109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Y117*Source!I73</f>
        <v>5.5440000000000003E-2</v>
      </c>
      <c r="CY117">
        <f>AB117</f>
        <v>204.13</v>
      </c>
      <c r="CZ117">
        <f>AF117</f>
        <v>31.26</v>
      </c>
      <c r="DA117">
        <f>AJ117</f>
        <v>6.53</v>
      </c>
      <c r="DB117">
        <v>0</v>
      </c>
    </row>
    <row r="118" spans="1:106" x14ac:dyDescent="0.2">
      <c r="A118">
        <f>ROW(Source!A73)</f>
        <v>73</v>
      </c>
      <c r="B118">
        <v>39099382</v>
      </c>
      <c r="C118">
        <v>39492229</v>
      </c>
      <c r="D118">
        <v>36883554</v>
      </c>
      <c r="E118">
        <v>1</v>
      </c>
      <c r="F118">
        <v>1</v>
      </c>
      <c r="G118">
        <v>1</v>
      </c>
      <c r="H118">
        <v>2</v>
      </c>
      <c r="I118" t="s">
        <v>665</v>
      </c>
      <c r="J118" t="s">
        <v>666</v>
      </c>
      <c r="K118" t="s">
        <v>667</v>
      </c>
      <c r="L118">
        <v>1368</v>
      </c>
      <c r="N118">
        <v>1011</v>
      </c>
      <c r="O118" t="s">
        <v>647</v>
      </c>
      <c r="P118" t="s">
        <v>647</v>
      </c>
      <c r="Q118">
        <v>1</v>
      </c>
      <c r="W118">
        <v>0</v>
      </c>
      <c r="X118">
        <v>1372534845</v>
      </c>
      <c r="Y118">
        <v>0.96</v>
      </c>
      <c r="AA118">
        <v>0</v>
      </c>
      <c r="AB118">
        <v>429.09</v>
      </c>
      <c r="AC118">
        <v>11.6</v>
      </c>
      <c r="AD118">
        <v>0</v>
      </c>
      <c r="AE118">
        <v>0</v>
      </c>
      <c r="AF118">
        <v>65.709999999999994</v>
      </c>
      <c r="AG118">
        <v>11.6</v>
      </c>
      <c r="AH118">
        <v>0</v>
      </c>
      <c r="AI118">
        <v>1</v>
      </c>
      <c r="AJ118">
        <v>6.53</v>
      </c>
      <c r="AK118">
        <v>1</v>
      </c>
      <c r="AL118">
        <v>1</v>
      </c>
      <c r="AN118">
        <v>0</v>
      </c>
      <c r="AO118">
        <v>1</v>
      </c>
      <c r="AP118">
        <v>1</v>
      </c>
      <c r="AQ118">
        <v>0</v>
      </c>
      <c r="AR118">
        <v>0</v>
      </c>
      <c r="AS118" t="s">
        <v>3</v>
      </c>
      <c r="AT118">
        <v>1.2</v>
      </c>
      <c r="AU118" t="s">
        <v>211</v>
      </c>
      <c r="AV118">
        <v>0</v>
      </c>
      <c r="AW118">
        <v>2</v>
      </c>
      <c r="AX118">
        <v>39492242</v>
      </c>
      <c r="AY118">
        <v>1</v>
      </c>
      <c r="AZ118">
        <v>0</v>
      </c>
      <c r="BA118">
        <v>110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Y118*Source!I73</f>
        <v>0.3024</v>
      </c>
      <c r="CY118">
        <f>AB118</f>
        <v>429.09</v>
      </c>
      <c r="CZ118">
        <f>AF118</f>
        <v>65.709999999999994</v>
      </c>
      <c r="DA118">
        <f>AJ118</f>
        <v>6.53</v>
      </c>
      <c r="DB118">
        <v>0</v>
      </c>
    </row>
    <row r="119" spans="1:106" x14ac:dyDescent="0.2">
      <c r="A119">
        <f>ROW(Source!A73)</f>
        <v>73</v>
      </c>
      <c r="B119">
        <v>39099382</v>
      </c>
      <c r="C119">
        <v>39492229</v>
      </c>
      <c r="D119">
        <v>36801783</v>
      </c>
      <c r="E119">
        <v>1</v>
      </c>
      <c r="F119">
        <v>1</v>
      </c>
      <c r="G119">
        <v>1</v>
      </c>
      <c r="H119">
        <v>3</v>
      </c>
      <c r="I119" t="s">
        <v>719</v>
      </c>
      <c r="J119" t="s">
        <v>720</v>
      </c>
      <c r="K119" t="s">
        <v>721</v>
      </c>
      <c r="L119">
        <v>1348</v>
      </c>
      <c r="N119">
        <v>1009</v>
      </c>
      <c r="O119" t="s">
        <v>189</v>
      </c>
      <c r="P119" t="s">
        <v>189</v>
      </c>
      <c r="Q119">
        <v>1000</v>
      </c>
      <c r="W119">
        <v>0</v>
      </c>
      <c r="X119">
        <v>-107449080</v>
      </c>
      <c r="Y119">
        <v>0</v>
      </c>
      <c r="AA119">
        <v>36894.5</v>
      </c>
      <c r="AB119">
        <v>0</v>
      </c>
      <c r="AC119">
        <v>0</v>
      </c>
      <c r="AD119">
        <v>0</v>
      </c>
      <c r="AE119">
        <v>5650</v>
      </c>
      <c r="AF119">
        <v>0</v>
      </c>
      <c r="AG119">
        <v>0</v>
      </c>
      <c r="AH119">
        <v>0</v>
      </c>
      <c r="AI119">
        <v>6.53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3</v>
      </c>
      <c r="AT119">
        <v>0.01</v>
      </c>
      <c r="AU119" t="s">
        <v>210</v>
      </c>
      <c r="AV119">
        <v>0</v>
      </c>
      <c r="AW119">
        <v>2</v>
      </c>
      <c r="AX119">
        <v>39492243</v>
      </c>
      <c r="AY119">
        <v>1</v>
      </c>
      <c r="AZ119">
        <v>0</v>
      </c>
      <c r="BA119">
        <v>111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Y119*Source!I73</f>
        <v>0</v>
      </c>
      <c r="CY119">
        <f>AA119</f>
        <v>36894.5</v>
      </c>
      <c r="CZ119">
        <f>AE119</f>
        <v>5650</v>
      </c>
      <c r="DA119">
        <f>AI119</f>
        <v>6.53</v>
      </c>
      <c r="DB119">
        <v>0</v>
      </c>
    </row>
    <row r="120" spans="1:106" x14ac:dyDescent="0.2">
      <c r="A120">
        <f>ROW(Source!A73)</f>
        <v>73</v>
      </c>
      <c r="B120">
        <v>39099382</v>
      </c>
      <c r="C120">
        <v>39492229</v>
      </c>
      <c r="D120">
        <v>36804953</v>
      </c>
      <c r="E120">
        <v>1</v>
      </c>
      <c r="F120">
        <v>1</v>
      </c>
      <c r="G120">
        <v>1</v>
      </c>
      <c r="H120">
        <v>3</v>
      </c>
      <c r="I120" t="s">
        <v>722</v>
      </c>
      <c r="J120" t="s">
        <v>723</v>
      </c>
      <c r="K120" t="s">
        <v>724</v>
      </c>
      <c r="L120">
        <v>1348</v>
      </c>
      <c r="N120">
        <v>1009</v>
      </c>
      <c r="O120" t="s">
        <v>189</v>
      </c>
      <c r="P120" t="s">
        <v>189</v>
      </c>
      <c r="Q120">
        <v>1000</v>
      </c>
      <c r="W120">
        <v>0</v>
      </c>
      <c r="X120">
        <v>-34039275</v>
      </c>
      <c r="Y120">
        <v>0</v>
      </c>
      <c r="AA120">
        <v>74115.5</v>
      </c>
      <c r="AB120">
        <v>0</v>
      </c>
      <c r="AC120">
        <v>0</v>
      </c>
      <c r="AD120">
        <v>0</v>
      </c>
      <c r="AE120">
        <v>11350</v>
      </c>
      <c r="AF120">
        <v>0</v>
      </c>
      <c r="AG120">
        <v>0</v>
      </c>
      <c r="AH120">
        <v>0</v>
      </c>
      <c r="AI120">
        <v>6.53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1</v>
      </c>
      <c r="AQ120">
        <v>0</v>
      </c>
      <c r="AR120">
        <v>0</v>
      </c>
      <c r="AS120" t="s">
        <v>3</v>
      </c>
      <c r="AT120">
        <v>8.4000000000000003E-4</v>
      </c>
      <c r="AU120" t="s">
        <v>210</v>
      </c>
      <c r="AV120">
        <v>0</v>
      </c>
      <c r="AW120">
        <v>2</v>
      </c>
      <c r="AX120">
        <v>39492244</v>
      </c>
      <c r="AY120">
        <v>1</v>
      </c>
      <c r="AZ120">
        <v>0</v>
      </c>
      <c r="BA120">
        <v>112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Y120*Source!I73</f>
        <v>0</v>
      </c>
      <c r="CY120">
        <f>AA120</f>
        <v>74115.5</v>
      </c>
      <c r="CZ120">
        <f>AE120</f>
        <v>11350</v>
      </c>
      <c r="DA120">
        <f>AI120</f>
        <v>6.53</v>
      </c>
      <c r="DB120">
        <v>0</v>
      </c>
    </row>
    <row r="121" spans="1:106" x14ac:dyDescent="0.2">
      <c r="A121">
        <f>ROW(Source!A73)</f>
        <v>73</v>
      </c>
      <c r="B121">
        <v>39099382</v>
      </c>
      <c r="C121">
        <v>39492229</v>
      </c>
      <c r="D121">
        <v>36805524</v>
      </c>
      <c r="E121">
        <v>1</v>
      </c>
      <c r="F121">
        <v>1</v>
      </c>
      <c r="G121">
        <v>1</v>
      </c>
      <c r="H121">
        <v>3</v>
      </c>
      <c r="I121" t="s">
        <v>679</v>
      </c>
      <c r="J121" t="s">
        <v>680</v>
      </c>
      <c r="K121" t="s">
        <v>681</v>
      </c>
      <c r="L121">
        <v>1346</v>
      </c>
      <c r="N121">
        <v>1009</v>
      </c>
      <c r="O121" t="s">
        <v>97</v>
      </c>
      <c r="P121" t="s">
        <v>97</v>
      </c>
      <c r="Q121">
        <v>1</v>
      </c>
      <c r="W121">
        <v>0</v>
      </c>
      <c r="X121">
        <v>813963326</v>
      </c>
      <c r="Y121">
        <v>0</v>
      </c>
      <c r="AA121">
        <v>11.88</v>
      </c>
      <c r="AB121">
        <v>0</v>
      </c>
      <c r="AC121">
        <v>0</v>
      </c>
      <c r="AD121">
        <v>0</v>
      </c>
      <c r="AE121">
        <v>1.82</v>
      </c>
      <c r="AF121">
        <v>0</v>
      </c>
      <c r="AG121">
        <v>0</v>
      </c>
      <c r="AH121">
        <v>0</v>
      </c>
      <c r="AI121">
        <v>6.53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1</v>
      </c>
      <c r="AQ121">
        <v>0</v>
      </c>
      <c r="AR121">
        <v>0</v>
      </c>
      <c r="AS121" t="s">
        <v>3</v>
      </c>
      <c r="AT121">
        <v>0.2</v>
      </c>
      <c r="AU121" t="s">
        <v>210</v>
      </c>
      <c r="AV121">
        <v>0</v>
      </c>
      <c r="AW121">
        <v>2</v>
      </c>
      <c r="AX121">
        <v>39492245</v>
      </c>
      <c r="AY121">
        <v>1</v>
      </c>
      <c r="AZ121">
        <v>0</v>
      </c>
      <c r="BA121">
        <v>113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Y121*Source!I73</f>
        <v>0</v>
      </c>
      <c r="CY121">
        <f>AA121</f>
        <v>11.88</v>
      </c>
      <c r="CZ121">
        <f>AE121</f>
        <v>1.82</v>
      </c>
      <c r="DA121">
        <f>AI121</f>
        <v>6.53</v>
      </c>
      <c r="DB121">
        <v>0</v>
      </c>
    </row>
    <row r="122" spans="1:106" x14ac:dyDescent="0.2">
      <c r="A122">
        <f>ROW(Source!A73)</f>
        <v>73</v>
      </c>
      <c r="B122">
        <v>39099382</v>
      </c>
      <c r="C122">
        <v>39492229</v>
      </c>
      <c r="D122">
        <v>36838463</v>
      </c>
      <c r="E122">
        <v>1</v>
      </c>
      <c r="F122">
        <v>1</v>
      </c>
      <c r="G122">
        <v>1</v>
      </c>
      <c r="H122">
        <v>3</v>
      </c>
      <c r="I122" t="s">
        <v>725</v>
      </c>
      <c r="J122" t="s">
        <v>726</v>
      </c>
      <c r="K122" t="s">
        <v>727</v>
      </c>
      <c r="L122">
        <v>1348</v>
      </c>
      <c r="N122">
        <v>1009</v>
      </c>
      <c r="O122" t="s">
        <v>189</v>
      </c>
      <c r="P122" t="s">
        <v>189</v>
      </c>
      <c r="Q122">
        <v>1000</v>
      </c>
      <c r="W122">
        <v>0</v>
      </c>
      <c r="X122">
        <v>307837237</v>
      </c>
      <c r="Y122">
        <v>0</v>
      </c>
      <c r="AA122">
        <v>219669.2</v>
      </c>
      <c r="AB122">
        <v>0</v>
      </c>
      <c r="AC122">
        <v>0</v>
      </c>
      <c r="AD122">
        <v>0</v>
      </c>
      <c r="AE122">
        <v>33640</v>
      </c>
      <c r="AF122">
        <v>0</v>
      </c>
      <c r="AG122">
        <v>0</v>
      </c>
      <c r="AH122">
        <v>0</v>
      </c>
      <c r="AI122">
        <v>6.53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1</v>
      </c>
      <c r="AQ122">
        <v>0</v>
      </c>
      <c r="AR122">
        <v>0</v>
      </c>
      <c r="AS122" t="s">
        <v>3</v>
      </c>
      <c r="AT122">
        <v>1.1000000000000001E-3</v>
      </c>
      <c r="AU122" t="s">
        <v>210</v>
      </c>
      <c r="AV122">
        <v>0</v>
      </c>
      <c r="AW122">
        <v>2</v>
      </c>
      <c r="AX122">
        <v>39492247</v>
      </c>
      <c r="AY122">
        <v>1</v>
      </c>
      <c r="AZ122">
        <v>0</v>
      </c>
      <c r="BA122">
        <v>115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Y122*Source!I73</f>
        <v>0</v>
      </c>
      <c r="CY122">
        <f>AA122</f>
        <v>219669.2</v>
      </c>
      <c r="CZ122">
        <f>AE122</f>
        <v>33640</v>
      </c>
      <c r="DA122">
        <f>AI122</f>
        <v>6.53</v>
      </c>
      <c r="DB122">
        <v>0</v>
      </c>
    </row>
    <row r="123" spans="1:106" x14ac:dyDescent="0.2">
      <c r="A123">
        <f>ROW(Source!A73)</f>
        <v>73</v>
      </c>
      <c r="B123">
        <v>39099382</v>
      </c>
      <c r="C123">
        <v>39492229</v>
      </c>
      <c r="D123">
        <v>36839148</v>
      </c>
      <c r="E123">
        <v>1</v>
      </c>
      <c r="F123">
        <v>1</v>
      </c>
      <c r="G123">
        <v>1</v>
      </c>
      <c r="H123">
        <v>3</v>
      </c>
      <c r="I123" t="s">
        <v>728</v>
      </c>
      <c r="J123" t="s">
        <v>729</v>
      </c>
      <c r="K123" t="s">
        <v>730</v>
      </c>
      <c r="L123">
        <v>1348</v>
      </c>
      <c r="N123">
        <v>1009</v>
      </c>
      <c r="O123" t="s">
        <v>189</v>
      </c>
      <c r="P123" t="s">
        <v>189</v>
      </c>
      <c r="Q123">
        <v>1000</v>
      </c>
      <c r="W123">
        <v>0</v>
      </c>
      <c r="X123">
        <v>1237311677</v>
      </c>
      <c r="Y123">
        <v>0</v>
      </c>
      <c r="AA123">
        <v>35783.75</v>
      </c>
      <c r="AB123">
        <v>0</v>
      </c>
      <c r="AC123">
        <v>0</v>
      </c>
      <c r="AD123">
        <v>0</v>
      </c>
      <c r="AE123">
        <v>5479.9</v>
      </c>
      <c r="AF123">
        <v>0</v>
      </c>
      <c r="AG123">
        <v>0</v>
      </c>
      <c r="AH123">
        <v>0</v>
      </c>
      <c r="AI123">
        <v>6.53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1</v>
      </c>
      <c r="AQ123">
        <v>0</v>
      </c>
      <c r="AR123">
        <v>0</v>
      </c>
      <c r="AS123" t="s">
        <v>3</v>
      </c>
      <c r="AT123">
        <v>3.0000000000000001E-3</v>
      </c>
      <c r="AU123" t="s">
        <v>210</v>
      </c>
      <c r="AV123">
        <v>0</v>
      </c>
      <c r="AW123">
        <v>2</v>
      </c>
      <c r="AX123">
        <v>39492248</v>
      </c>
      <c r="AY123">
        <v>1</v>
      </c>
      <c r="AZ123">
        <v>0</v>
      </c>
      <c r="BA123">
        <v>116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Y123*Source!I73</f>
        <v>0</v>
      </c>
      <c r="CY123">
        <f>AA123</f>
        <v>35783.75</v>
      </c>
      <c r="CZ123">
        <f>AE123</f>
        <v>5479.9</v>
      </c>
      <c r="DA123">
        <f>AI123</f>
        <v>6.53</v>
      </c>
      <c r="DB123">
        <v>0</v>
      </c>
    </row>
    <row r="124" spans="1:106" x14ac:dyDescent="0.2">
      <c r="A124">
        <f>ROW(Source!A74)</f>
        <v>74</v>
      </c>
      <c r="B124">
        <v>39099382</v>
      </c>
      <c r="C124">
        <v>39492249</v>
      </c>
      <c r="D124">
        <v>37071037</v>
      </c>
      <c r="E124">
        <v>1</v>
      </c>
      <c r="F124">
        <v>1</v>
      </c>
      <c r="G124">
        <v>1</v>
      </c>
      <c r="H124">
        <v>1</v>
      </c>
      <c r="I124" t="s">
        <v>707</v>
      </c>
      <c r="J124" t="s">
        <v>3</v>
      </c>
      <c r="K124" t="s">
        <v>708</v>
      </c>
      <c r="L124">
        <v>1191</v>
      </c>
      <c r="N124">
        <v>1013</v>
      </c>
      <c r="O124" t="s">
        <v>641</v>
      </c>
      <c r="P124" t="s">
        <v>641</v>
      </c>
      <c r="Q124">
        <v>1</v>
      </c>
      <c r="W124">
        <v>0</v>
      </c>
      <c r="X124">
        <v>1069510174</v>
      </c>
      <c r="Y124">
        <v>1.1199999999999999</v>
      </c>
      <c r="AA124">
        <v>0</v>
      </c>
      <c r="AB124">
        <v>0</v>
      </c>
      <c r="AC124">
        <v>0</v>
      </c>
      <c r="AD124">
        <v>62.82</v>
      </c>
      <c r="AE124">
        <v>0</v>
      </c>
      <c r="AF124">
        <v>0</v>
      </c>
      <c r="AG124">
        <v>0</v>
      </c>
      <c r="AH124">
        <v>9.6199999999999992</v>
      </c>
      <c r="AI124">
        <v>1</v>
      </c>
      <c r="AJ124">
        <v>1</v>
      </c>
      <c r="AK124">
        <v>1</v>
      </c>
      <c r="AL124">
        <v>6.53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3</v>
      </c>
      <c r="AT124">
        <v>2.8</v>
      </c>
      <c r="AU124" t="s">
        <v>221</v>
      </c>
      <c r="AV124">
        <v>1</v>
      </c>
      <c r="AW124">
        <v>2</v>
      </c>
      <c r="AX124">
        <v>39492252</v>
      </c>
      <c r="AY124">
        <v>1</v>
      </c>
      <c r="AZ124">
        <v>0</v>
      </c>
      <c r="BA124">
        <v>117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Y124*Source!I74</f>
        <v>0.78399999999999992</v>
      </c>
      <c r="CY124">
        <f>AD124</f>
        <v>62.82</v>
      </c>
      <c r="CZ124">
        <f>AH124</f>
        <v>9.6199999999999992</v>
      </c>
      <c r="DA124">
        <f>AL124</f>
        <v>6.53</v>
      </c>
      <c r="DB124">
        <v>0</v>
      </c>
    </row>
    <row r="125" spans="1:106" x14ac:dyDescent="0.2">
      <c r="A125">
        <f>ROW(Source!A74)</f>
        <v>74</v>
      </c>
      <c r="B125">
        <v>39099382</v>
      </c>
      <c r="C125">
        <v>39492249</v>
      </c>
      <c r="D125">
        <v>36824289</v>
      </c>
      <c r="E125">
        <v>1</v>
      </c>
      <c r="F125">
        <v>1</v>
      </c>
      <c r="G125">
        <v>1</v>
      </c>
      <c r="H125">
        <v>3</v>
      </c>
      <c r="I125" t="s">
        <v>731</v>
      </c>
      <c r="J125" t="s">
        <v>732</v>
      </c>
      <c r="K125" t="s">
        <v>733</v>
      </c>
      <c r="L125">
        <v>1348</v>
      </c>
      <c r="N125">
        <v>1009</v>
      </c>
      <c r="O125" t="s">
        <v>189</v>
      </c>
      <c r="P125" t="s">
        <v>189</v>
      </c>
      <c r="Q125">
        <v>1000</v>
      </c>
      <c r="W125">
        <v>0</v>
      </c>
      <c r="X125">
        <v>-1756095795</v>
      </c>
      <c r="Y125">
        <v>0</v>
      </c>
      <c r="AA125">
        <v>39108.17</v>
      </c>
      <c r="AB125">
        <v>0</v>
      </c>
      <c r="AC125">
        <v>0</v>
      </c>
      <c r="AD125">
        <v>0</v>
      </c>
      <c r="AE125">
        <v>5989</v>
      </c>
      <c r="AF125">
        <v>0</v>
      </c>
      <c r="AG125">
        <v>0</v>
      </c>
      <c r="AH125">
        <v>0</v>
      </c>
      <c r="AI125">
        <v>6.53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1</v>
      </c>
      <c r="AQ125">
        <v>0</v>
      </c>
      <c r="AR125">
        <v>0</v>
      </c>
      <c r="AS125" t="s">
        <v>3</v>
      </c>
      <c r="AT125">
        <v>1E-4</v>
      </c>
      <c r="AU125" t="s">
        <v>210</v>
      </c>
      <c r="AV125">
        <v>0</v>
      </c>
      <c r="AW125">
        <v>2</v>
      </c>
      <c r="AX125">
        <v>39492255</v>
      </c>
      <c r="AY125">
        <v>1</v>
      </c>
      <c r="AZ125">
        <v>0</v>
      </c>
      <c r="BA125">
        <v>120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Y125*Source!I74</f>
        <v>0</v>
      </c>
      <c r="CY125">
        <f>AA125</f>
        <v>39108.17</v>
      </c>
      <c r="CZ125">
        <f>AE125</f>
        <v>5989</v>
      </c>
      <c r="DA125">
        <f>AI125</f>
        <v>6.53</v>
      </c>
      <c r="DB125">
        <v>0</v>
      </c>
    </row>
    <row r="126" spans="1:106" x14ac:dyDescent="0.2">
      <c r="A126">
        <f>ROW(Source!A75)</f>
        <v>75</v>
      </c>
      <c r="B126">
        <v>39099382</v>
      </c>
      <c r="C126">
        <v>39491274</v>
      </c>
      <c r="D126">
        <v>37071037</v>
      </c>
      <c r="E126">
        <v>1</v>
      </c>
      <c r="F126">
        <v>1</v>
      </c>
      <c r="G126">
        <v>1</v>
      </c>
      <c r="H126">
        <v>1</v>
      </c>
      <c r="I126" t="s">
        <v>707</v>
      </c>
      <c r="J126" t="s">
        <v>3</v>
      </c>
      <c r="K126" t="s">
        <v>708</v>
      </c>
      <c r="L126">
        <v>1191</v>
      </c>
      <c r="N126">
        <v>1013</v>
      </c>
      <c r="O126" t="s">
        <v>641</v>
      </c>
      <c r="P126" t="s">
        <v>641</v>
      </c>
      <c r="Q126">
        <v>1</v>
      </c>
      <c r="W126">
        <v>0</v>
      </c>
      <c r="X126">
        <v>1069510174</v>
      </c>
      <c r="Y126">
        <v>2.8</v>
      </c>
      <c r="AA126">
        <v>0</v>
      </c>
      <c r="AB126">
        <v>0</v>
      </c>
      <c r="AC126">
        <v>0</v>
      </c>
      <c r="AD126">
        <v>62.82</v>
      </c>
      <c r="AE126">
        <v>0</v>
      </c>
      <c r="AF126">
        <v>0</v>
      </c>
      <c r="AG126">
        <v>0</v>
      </c>
      <c r="AH126">
        <v>9.6199999999999992</v>
      </c>
      <c r="AI126">
        <v>1</v>
      </c>
      <c r="AJ126">
        <v>1</v>
      </c>
      <c r="AK126">
        <v>1</v>
      </c>
      <c r="AL126">
        <v>6.53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3</v>
      </c>
      <c r="AT126">
        <v>2.8</v>
      </c>
      <c r="AU126" t="s">
        <v>3</v>
      </c>
      <c r="AV126">
        <v>1</v>
      </c>
      <c r="AW126">
        <v>2</v>
      </c>
      <c r="AX126">
        <v>39491275</v>
      </c>
      <c r="AY126">
        <v>1</v>
      </c>
      <c r="AZ126">
        <v>0</v>
      </c>
      <c r="BA126">
        <v>122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Y126*Source!I75</f>
        <v>1.9599999999999997</v>
      </c>
      <c r="CY126">
        <f>AD126</f>
        <v>62.82</v>
      </c>
      <c r="CZ126">
        <f>AH126</f>
        <v>9.6199999999999992</v>
      </c>
      <c r="DA126">
        <f>AL126</f>
        <v>6.53</v>
      </c>
      <c r="DB126">
        <v>0</v>
      </c>
    </row>
    <row r="127" spans="1:106" x14ac:dyDescent="0.2">
      <c r="A127">
        <f>ROW(Source!A75)</f>
        <v>75</v>
      </c>
      <c r="B127">
        <v>39099382</v>
      </c>
      <c r="C127">
        <v>39491274</v>
      </c>
      <c r="D127">
        <v>36824289</v>
      </c>
      <c r="E127">
        <v>1</v>
      </c>
      <c r="F127">
        <v>1</v>
      </c>
      <c r="G127">
        <v>1</v>
      </c>
      <c r="H127">
        <v>3</v>
      </c>
      <c r="I127" t="s">
        <v>731</v>
      </c>
      <c r="J127" t="s">
        <v>732</v>
      </c>
      <c r="K127" t="s">
        <v>733</v>
      </c>
      <c r="L127">
        <v>1348</v>
      </c>
      <c r="N127">
        <v>1009</v>
      </c>
      <c r="O127" t="s">
        <v>189</v>
      </c>
      <c r="P127" t="s">
        <v>189</v>
      </c>
      <c r="Q127">
        <v>1000</v>
      </c>
      <c r="W127">
        <v>0</v>
      </c>
      <c r="X127">
        <v>-1756095795</v>
      </c>
      <c r="Y127">
        <v>1E-4</v>
      </c>
      <c r="AA127">
        <v>39108.17</v>
      </c>
      <c r="AB127">
        <v>0</v>
      </c>
      <c r="AC127">
        <v>0</v>
      </c>
      <c r="AD127">
        <v>0</v>
      </c>
      <c r="AE127">
        <v>5989</v>
      </c>
      <c r="AF127">
        <v>0</v>
      </c>
      <c r="AG127">
        <v>0</v>
      </c>
      <c r="AH127">
        <v>0</v>
      </c>
      <c r="AI127">
        <v>6.53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3</v>
      </c>
      <c r="AT127">
        <v>1E-4</v>
      </c>
      <c r="AU127" t="s">
        <v>3</v>
      </c>
      <c r="AV127">
        <v>0</v>
      </c>
      <c r="AW127">
        <v>2</v>
      </c>
      <c r="AX127">
        <v>39491278</v>
      </c>
      <c r="AY127">
        <v>1</v>
      </c>
      <c r="AZ127">
        <v>0</v>
      </c>
      <c r="BA127">
        <v>125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Y127*Source!I75</f>
        <v>6.9999999999999994E-5</v>
      </c>
      <c r="CY127">
        <f>AA127</f>
        <v>39108.17</v>
      </c>
      <c r="CZ127">
        <f>AE127</f>
        <v>5989</v>
      </c>
      <c r="DA127">
        <f>AI127</f>
        <v>6.53</v>
      </c>
      <c r="DB127">
        <v>0</v>
      </c>
    </row>
    <row r="128" spans="1:106" x14ac:dyDescent="0.2">
      <c r="A128">
        <f>ROW(Source!A75)</f>
        <v>75</v>
      </c>
      <c r="B128">
        <v>39099382</v>
      </c>
      <c r="C128">
        <v>39491274</v>
      </c>
      <c r="D128">
        <v>36846414</v>
      </c>
      <c r="E128">
        <v>1</v>
      </c>
      <c r="F128">
        <v>1</v>
      </c>
      <c r="G128">
        <v>1</v>
      </c>
      <c r="H128">
        <v>3</v>
      </c>
      <c r="I128" t="s">
        <v>229</v>
      </c>
      <c r="J128" t="s">
        <v>231</v>
      </c>
      <c r="K128" t="s">
        <v>230</v>
      </c>
      <c r="L128">
        <v>1354</v>
      </c>
      <c r="N128">
        <v>1010</v>
      </c>
      <c r="O128" t="s">
        <v>37</v>
      </c>
      <c r="P128" t="s">
        <v>37</v>
      </c>
      <c r="Q128">
        <v>1</v>
      </c>
      <c r="W128">
        <v>0</v>
      </c>
      <c r="X128">
        <v>-1021734710</v>
      </c>
      <c r="Y128">
        <v>2.5</v>
      </c>
      <c r="AA128">
        <v>24.42</v>
      </c>
      <c r="AB128">
        <v>0</v>
      </c>
      <c r="AC128">
        <v>0</v>
      </c>
      <c r="AD128">
        <v>0</v>
      </c>
      <c r="AE128">
        <v>3.74</v>
      </c>
      <c r="AF128">
        <v>0</v>
      </c>
      <c r="AG128">
        <v>0</v>
      </c>
      <c r="AH128">
        <v>0</v>
      </c>
      <c r="AI128">
        <v>6.53</v>
      </c>
      <c r="AJ128">
        <v>1</v>
      </c>
      <c r="AK128">
        <v>1</v>
      </c>
      <c r="AL128">
        <v>1</v>
      </c>
      <c r="AN128">
        <v>0</v>
      </c>
      <c r="AO128">
        <v>0</v>
      </c>
      <c r="AP128">
        <v>0</v>
      </c>
      <c r="AQ128">
        <v>0</v>
      </c>
      <c r="AR128">
        <v>0</v>
      </c>
      <c r="AS128" t="s">
        <v>3</v>
      </c>
      <c r="AT128">
        <v>2.5</v>
      </c>
      <c r="AU128" t="s">
        <v>3</v>
      </c>
      <c r="AV128">
        <v>0</v>
      </c>
      <c r="AW128">
        <v>1</v>
      </c>
      <c r="AX128">
        <v>-1</v>
      </c>
      <c r="AY128">
        <v>0</v>
      </c>
      <c r="AZ128">
        <v>0</v>
      </c>
      <c r="BA128" t="s">
        <v>3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Y128*Source!I75</f>
        <v>1.75</v>
      </c>
      <c r="CY128">
        <f>AA128</f>
        <v>24.42</v>
      </c>
      <c r="CZ128">
        <f>AE128</f>
        <v>3.74</v>
      </c>
      <c r="DA128">
        <f>AI128</f>
        <v>6.53</v>
      </c>
      <c r="DB128">
        <v>0</v>
      </c>
    </row>
    <row r="129" spans="1:106" x14ac:dyDescent="0.2">
      <c r="A129">
        <f>ROW(Source!A77)</f>
        <v>77</v>
      </c>
      <c r="B129">
        <v>39099382</v>
      </c>
      <c r="C129">
        <v>39100391</v>
      </c>
      <c r="D129">
        <v>37064928</v>
      </c>
      <c r="E129">
        <v>1</v>
      </c>
      <c r="F129">
        <v>1</v>
      </c>
      <c r="G129">
        <v>1</v>
      </c>
      <c r="H129">
        <v>1</v>
      </c>
      <c r="I129" t="s">
        <v>734</v>
      </c>
      <c r="J129" t="s">
        <v>3</v>
      </c>
      <c r="K129" t="s">
        <v>735</v>
      </c>
      <c r="L129">
        <v>1191</v>
      </c>
      <c r="N129">
        <v>1013</v>
      </c>
      <c r="O129" t="s">
        <v>641</v>
      </c>
      <c r="P129" t="s">
        <v>641</v>
      </c>
      <c r="Q129">
        <v>1</v>
      </c>
      <c r="W129">
        <v>0</v>
      </c>
      <c r="X129">
        <v>145020957</v>
      </c>
      <c r="Y129">
        <v>505</v>
      </c>
      <c r="AA129">
        <v>0</v>
      </c>
      <c r="AB129">
        <v>0</v>
      </c>
      <c r="AC129">
        <v>0</v>
      </c>
      <c r="AD129">
        <v>59.23</v>
      </c>
      <c r="AE129">
        <v>0</v>
      </c>
      <c r="AF129">
        <v>0</v>
      </c>
      <c r="AG129">
        <v>0</v>
      </c>
      <c r="AH129">
        <v>9.07</v>
      </c>
      <c r="AI129">
        <v>1</v>
      </c>
      <c r="AJ129">
        <v>1</v>
      </c>
      <c r="AK129">
        <v>1</v>
      </c>
      <c r="AL129">
        <v>6.53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3</v>
      </c>
      <c r="AT129">
        <v>505</v>
      </c>
      <c r="AU129" t="s">
        <v>3</v>
      </c>
      <c r="AV129">
        <v>1</v>
      </c>
      <c r="AW129">
        <v>2</v>
      </c>
      <c r="AX129">
        <v>39100405</v>
      </c>
      <c r="AY129">
        <v>1</v>
      </c>
      <c r="AZ129">
        <v>0</v>
      </c>
      <c r="BA129">
        <v>127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Y129*Source!I77</f>
        <v>50.5</v>
      </c>
      <c r="CY129">
        <f>AD129</f>
        <v>59.23</v>
      </c>
      <c r="CZ129">
        <f>AH129</f>
        <v>9.07</v>
      </c>
      <c r="DA129">
        <f>AL129</f>
        <v>6.53</v>
      </c>
      <c r="DB129">
        <v>0</v>
      </c>
    </row>
    <row r="130" spans="1:106" x14ac:dyDescent="0.2">
      <c r="A130">
        <f>ROW(Source!A77)</f>
        <v>77</v>
      </c>
      <c r="B130">
        <v>39099382</v>
      </c>
      <c r="C130">
        <v>39100391</v>
      </c>
      <c r="D130">
        <v>37064876</v>
      </c>
      <c r="E130">
        <v>1</v>
      </c>
      <c r="F130">
        <v>1</v>
      </c>
      <c r="G130">
        <v>1</v>
      </c>
      <c r="H130">
        <v>1</v>
      </c>
      <c r="I130" t="s">
        <v>642</v>
      </c>
      <c r="J130" t="s">
        <v>3</v>
      </c>
      <c r="K130" t="s">
        <v>643</v>
      </c>
      <c r="L130">
        <v>1191</v>
      </c>
      <c r="N130">
        <v>1013</v>
      </c>
      <c r="O130" t="s">
        <v>641</v>
      </c>
      <c r="P130" t="s">
        <v>641</v>
      </c>
      <c r="Q130">
        <v>1</v>
      </c>
      <c r="W130">
        <v>0</v>
      </c>
      <c r="X130">
        <v>-1417349443</v>
      </c>
      <c r="Y130">
        <v>0.13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1</v>
      </c>
      <c r="AJ130">
        <v>1</v>
      </c>
      <c r="AK130">
        <v>6.53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3</v>
      </c>
      <c r="AT130">
        <v>0.13</v>
      </c>
      <c r="AU130" t="s">
        <v>3</v>
      </c>
      <c r="AV130">
        <v>2</v>
      </c>
      <c r="AW130">
        <v>2</v>
      </c>
      <c r="AX130">
        <v>39100406</v>
      </c>
      <c r="AY130">
        <v>1</v>
      </c>
      <c r="AZ130">
        <v>0</v>
      </c>
      <c r="BA130">
        <v>128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Y130*Source!I77</f>
        <v>1.3000000000000001E-2</v>
      </c>
      <c r="CY130">
        <f>AD130</f>
        <v>0</v>
      </c>
      <c r="CZ130">
        <f>AH130</f>
        <v>0</v>
      </c>
      <c r="DA130">
        <f>AL130</f>
        <v>1</v>
      </c>
      <c r="DB130">
        <v>0</v>
      </c>
    </row>
    <row r="131" spans="1:106" x14ac:dyDescent="0.2">
      <c r="A131">
        <f>ROW(Source!A77)</f>
        <v>77</v>
      </c>
      <c r="B131">
        <v>39099382</v>
      </c>
      <c r="C131">
        <v>39100391</v>
      </c>
      <c r="D131">
        <v>36883554</v>
      </c>
      <c r="E131">
        <v>1</v>
      </c>
      <c r="F131">
        <v>1</v>
      </c>
      <c r="G131">
        <v>1</v>
      </c>
      <c r="H131">
        <v>2</v>
      </c>
      <c r="I131" t="s">
        <v>665</v>
      </c>
      <c r="J131" t="s">
        <v>666</v>
      </c>
      <c r="K131" t="s">
        <v>667</v>
      </c>
      <c r="L131">
        <v>1368</v>
      </c>
      <c r="N131">
        <v>1011</v>
      </c>
      <c r="O131" t="s">
        <v>647</v>
      </c>
      <c r="P131" t="s">
        <v>647</v>
      </c>
      <c r="Q131">
        <v>1</v>
      </c>
      <c r="W131">
        <v>0</v>
      </c>
      <c r="X131">
        <v>1372534845</v>
      </c>
      <c r="Y131">
        <v>0.13</v>
      </c>
      <c r="AA131">
        <v>0</v>
      </c>
      <c r="AB131">
        <v>429.09</v>
      </c>
      <c r="AC131">
        <v>11.6</v>
      </c>
      <c r="AD131">
        <v>0</v>
      </c>
      <c r="AE131">
        <v>0</v>
      </c>
      <c r="AF131">
        <v>65.709999999999994</v>
      </c>
      <c r="AG131">
        <v>11.6</v>
      </c>
      <c r="AH131">
        <v>0</v>
      </c>
      <c r="AI131">
        <v>1</v>
      </c>
      <c r="AJ131">
        <v>6.53</v>
      </c>
      <c r="AK131">
        <v>1</v>
      </c>
      <c r="AL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3</v>
      </c>
      <c r="AT131">
        <v>0.13</v>
      </c>
      <c r="AU131" t="s">
        <v>3</v>
      </c>
      <c r="AV131">
        <v>0</v>
      </c>
      <c r="AW131">
        <v>2</v>
      </c>
      <c r="AX131">
        <v>39100407</v>
      </c>
      <c r="AY131">
        <v>1</v>
      </c>
      <c r="AZ131">
        <v>0</v>
      </c>
      <c r="BA131">
        <v>129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Y131*Source!I77</f>
        <v>1.3000000000000001E-2</v>
      </c>
      <c r="CY131">
        <f>AB131</f>
        <v>429.09</v>
      </c>
      <c r="CZ131">
        <f>AF131</f>
        <v>65.709999999999994</v>
      </c>
      <c r="DA131">
        <f>AJ131</f>
        <v>6.53</v>
      </c>
      <c r="DB131">
        <v>0</v>
      </c>
    </row>
    <row r="132" spans="1:106" x14ac:dyDescent="0.2">
      <c r="A132">
        <f>ROW(Source!A77)</f>
        <v>77</v>
      </c>
      <c r="B132">
        <v>39099382</v>
      </c>
      <c r="C132">
        <v>39100391</v>
      </c>
      <c r="D132">
        <v>36799896</v>
      </c>
      <c r="E132">
        <v>1</v>
      </c>
      <c r="F132">
        <v>1</v>
      </c>
      <c r="G132">
        <v>1</v>
      </c>
      <c r="H132">
        <v>3</v>
      </c>
      <c r="I132" t="s">
        <v>736</v>
      </c>
      <c r="J132" t="s">
        <v>737</v>
      </c>
      <c r="K132" t="s">
        <v>738</v>
      </c>
      <c r="L132">
        <v>1348</v>
      </c>
      <c r="N132">
        <v>1009</v>
      </c>
      <c r="O132" t="s">
        <v>189</v>
      </c>
      <c r="P132" t="s">
        <v>189</v>
      </c>
      <c r="Q132">
        <v>1000</v>
      </c>
      <c r="W132">
        <v>0</v>
      </c>
      <c r="X132">
        <v>-967072784</v>
      </c>
      <c r="Y132">
        <v>2E-3</v>
      </c>
      <c r="AA132">
        <v>22136.7</v>
      </c>
      <c r="AB132">
        <v>0</v>
      </c>
      <c r="AC132">
        <v>0</v>
      </c>
      <c r="AD132">
        <v>0</v>
      </c>
      <c r="AE132">
        <v>3390</v>
      </c>
      <c r="AF132">
        <v>0</v>
      </c>
      <c r="AG132">
        <v>0</v>
      </c>
      <c r="AH132">
        <v>0</v>
      </c>
      <c r="AI132">
        <v>6.53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3</v>
      </c>
      <c r="AT132">
        <v>2E-3</v>
      </c>
      <c r="AU132" t="s">
        <v>3</v>
      </c>
      <c r="AV132">
        <v>0</v>
      </c>
      <c r="AW132">
        <v>2</v>
      </c>
      <c r="AX132">
        <v>39100408</v>
      </c>
      <c r="AY132">
        <v>1</v>
      </c>
      <c r="AZ132">
        <v>0</v>
      </c>
      <c r="BA132">
        <v>130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Y132*Source!I77</f>
        <v>2.0000000000000001E-4</v>
      </c>
      <c r="CY132">
        <f t="shared" ref="CY132:CY141" si="3">AA132</f>
        <v>22136.7</v>
      </c>
      <c r="CZ132">
        <f t="shared" ref="CZ132:CZ141" si="4">AE132</f>
        <v>3390</v>
      </c>
      <c r="DA132">
        <f t="shared" ref="DA132:DA141" si="5">AI132</f>
        <v>6.53</v>
      </c>
      <c r="DB132">
        <v>0</v>
      </c>
    </row>
    <row r="133" spans="1:106" x14ac:dyDescent="0.2">
      <c r="A133">
        <f>ROW(Source!A77)</f>
        <v>77</v>
      </c>
      <c r="B133">
        <v>39099382</v>
      </c>
      <c r="C133">
        <v>39100391</v>
      </c>
      <c r="D133">
        <v>36801792</v>
      </c>
      <c r="E133">
        <v>1</v>
      </c>
      <c r="F133">
        <v>1</v>
      </c>
      <c r="G133">
        <v>1</v>
      </c>
      <c r="H133">
        <v>3</v>
      </c>
      <c r="I133" t="s">
        <v>650</v>
      </c>
      <c r="J133" t="s">
        <v>651</v>
      </c>
      <c r="K133" t="s">
        <v>652</v>
      </c>
      <c r="L133">
        <v>1339</v>
      </c>
      <c r="N133">
        <v>1007</v>
      </c>
      <c r="O133" t="s">
        <v>56</v>
      </c>
      <c r="P133" t="s">
        <v>56</v>
      </c>
      <c r="Q133">
        <v>1</v>
      </c>
      <c r="W133">
        <v>0</v>
      </c>
      <c r="X133">
        <v>-1660354250</v>
      </c>
      <c r="Y133">
        <v>0.17</v>
      </c>
      <c r="AA133">
        <v>15.93</v>
      </c>
      <c r="AB133">
        <v>0</v>
      </c>
      <c r="AC133">
        <v>0</v>
      </c>
      <c r="AD133">
        <v>0</v>
      </c>
      <c r="AE133">
        <v>2.44</v>
      </c>
      <c r="AF133">
        <v>0</v>
      </c>
      <c r="AG133">
        <v>0</v>
      </c>
      <c r="AH133">
        <v>0</v>
      </c>
      <c r="AI133">
        <v>6.53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3</v>
      </c>
      <c r="AT133">
        <v>0.17</v>
      </c>
      <c r="AU133" t="s">
        <v>3</v>
      </c>
      <c r="AV133">
        <v>0</v>
      </c>
      <c r="AW133">
        <v>2</v>
      </c>
      <c r="AX133">
        <v>39100409</v>
      </c>
      <c r="AY133">
        <v>1</v>
      </c>
      <c r="AZ133">
        <v>0</v>
      </c>
      <c r="BA133">
        <v>131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Y133*Source!I77</f>
        <v>1.7000000000000001E-2</v>
      </c>
      <c r="CY133">
        <f t="shared" si="3"/>
        <v>15.93</v>
      </c>
      <c r="CZ133">
        <f t="shared" si="4"/>
        <v>2.44</v>
      </c>
      <c r="DA133">
        <f t="shared" si="5"/>
        <v>6.53</v>
      </c>
      <c r="DB133">
        <v>0</v>
      </c>
    </row>
    <row r="134" spans="1:106" x14ac:dyDescent="0.2">
      <c r="A134">
        <f>ROW(Source!A77)</f>
        <v>77</v>
      </c>
      <c r="B134">
        <v>39099382</v>
      </c>
      <c r="C134">
        <v>39100391</v>
      </c>
      <c r="D134">
        <v>36804545</v>
      </c>
      <c r="E134">
        <v>1</v>
      </c>
      <c r="F134">
        <v>1</v>
      </c>
      <c r="G134">
        <v>1</v>
      </c>
      <c r="H134">
        <v>3</v>
      </c>
      <c r="I134" t="s">
        <v>739</v>
      </c>
      <c r="J134" t="s">
        <v>740</v>
      </c>
      <c r="K134" t="s">
        <v>741</v>
      </c>
      <c r="L134">
        <v>1348</v>
      </c>
      <c r="N134">
        <v>1009</v>
      </c>
      <c r="O134" t="s">
        <v>189</v>
      </c>
      <c r="P134" t="s">
        <v>189</v>
      </c>
      <c r="Q134">
        <v>1000</v>
      </c>
      <c r="W134">
        <v>0</v>
      </c>
      <c r="X134">
        <v>1174701286</v>
      </c>
      <c r="Y134">
        <v>4.0000000000000001E-3</v>
      </c>
      <c r="AA134">
        <v>78216.34</v>
      </c>
      <c r="AB134">
        <v>0</v>
      </c>
      <c r="AC134">
        <v>0</v>
      </c>
      <c r="AD134">
        <v>0</v>
      </c>
      <c r="AE134">
        <v>11978</v>
      </c>
      <c r="AF134">
        <v>0</v>
      </c>
      <c r="AG134">
        <v>0</v>
      </c>
      <c r="AH134">
        <v>0</v>
      </c>
      <c r="AI134">
        <v>6.53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3</v>
      </c>
      <c r="AT134">
        <v>4.0000000000000001E-3</v>
      </c>
      <c r="AU134" t="s">
        <v>3</v>
      </c>
      <c r="AV134">
        <v>0</v>
      </c>
      <c r="AW134">
        <v>2</v>
      </c>
      <c r="AX134">
        <v>39100411</v>
      </c>
      <c r="AY134">
        <v>1</v>
      </c>
      <c r="AZ134">
        <v>0</v>
      </c>
      <c r="BA134">
        <v>133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Y134*Source!I77</f>
        <v>4.0000000000000002E-4</v>
      </c>
      <c r="CY134">
        <f t="shared" si="3"/>
        <v>78216.34</v>
      </c>
      <c r="CZ134">
        <f t="shared" si="4"/>
        <v>11978</v>
      </c>
      <c r="DA134">
        <f t="shared" si="5"/>
        <v>6.53</v>
      </c>
      <c r="DB134">
        <v>0</v>
      </c>
    </row>
    <row r="135" spans="1:106" x14ac:dyDescent="0.2">
      <c r="A135">
        <f>ROW(Source!A77)</f>
        <v>77</v>
      </c>
      <c r="B135">
        <v>39099382</v>
      </c>
      <c r="C135">
        <v>39100391</v>
      </c>
      <c r="D135">
        <v>36804943</v>
      </c>
      <c r="E135">
        <v>1</v>
      </c>
      <c r="F135">
        <v>1</v>
      </c>
      <c r="G135">
        <v>1</v>
      </c>
      <c r="H135">
        <v>3</v>
      </c>
      <c r="I135" t="s">
        <v>742</v>
      </c>
      <c r="J135" t="s">
        <v>743</v>
      </c>
      <c r="K135" t="s">
        <v>744</v>
      </c>
      <c r="L135">
        <v>1348</v>
      </c>
      <c r="N135">
        <v>1009</v>
      </c>
      <c r="O135" t="s">
        <v>189</v>
      </c>
      <c r="P135" t="s">
        <v>189</v>
      </c>
      <c r="Q135">
        <v>1000</v>
      </c>
      <c r="W135">
        <v>0</v>
      </c>
      <c r="X135">
        <v>2128740752</v>
      </c>
      <c r="Y135">
        <v>2.2399999999999998E-3</v>
      </c>
      <c r="AA135">
        <v>110840.22</v>
      </c>
      <c r="AB135">
        <v>0</v>
      </c>
      <c r="AC135">
        <v>0</v>
      </c>
      <c r="AD135">
        <v>0</v>
      </c>
      <c r="AE135">
        <v>16974</v>
      </c>
      <c r="AF135">
        <v>0</v>
      </c>
      <c r="AG135">
        <v>0</v>
      </c>
      <c r="AH135">
        <v>0</v>
      </c>
      <c r="AI135">
        <v>6.53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3</v>
      </c>
      <c r="AT135">
        <v>2.2399999999999998E-3</v>
      </c>
      <c r="AU135" t="s">
        <v>3</v>
      </c>
      <c r="AV135">
        <v>0</v>
      </c>
      <c r="AW135">
        <v>2</v>
      </c>
      <c r="AX135">
        <v>39100412</v>
      </c>
      <c r="AY135">
        <v>1</v>
      </c>
      <c r="AZ135">
        <v>0</v>
      </c>
      <c r="BA135">
        <v>134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Y135*Source!I77</f>
        <v>2.24E-4</v>
      </c>
      <c r="CY135">
        <f t="shared" si="3"/>
        <v>110840.22</v>
      </c>
      <c r="CZ135">
        <f t="shared" si="4"/>
        <v>16974</v>
      </c>
      <c r="DA135">
        <f t="shared" si="5"/>
        <v>6.53</v>
      </c>
      <c r="DB135">
        <v>0</v>
      </c>
    </row>
    <row r="136" spans="1:106" x14ac:dyDescent="0.2">
      <c r="A136">
        <f>ROW(Source!A77)</f>
        <v>77</v>
      </c>
      <c r="B136">
        <v>39099382</v>
      </c>
      <c r="C136">
        <v>39100391</v>
      </c>
      <c r="D136">
        <v>36805349</v>
      </c>
      <c r="E136">
        <v>1</v>
      </c>
      <c r="F136">
        <v>1</v>
      </c>
      <c r="G136">
        <v>1</v>
      </c>
      <c r="H136">
        <v>3</v>
      </c>
      <c r="I136" t="s">
        <v>239</v>
      </c>
      <c r="J136" t="s">
        <v>241</v>
      </c>
      <c r="K136" t="s">
        <v>240</v>
      </c>
      <c r="L136">
        <v>1301</v>
      </c>
      <c r="N136">
        <v>1003</v>
      </c>
      <c r="O136" t="s">
        <v>109</v>
      </c>
      <c r="P136" t="s">
        <v>109</v>
      </c>
      <c r="Q136">
        <v>1</v>
      </c>
      <c r="W136">
        <v>0</v>
      </c>
      <c r="X136">
        <v>2008626522</v>
      </c>
      <c r="Y136">
        <v>100</v>
      </c>
      <c r="AA136">
        <v>100.63</v>
      </c>
      <c r="AB136">
        <v>0</v>
      </c>
      <c r="AC136">
        <v>0</v>
      </c>
      <c r="AD136">
        <v>0</v>
      </c>
      <c r="AE136">
        <v>15.41</v>
      </c>
      <c r="AF136">
        <v>0</v>
      </c>
      <c r="AG136">
        <v>0</v>
      </c>
      <c r="AH136">
        <v>0</v>
      </c>
      <c r="AI136">
        <v>6.53</v>
      </c>
      <c r="AJ136">
        <v>1</v>
      </c>
      <c r="AK136">
        <v>1</v>
      </c>
      <c r="AL136">
        <v>1</v>
      </c>
      <c r="AN136">
        <v>0</v>
      </c>
      <c r="AO136">
        <v>0</v>
      </c>
      <c r="AP136">
        <v>0</v>
      </c>
      <c r="AQ136">
        <v>0</v>
      </c>
      <c r="AR136">
        <v>0</v>
      </c>
      <c r="AS136" t="s">
        <v>3</v>
      </c>
      <c r="AT136">
        <v>100</v>
      </c>
      <c r="AU136" t="s">
        <v>3</v>
      </c>
      <c r="AV136">
        <v>0</v>
      </c>
      <c r="AW136">
        <v>1</v>
      </c>
      <c r="AX136">
        <v>-1</v>
      </c>
      <c r="AY136">
        <v>0</v>
      </c>
      <c r="AZ136">
        <v>0</v>
      </c>
      <c r="BA136" t="s">
        <v>3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Y136*Source!I77</f>
        <v>10</v>
      </c>
      <c r="CY136">
        <f t="shared" si="3"/>
        <v>100.63</v>
      </c>
      <c r="CZ136">
        <f t="shared" si="4"/>
        <v>15.41</v>
      </c>
      <c r="DA136">
        <f t="shared" si="5"/>
        <v>6.53</v>
      </c>
      <c r="DB136">
        <v>0</v>
      </c>
    </row>
    <row r="137" spans="1:106" x14ac:dyDescent="0.2">
      <c r="A137">
        <f>ROW(Source!A77)</f>
        <v>77</v>
      </c>
      <c r="B137">
        <v>39099382</v>
      </c>
      <c r="C137">
        <v>39100391</v>
      </c>
      <c r="D137">
        <v>36806488</v>
      </c>
      <c r="E137">
        <v>1</v>
      </c>
      <c r="F137">
        <v>1</v>
      </c>
      <c r="G137">
        <v>1</v>
      </c>
      <c r="H137">
        <v>3</v>
      </c>
      <c r="I137" t="s">
        <v>653</v>
      </c>
      <c r="J137" t="s">
        <v>654</v>
      </c>
      <c r="K137" t="s">
        <v>655</v>
      </c>
      <c r="L137">
        <v>1348</v>
      </c>
      <c r="N137">
        <v>1009</v>
      </c>
      <c r="O137" t="s">
        <v>189</v>
      </c>
      <c r="P137" t="s">
        <v>189</v>
      </c>
      <c r="Q137">
        <v>1000</v>
      </c>
      <c r="W137">
        <v>0</v>
      </c>
      <c r="X137">
        <v>-1421715385</v>
      </c>
      <c r="Y137">
        <v>0.16500000000000001</v>
      </c>
      <c r="AA137">
        <v>4766.7700000000004</v>
      </c>
      <c r="AB137">
        <v>0</v>
      </c>
      <c r="AC137">
        <v>0</v>
      </c>
      <c r="AD137">
        <v>0</v>
      </c>
      <c r="AE137">
        <v>729.98</v>
      </c>
      <c r="AF137">
        <v>0</v>
      </c>
      <c r="AG137">
        <v>0</v>
      </c>
      <c r="AH137">
        <v>0</v>
      </c>
      <c r="AI137">
        <v>6.53</v>
      </c>
      <c r="AJ137">
        <v>1</v>
      </c>
      <c r="AK137">
        <v>1</v>
      </c>
      <c r="AL137">
        <v>1</v>
      </c>
      <c r="AN137">
        <v>0</v>
      </c>
      <c r="AO137">
        <v>1</v>
      </c>
      <c r="AP137">
        <v>0</v>
      </c>
      <c r="AQ137">
        <v>0</v>
      </c>
      <c r="AR137">
        <v>0</v>
      </c>
      <c r="AS137" t="s">
        <v>3</v>
      </c>
      <c r="AT137">
        <v>0.16500000000000001</v>
      </c>
      <c r="AU137" t="s">
        <v>3</v>
      </c>
      <c r="AV137">
        <v>0</v>
      </c>
      <c r="AW137">
        <v>2</v>
      </c>
      <c r="AX137">
        <v>39100413</v>
      </c>
      <c r="AY137">
        <v>1</v>
      </c>
      <c r="AZ137">
        <v>0</v>
      </c>
      <c r="BA137">
        <v>135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Y137*Source!I77</f>
        <v>1.6500000000000001E-2</v>
      </c>
      <c r="CY137">
        <f t="shared" si="3"/>
        <v>4766.7700000000004</v>
      </c>
      <c r="CZ137">
        <f t="shared" si="4"/>
        <v>729.98</v>
      </c>
      <c r="DA137">
        <f t="shared" si="5"/>
        <v>6.53</v>
      </c>
      <c r="DB137">
        <v>0</v>
      </c>
    </row>
    <row r="138" spans="1:106" x14ac:dyDescent="0.2">
      <c r="A138">
        <f>ROW(Source!A77)</f>
        <v>77</v>
      </c>
      <c r="B138">
        <v>39099382</v>
      </c>
      <c r="C138">
        <v>39100391</v>
      </c>
      <c r="D138">
        <v>36830298</v>
      </c>
      <c r="E138">
        <v>1</v>
      </c>
      <c r="F138">
        <v>1</v>
      </c>
      <c r="G138">
        <v>1</v>
      </c>
      <c r="H138">
        <v>3</v>
      </c>
      <c r="I138" t="s">
        <v>745</v>
      </c>
      <c r="J138" t="s">
        <v>746</v>
      </c>
      <c r="K138" t="s">
        <v>747</v>
      </c>
      <c r="L138">
        <v>1339</v>
      </c>
      <c r="N138">
        <v>1007</v>
      </c>
      <c r="O138" t="s">
        <v>56</v>
      </c>
      <c r="P138" t="s">
        <v>56</v>
      </c>
      <c r="Q138">
        <v>1</v>
      </c>
      <c r="W138">
        <v>0</v>
      </c>
      <c r="X138">
        <v>364481419</v>
      </c>
      <c r="Y138">
        <v>0.54</v>
      </c>
      <c r="AA138">
        <v>9378.39</v>
      </c>
      <c r="AB138">
        <v>0</v>
      </c>
      <c r="AC138">
        <v>0</v>
      </c>
      <c r="AD138">
        <v>0</v>
      </c>
      <c r="AE138">
        <v>1436.2</v>
      </c>
      <c r="AF138">
        <v>0</v>
      </c>
      <c r="AG138">
        <v>0</v>
      </c>
      <c r="AH138">
        <v>0</v>
      </c>
      <c r="AI138">
        <v>6.53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3</v>
      </c>
      <c r="AT138">
        <v>0.54</v>
      </c>
      <c r="AU138" t="s">
        <v>3</v>
      </c>
      <c r="AV138">
        <v>0</v>
      </c>
      <c r="AW138">
        <v>2</v>
      </c>
      <c r="AX138">
        <v>39100414</v>
      </c>
      <c r="AY138">
        <v>1</v>
      </c>
      <c r="AZ138">
        <v>0</v>
      </c>
      <c r="BA138">
        <v>136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Y138*Source!I77</f>
        <v>5.4000000000000006E-2</v>
      </c>
      <c r="CY138">
        <f t="shared" si="3"/>
        <v>9378.39</v>
      </c>
      <c r="CZ138">
        <f t="shared" si="4"/>
        <v>1436.2</v>
      </c>
      <c r="DA138">
        <f t="shared" si="5"/>
        <v>6.53</v>
      </c>
      <c r="DB138">
        <v>0</v>
      </c>
    </row>
    <row r="139" spans="1:106" x14ac:dyDescent="0.2">
      <c r="A139">
        <f>ROW(Source!A77)</f>
        <v>77</v>
      </c>
      <c r="B139">
        <v>39099382</v>
      </c>
      <c r="C139">
        <v>39100391</v>
      </c>
      <c r="D139">
        <v>36832948</v>
      </c>
      <c r="E139">
        <v>1</v>
      </c>
      <c r="F139">
        <v>1</v>
      </c>
      <c r="G139">
        <v>1</v>
      </c>
      <c r="H139">
        <v>3</v>
      </c>
      <c r="I139" t="s">
        <v>748</v>
      </c>
      <c r="J139" t="s">
        <v>749</v>
      </c>
      <c r="K139" t="s">
        <v>750</v>
      </c>
      <c r="L139">
        <v>1327</v>
      </c>
      <c r="N139">
        <v>1005</v>
      </c>
      <c r="O139" t="s">
        <v>89</v>
      </c>
      <c r="P139" t="s">
        <v>89</v>
      </c>
      <c r="Q139">
        <v>1</v>
      </c>
      <c r="W139">
        <v>0</v>
      </c>
      <c r="X139">
        <v>-1963914880</v>
      </c>
      <c r="Y139">
        <v>31.3</v>
      </c>
      <c r="AA139">
        <v>37.29</v>
      </c>
      <c r="AB139">
        <v>0</v>
      </c>
      <c r="AC139">
        <v>0</v>
      </c>
      <c r="AD139">
        <v>0</v>
      </c>
      <c r="AE139">
        <v>5.71</v>
      </c>
      <c r="AF139">
        <v>0</v>
      </c>
      <c r="AG139">
        <v>0</v>
      </c>
      <c r="AH139">
        <v>0</v>
      </c>
      <c r="AI139">
        <v>6.53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3</v>
      </c>
      <c r="AT139">
        <v>31.3</v>
      </c>
      <c r="AU139" t="s">
        <v>3</v>
      </c>
      <c r="AV139">
        <v>0</v>
      </c>
      <c r="AW139">
        <v>2</v>
      </c>
      <c r="AX139">
        <v>39100415</v>
      </c>
      <c r="AY139">
        <v>1</v>
      </c>
      <c r="AZ139">
        <v>0</v>
      </c>
      <c r="BA139">
        <v>137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Y139*Source!I77</f>
        <v>3.1300000000000003</v>
      </c>
      <c r="CY139">
        <f t="shared" si="3"/>
        <v>37.29</v>
      </c>
      <c r="CZ139">
        <f t="shared" si="4"/>
        <v>5.71</v>
      </c>
      <c r="DA139">
        <f t="shared" si="5"/>
        <v>6.53</v>
      </c>
      <c r="DB139">
        <v>0</v>
      </c>
    </row>
    <row r="140" spans="1:106" x14ac:dyDescent="0.2">
      <c r="A140">
        <f>ROW(Source!A77)</f>
        <v>77</v>
      </c>
      <c r="B140">
        <v>39099382</v>
      </c>
      <c r="C140">
        <v>39100391</v>
      </c>
      <c r="D140">
        <v>36836929</v>
      </c>
      <c r="E140">
        <v>1</v>
      </c>
      <c r="F140">
        <v>1</v>
      </c>
      <c r="G140">
        <v>1</v>
      </c>
      <c r="H140">
        <v>3</v>
      </c>
      <c r="I140" t="s">
        <v>751</v>
      </c>
      <c r="J140" t="s">
        <v>752</v>
      </c>
      <c r="K140" t="s">
        <v>753</v>
      </c>
      <c r="L140">
        <v>1346</v>
      </c>
      <c r="N140">
        <v>1009</v>
      </c>
      <c r="O140" t="s">
        <v>97</v>
      </c>
      <c r="P140" t="s">
        <v>97</v>
      </c>
      <c r="Q140">
        <v>1</v>
      </c>
      <c r="W140">
        <v>0</v>
      </c>
      <c r="X140">
        <v>1306523394</v>
      </c>
      <c r="Y140">
        <v>0.2</v>
      </c>
      <c r="AA140">
        <v>110.68</v>
      </c>
      <c r="AB140">
        <v>0</v>
      </c>
      <c r="AC140">
        <v>0</v>
      </c>
      <c r="AD140">
        <v>0</v>
      </c>
      <c r="AE140">
        <v>16.95</v>
      </c>
      <c r="AF140">
        <v>0</v>
      </c>
      <c r="AG140">
        <v>0</v>
      </c>
      <c r="AH140">
        <v>0</v>
      </c>
      <c r="AI140">
        <v>6.53</v>
      </c>
      <c r="AJ140">
        <v>1</v>
      </c>
      <c r="AK140">
        <v>1</v>
      </c>
      <c r="AL140">
        <v>1</v>
      </c>
      <c r="AN140">
        <v>0</v>
      </c>
      <c r="AO140">
        <v>1</v>
      </c>
      <c r="AP140">
        <v>0</v>
      </c>
      <c r="AQ140">
        <v>0</v>
      </c>
      <c r="AR140">
        <v>0</v>
      </c>
      <c r="AS140" t="s">
        <v>3</v>
      </c>
      <c r="AT140">
        <v>0.2</v>
      </c>
      <c r="AU140" t="s">
        <v>3</v>
      </c>
      <c r="AV140">
        <v>0</v>
      </c>
      <c r="AW140">
        <v>2</v>
      </c>
      <c r="AX140">
        <v>39100416</v>
      </c>
      <c r="AY140">
        <v>1</v>
      </c>
      <c r="AZ140">
        <v>0</v>
      </c>
      <c r="BA140">
        <v>138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Y140*Source!I77</f>
        <v>2.0000000000000004E-2</v>
      </c>
      <c r="CY140">
        <f t="shared" si="3"/>
        <v>110.68</v>
      </c>
      <c r="CZ140">
        <f t="shared" si="4"/>
        <v>16.95</v>
      </c>
      <c r="DA140">
        <f t="shared" si="5"/>
        <v>6.53</v>
      </c>
      <c r="DB140">
        <v>0</v>
      </c>
    </row>
    <row r="141" spans="1:106" x14ac:dyDescent="0.2">
      <c r="A141">
        <f>ROW(Source!A77)</f>
        <v>77</v>
      </c>
      <c r="B141">
        <v>39099382</v>
      </c>
      <c r="C141">
        <v>39100391</v>
      </c>
      <c r="D141">
        <v>36838798</v>
      </c>
      <c r="E141">
        <v>1</v>
      </c>
      <c r="F141">
        <v>1</v>
      </c>
      <c r="G141">
        <v>1</v>
      </c>
      <c r="H141">
        <v>3</v>
      </c>
      <c r="I141" t="s">
        <v>754</v>
      </c>
      <c r="J141" t="s">
        <v>755</v>
      </c>
      <c r="K141" t="s">
        <v>756</v>
      </c>
      <c r="L141">
        <v>1296</v>
      </c>
      <c r="N141">
        <v>1002</v>
      </c>
      <c r="O141" t="s">
        <v>757</v>
      </c>
      <c r="P141" t="s">
        <v>757</v>
      </c>
      <c r="Q141">
        <v>1</v>
      </c>
      <c r="W141">
        <v>0</v>
      </c>
      <c r="X141">
        <v>-2122226716</v>
      </c>
      <c r="Y141">
        <v>13.89</v>
      </c>
      <c r="AA141">
        <v>306</v>
      </c>
      <c r="AB141">
        <v>0</v>
      </c>
      <c r="AC141">
        <v>0</v>
      </c>
      <c r="AD141">
        <v>0</v>
      </c>
      <c r="AE141">
        <v>46.86</v>
      </c>
      <c r="AF141">
        <v>0</v>
      </c>
      <c r="AG141">
        <v>0</v>
      </c>
      <c r="AH141">
        <v>0</v>
      </c>
      <c r="AI141">
        <v>6.53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3</v>
      </c>
      <c r="AT141">
        <v>13.89</v>
      </c>
      <c r="AU141" t="s">
        <v>3</v>
      </c>
      <c r="AV141">
        <v>0</v>
      </c>
      <c r="AW141">
        <v>2</v>
      </c>
      <c r="AX141">
        <v>39100417</v>
      </c>
      <c r="AY141">
        <v>1</v>
      </c>
      <c r="AZ141">
        <v>0</v>
      </c>
      <c r="BA141">
        <v>139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Y141*Source!I77</f>
        <v>1.3890000000000002</v>
      </c>
      <c r="CY141">
        <f t="shared" si="3"/>
        <v>306</v>
      </c>
      <c r="CZ141">
        <f t="shared" si="4"/>
        <v>46.86</v>
      </c>
      <c r="DA141">
        <f t="shared" si="5"/>
        <v>6.53</v>
      </c>
      <c r="DB141">
        <v>0</v>
      </c>
    </row>
    <row r="142" spans="1:106" x14ac:dyDescent="0.2">
      <c r="A142">
        <f>ROW(Source!A79)</f>
        <v>79</v>
      </c>
      <c r="B142">
        <v>39099382</v>
      </c>
      <c r="C142">
        <v>39100419</v>
      </c>
      <c r="D142">
        <v>37068110</v>
      </c>
      <c r="E142">
        <v>1</v>
      </c>
      <c r="F142">
        <v>1</v>
      </c>
      <c r="G142">
        <v>1</v>
      </c>
      <c r="H142">
        <v>1</v>
      </c>
      <c r="I142" t="s">
        <v>758</v>
      </c>
      <c r="J142" t="s">
        <v>3</v>
      </c>
      <c r="K142" t="s">
        <v>759</v>
      </c>
      <c r="L142">
        <v>1191</v>
      </c>
      <c r="N142">
        <v>1013</v>
      </c>
      <c r="O142" t="s">
        <v>641</v>
      </c>
      <c r="P142" t="s">
        <v>641</v>
      </c>
      <c r="Q142">
        <v>1</v>
      </c>
      <c r="W142">
        <v>0</v>
      </c>
      <c r="X142">
        <v>-576067263</v>
      </c>
      <c r="Y142">
        <v>1.03</v>
      </c>
      <c r="AA142">
        <v>0</v>
      </c>
      <c r="AB142">
        <v>0</v>
      </c>
      <c r="AC142">
        <v>0</v>
      </c>
      <c r="AD142">
        <v>46.95</v>
      </c>
      <c r="AE142">
        <v>0</v>
      </c>
      <c r="AF142">
        <v>0</v>
      </c>
      <c r="AG142">
        <v>0</v>
      </c>
      <c r="AH142">
        <v>7.19</v>
      </c>
      <c r="AI142">
        <v>1</v>
      </c>
      <c r="AJ142">
        <v>1</v>
      </c>
      <c r="AK142">
        <v>1</v>
      </c>
      <c r="AL142">
        <v>6.53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3</v>
      </c>
      <c r="AT142">
        <v>1.03</v>
      </c>
      <c r="AU142" t="s">
        <v>3</v>
      </c>
      <c r="AV142">
        <v>1</v>
      </c>
      <c r="AW142">
        <v>2</v>
      </c>
      <c r="AX142">
        <v>39100422</v>
      </c>
      <c r="AY142">
        <v>1</v>
      </c>
      <c r="AZ142">
        <v>0</v>
      </c>
      <c r="BA142">
        <v>140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Y142*Source!I79</f>
        <v>1.5449999999999999</v>
      </c>
      <c r="CY142">
        <f>AD142</f>
        <v>46.95</v>
      </c>
      <c r="CZ142">
        <f>AH142</f>
        <v>7.19</v>
      </c>
      <c r="DA142">
        <f>AL142</f>
        <v>6.53</v>
      </c>
      <c r="DB142">
        <v>0</v>
      </c>
    </row>
    <row r="143" spans="1:106" x14ac:dyDescent="0.2">
      <c r="A143">
        <f>ROW(Source!A79)</f>
        <v>79</v>
      </c>
      <c r="B143">
        <v>39099382</v>
      </c>
      <c r="C143">
        <v>39100419</v>
      </c>
      <c r="D143">
        <v>36805490</v>
      </c>
      <c r="E143">
        <v>1</v>
      </c>
      <c r="F143">
        <v>1</v>
      </c>
      <c r="G143">
        <v>1</v>
      </c>
      <c r="H143">
        <v>3</v>
      </c>
      <c r="I143" t="s">
        <v>760</v>
      </c>
      <c r="J143" t="s">
        <v>761</v>
      </c>
      <c r="K143" t="s">
        <v>762</v>
      </c>
      <c r="L143">
        <v>1355</v>
      </c>
      <c r="N143">
        <v>1010</v>
      </c>
      <c r="O143" t="s">
        <v>120</v>
      </c>
      <c r="P143" t="s">
        <v>120</v>
      </c>
      <c r="Q143">
        <v>100</v>
      </c>
      <c r="W143">
        <v>0</v>
      </c>
      <c r="X143">
        <v>1092967459</v>
      </c>
      <c r="Y143">
        <v>0.2</v>
      </c>
      <c r="AA143">
        <v>535.46</v>
      </c>
      <c r="AB143">
        <v>0</v>
      </c>
      <c r="AC143">
        <v>0</v>
      </c>
      <c r="AD143">
        <v>0</v>
      </c>
      <c r="AE143">
        <v>82</v>
      </c>
      <c r="AF143">
        <v>0</v>
      </c>
      <c r="AG143">
        <v>0</v>
      </c>
      <c r="AH143">
        <v>0</v>
      </c>
      <c r="AI143">
        <v>6.53</v>
      </c>
      <c r="AJ143">
        <v>1</v>
      </c>
      <c r="AK143">
        <v>1</v>
      </c>
      <c r="AL143">
        <v>1</v>
      </c>
      <c r="AN143">
        <v>0</v>
      </c>
      <c r="AO143">
        <v>1</v>
      </c>
      <c r="AP143">
        <v>0</v>
      </c>
      <c r="AQ143">
        <v>0</v>
      </c>
      <c r="AR143">
        <v>0</v>
      </c>
      <c r="AS143" t="s">
        <v>3</v>
      </c>
      <c r="AT143">
        <v>0.2</v>
      </c>
      <c r="AU143" t="s">
        <v>3</v>
      </c>
      <c r="AV143">
        <v>0</v>
      </c>
      <c r="AW143">
        <v>2</v>
      </c>
      <c r="AX143">
        <v>39100423</v>
      </c>
      <c r="AY143">
        <v>1</v>
      </c>
      <c r="AZ143">
        <v>0</v>
      </c>
      <c r="BA143">
        <v>141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Y143*Source!I79</f>
        <v>0.30000000000000004</v>
      </c>
      <c r="CY143">
        <f>AA143</f>
        <v>535.46</v>
      </c>
      <c r="CZ143">
        <f>AE143</f>
        <v>82</v>
      </c>
      <c r="DA143">
        <f>AI143</f>
        <v>6.53</v>
      </c>
      <c r="DB143">
        <v>0</v>
      </c>
    </row>
    <row r="144" spans="1:106" x14ac:dyDescent="0.2">
      <c r="A144">
        <f>ROW(Source!A116)</f>
        <v>116</v>
      </c>
      <c r="B144">
        <v>39099382</v>
      </c>
      <c r="C144">
        <v>39100016</v>
      </c>
      <c r="D144">
        <v>37065946</v>
      </c>
      <c r="E144">
        <v>1</v>
      </c>
      <c r="F144">
        <v>1</v>
      </c>
      <c r="G144">
        <v>1</v>
      </c>
      <c r="H144">
        <v>1</v>
      </c>
      <c r="I144" t="s">
        <v>763</v>
      </c>
      <c r="J144" t="s">
        <v>3</v>
      </c>
      <c r="K144" t="s">
        <v>764</v>
      </c>
      <c r="L144">
        <v>1191</v>
      </c>
      <c r="N144">
        <v>1013</v>
      </c>
      <c r="O144" t="s">
        <v>641</v>
      </c>
      <c r="P144" t="s">
        <v>641</v>
      </c>
      <c r="Q144">
        <v>1</v>
      </c>
      <c r="W144">
        <v>0</v>
      </c>
      <c r="X144">
        <v>152375061</v>
      </c>
      <c r="Y144">
        <v>110</v>
      </c>
      <c r="AA144">
        <v>0</v>
      </c>
      <c r="AB144">
        <v>0</v>
      </c>
      <c r="AC144">
        <v>0</v>
      </c>
      <c r="AD144">
        <v>51.39</v>
      </c>
      <c r="AE144">
        <v>0</v>
      </c>
      <c r="AF144">
        <v>0</v>
      </c>
      <c r="AG144">
        <v>0</v>
      </c>
      <c r="AH144">
        <v>7.87</v>
      </c>
      <c r="AI144">
        <v>1</v>
      </c>
      <c r="AJ144">
        <v>1</v>
      </c>
      <c r="AK144">
        <v>1</v>
      </c>
      <c r="AL144">
        <v>6.53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3</v>
      </c>
      <c r="AT144">
        <v>110</v>
      </c>
      <c r="AU144" t="s">
        <v>3</v>
      </c>
      <c r="AV144">
        <v>1</v>
      </c>
      <c r="AW144">
        <v>2</v>
      </c>
      <c r="AX144">
        <v>39100020</v>
      </c>
      <c r="AY144">
        <v>1</v>
      </c>
      <c r="AZ144">
        <v>0</v>
      </c>
      <c r="BA144">
        <v>142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Y144*Source!I116</f>
        <v>22</v>
      </c>
      <c r="CY144">
        <f>AD144</f>
        <v>51.39</v>
      </c>
      <c r="CZ144">
        <f>AH144</f>
        <v>7.87</v>
      </c>
      <c r="DA144">
        <f>AL144</f>
        <v>6.53</v>
      </c>
      <c r="DB144">
        <v>0</v>
      </c>
    </row>
    <row r="145" spans="1:106" x14ac:dyDescent="0.2">
      <c r="A145">
        <f>ROW(Source!A116)</f>
        <v>116</v>
      </c>
      <c r="B145">
        <v>39099382</v>
      </c>
      <c r="C145">
        <v>39100016</v>
      </c>
      <c r="D145">
        <v>37064876</v>
      </c>
      <c r="E145">
        <v>1</v>
      </c>
      <c r="F145">
        <v>1</v>
      </c>
      <c r="G145">
        <v>1</v>
      </c>
      <c r="H145">
        <v>1</v>
      </c>
      <c r="I145" t="s">
        <v>642</v>
      </c>
      <c r="J145" t="s">
        <v>3</v>
      </c>
      <c r="K145" t="s">
        <v>643</v>
      </c>
      <c r="L145">
        <v>1191</v>
      </c>
      <c r="N145">
        <v>1013</v>
      </c>
      <c r="O145" t="s">
        <v>641</v>
      </c>
      <c r="P145" t="s">
        <v>641</v>
      </c>
      <c r="Q145">
        <v>1</v>
      </c>
      <c r="W145">
        <v>0</v>
      </c>
      <c r="X145">
        <v>-1417349443</v>
      </c>
      <c r="Y145">
        <v>2.2400000000000002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1</v>
      </c>
      <c r="AJ145">
        <v>1</v>
      </c>
      <c r="AK145">
        <v>6.53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3</v>
      </c>
      <c r="AT145">
        <v>2.2400000000000002</v>
      </c>
      <c r="AU145" t="s">
        <v>3</v>
      </c>
      <c r="AV145">
        <v>2</v>
      </c>
      <c r="AW145">
        <v>2</v>
      </c>
      <c r="AX145">
        <v>39100021</v>
      </c>
      <c r="AY145">
        <v>1</v>
      </c>
      <c r="AZ145">
        <v>0</v>
      </c>
      <c r="BA145">
        <v>143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Y145*Source!I116</f>
        <v>0.44800000000000006</v>
      </c>
      <c r="CY145">
        <f>AD145</f>
        <v>0</v>
      </c>
      <c r="CZ145">
        <f>AH145</f>
        <v>0</v>
      </c>
      <c r="DA145">
        <f>AL145</f>
        <v>1</v>
      </c>
      <c r="DB145">
        <v>0</v>
      </c>
    </row>
    <row r="146" spans="1:106" x14ac:dyDescent="0.2">
      <c r="A146">
        <f>ROW(Source!A116)</f>
        <v>116</v>
      </c>
      <c r="B146">
        <v>39099382</v>
      </c>
      <c r="C146">
        <v>39100016</v>
      </c>
      <c r="D146">
        <v>36882452</v>
      </c>
      <c r="E146">
        <v>1</v>
      </c>
      <c r="F146">
        <v>1</v>
      </c>
      <c r="G146">
        <v>1</v>
      </c>
      <c r="H146">
        <v>2</v>
      </c>
      <c r="I146" t="s">
        <v>644</v>
      </c>
      <c r="J146" t="s">
        <v>645</v>
      </c>
      <c r="K146" t="s">
        <v>646</v>
      </c>
      <c r="L146">
        <v>1368</v>
      </c>
      <c r="N146">
        <v>1011</v>
      </c>
      <c r="O146" t="s">
        <v>647</v>
      </c>
      <c r="P146" t="s">
        <v>647</v>
      </c>
      <c r="Q146">
        <v>1</v>
      </c>
      <c r="W146">
        <v>0</v>
      </c>
      <c r="X146">
        <v>1188625873</v>
      </c>
      <c r="Y146">
        <v>2.2400000000000002</v>
      </c>
      <c r="AA146">
        <v>0</v>
      </c>
      <c r="AB146">
        <v>204.13</v>
      </c>
      <c r="AC146">
        <v>13.5</v>
      </c>
      <c r="AD146">
        <v>0</v>
      </c>
      <c r="AE146">
        <v>0</v>
      </c>
      <c r="AF146">
        <v>31.26</v>
      </c>
      <c r="AG146">
        <v>13.5</v>
      </c>
      <c r="AH146">
        <v>0</v>
      </c>
      <c r="AI146">
        <v>1</v>
      </c>
      <c r="AJ146">
        <v>6.53</v>
      </c>
      <c r="AK146">
        <v>1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3</v>
      </c>
      <c r="AT146">
        <v>2.2400000000000002</v>
      </c>
      <c r="AU146" t="s">
        <v>3</v>
      </c>
      <c r="AV146">
        <v>0</v>
      </c>
      <c r="AW146">
        <v>2</v>
      </c>
      <c r="AX146">
        <v>39100022</v>
      </c>
      <c r="AY146">
        <v>1</v>
      </c>
      <c r="AZ146">
        <v>0</v>
      </c>
      <c r="BA146">
        <v>144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Y146*Source!I116</f>
        <v>0.44800000000000006</v>
      </c>
      <c r="CY146">
        <f>AB146</f>
        <v>204.13</v>
      </c>
      <c r="CZ146">
        <f>AF146</f>
        <v>31.26</v>
      </c>
      <c r="DA146">
        <f>AJ146</f>
        <v>6.53</v>
      </c>
      <c r="DB146">
        <v>0</v>
      </c>
    </row>
    <row r="147" spans="1:106" x14ac:dyDescent="0.2">
      <c r="A147">
        <f>ROW(Source!A117)</f>
        <v>117</v>
      </c>
      <c r="B147">
        <v>39099382</v>
      </c>
      <c r="C147">
        <v>39100023</v>
      </c>
      <c r="D147">
        <v>37070090</v>
      </c>
      <c r="E147">
        <v>1</v>
      </c>
      <c r="F147">
        <v>1</v>
      </c>
      <c r="G147">
        <v>1</v>
      </c>
      <c r="H147">
        <v>1</v>
      </c>
      <c r="I147" t="s">
        <v>709</v>
      </c>
      <c r="J147" t="s">
        <v>3</v>
      </c>
      <c r="K147" t="s">
        <v>710</v>
      </c>
      <c r="L147">
        <v>1191</v>
      </c>
      <c r="N147">
        <v>1013</v>
      </c>
      <c r="O147" t="s">
        <v>641</v>
      </c>
      <c r="P147" t="s">
        <v>641</v>
      </c>
      <c r="Q147">
        <v>1</v>
      </c>
      <c r="W147">
        <v>0</v>
      </c>
      <c r="X147">
        <v>-814890593</v>
      </c>
      <c r="Y147">
        <v>65.599999999999994</v>
      </c>
      <c r="AA147">
        <v>0</v>
      </c>
      <c r="AB147">
        <v>0</v>
      </c>
      <c r="AC147">
        <v>0</v>
      </c>
      <c r="AD147">
        <v>58.57</v>
      </c>
      <c r="AE147">
        <v>0</v>
      </c>
      <c r="AF147">
        <v>0</v>
      </c>
      <c r="AG147">
        <v>0</v>
      </c>
      <c r="AH147">
        <v>8.9700000000000006</v>
      </c>
      <c r="AI147">
        <v>1</v>
      </c>
      <c r="AJ147">
        <v>1</v>
      </c>
      <c r="AK147">
        <v>1</v>
      </c>
      <c r="AL147">
        <v>6.53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3</v>
      </c>
      <c r="AT147">
        <v>65.599999999999994</v>
      </c>
      <c r="AU147" t="s">
        <v>3</v>
      </c>
      <c r="AV147">
        <v>1</v>
      </c>
      <c r="AW147">
        <v>2</v>
      </c>
      <c r="AX147">
        <v>39100035</v>
      </c>
      <c r="AY147">
        <v>1</v>
      </c>
      <c r="AZ147">
        <v>0</v>
      </c>
      <c r="BA147">
        <v>145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Y147*Source!I117</f>
        <v>30.228479999999998</v>
      </c>
      <c r="CY147">
        <f>AD147</f>
        <v>58.57</v>
      </c>
      <c r="CZ147">
        <f>AH147</f>
        <v>8.9700000000000006</v>
      </c>
      <c r="DA147">
        <f>AL147</f>
        <v>6.53</v>
      </c>
      <c r="DB147">
        <v>0</v>
      </c>
    </row>
    <row r="148" spans="1:106" x14ac:dyDescent="0.2">
      <c r="A148">
        <f>ROW(Source!A117)</f>
        <v>117</v>
      </c>
      <c r="B148">
        <v>39099382</v>
      </c>
      <c r="C148">
        <v>39100023</v>
      </c>
      <c r="D148">
        <v>37064876</v>
      </c>
      <c r="E148">
        <v>1</v>
      </c>
      <c r="F148">
        <v>1</v>
      </c>
      <c r="G148">
        <v>1</v>
      </c>
      <c r="H148">
        <v>1</v>
      </c>
      <c r="I148" t="s">
        <v>642</v>
      </c>
      <c r="J148" t="s">
        <v>3</v>
      </c>
      <c r="K148" t="s">
        <v>643</v>
      </c>
      <c r="L148">
        <v>1191</v>
      </c>
      <c r="N148">
        <v>1013</v>
      </c>
      <c r="O148" t="s">
        <v>641</v>
      </c>
      <c r="P148" t="s">
        <v>641</v>
      </c>
      <c r="Q148">
        <v>1</v>
      </c>
      <c r="W148">
        <v>0</v>
      </c>
      <c r="X148">
        <v>-1417349443</v>
      </c>
      <c r="Y148">
        <v>3.13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1</v>
      </c>
      <c r="AJ148">
        <v>1</v>
      </c>
      <c r="AK148">
        <v>6.53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3</v>
      </c>
      <c r="AT148">
        <v>3.13</v>
      </c>
      <c r="AU148" t="s">
        <v>3</v>
      </c>
      <c r="AV148">
        <v>2</v>
      </c>
      <c r="AW148">
        <v>2</v>
      </c>
      <c r="AX148">
        <v>39100036</v>
      </c>
      <c r="AY148">
        <v>1</v>
      </c>
      <c r="AZ148">
        <v>0</v>
      </c>
      <c r="BA148">
        <v>146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Y148*Source!I117</f>
        <v>1.4423039999999998</v>
      </c>
      <c r="CY148">
        <f>AD148</f>
        <v>0</v>
      </c>
      <c r="CZ148">
        <f>AH148</f>
        <v>0</v>
      </c>
      <c r="DA148">
        <f>AL148</f>
        <v>1</v>
      </c>
      <c r="DB148">
        <v>0</v>
      </c>
    </row>
    <row r="149" spans="1:106" x14ac:dyDescent="0.2">
      <c r="A149">
        <f>ROW(Source!A117)</f>
        <v>117</v>
      </c>
      <c r="B149">
        <v>39099382</v>
      </c>
      <c r="C149">
        <v>39100023</v>
      </c>
      <c r="D149">
        <v>36882159</v>
      </c>
      <c r="E149">
        <v>1</v>
      </c>
      <c r="F149">
        <v>1</v>
      </c>
      <c r="G149">
        <v>1</v>
      </c>
      <c r="H149">
        <v>2</v>
      </c>
      <c r="I149" t="s">
        <v>765</v>
      </c>
      <c r="J149" t="s">
        <v>766</v>
      </c>
      <c r="K149" t="s">
        <v>767</v>
      </c>
      <c r="L149">
        <v>1368</v>
      </c>
      <c r="N149">
        <v>1011</v>
      </c>
      <c r="O149" t="s">
        <v>647</v>
      </c>
      <c r="P149" t="s">
        <v>647</v>
      </c>
      <c r="Q149">
        <v>1</v>
      </c>
      <c r="W149">
        <v>0</v>
      </c>
      <c r="X149">
        <v>-1718674368</v>
      </c>
      <c r="Y149">
        <v>0.09</v>
      </c>
      <c r="AA149">
        <v>0</v>
      </c>
      <c r="AB149">
        <v>731.29</v>
      </c>
      <c r="AC149">
        <v>13.5</v>
      </c>
      <c r="AD149">
        <v>0</v>
      </c>
      <c r="AE149">
        <v>0</v>
      </c>
      <c r="AF149">
        <v>111.99</v>
      </c>
      <c r="AG149">
        <v>13.5</v>
      </c>
      <c r="AH149">
        <v>0</v>
      </c>
      <c r="AI149">
        <v>1</v>
      </c>
      <c r="AJ149">
        <v>6.53</v>
      </c>
      <c r="AK149">
        <v>1</v>
      </c>
      <c r="AL149">
        <v>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3</v>
      </c>
      <c r="AT149">
        <v>0.09</v>
      </c>
      <c r="AU149" t="s">
        <v>3</v>
      </c>
      <c r="AV149">
        <v>0</v>
      </c>
      <c r="AW149">
        <v>2</v>
      </c>
      <c r="AX149">
        <v>39100037</v>
      </c>
      <c r="AY149">
        <v>1</v>
      </c>
      <c r="AZ149">
        <v>0</v>
      </c>
      <c r="BA149">
        <v>147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Y149*Source!I117</f>
        <v>4.1471999999999995E-2</v>
      </c>
      <c r="CY149">
        <f>AB149</f>
        <v>731.29</v>
      </c>
      <c r="CZ149">
        <f>AF149</f>
        <v>111.99</v>
      </c>
      <c r="DA149">
        <f>AJ149</f>
        <v>6.53</v>
      </c>
      <c r="DB149">
        <v>0</v>
      </c>
    </row>
    <row r="150" spans="1:106" x14ac:dyDescent="0.2">
      <c r="A150">
        <f>ROW(Source!A117)</f>
        <v>117</v>
      </c>
      <c r="B150">
        <v>39099382</v>
      </c>
      <c r="C150">
        <v>39100023</v>
      </c>
      <c r="D150">
        <v>36882452</v>
      </c>
      <c r="E150">
        <v>1</v>
      </c>
      <c r="F150">
        <v>1</v>
      </c>
      <c r="G150">
        <v>1</v>
      </c>
      <c r="H150">
        <v>2</v>
      </c>
      <c r="I150" t="s">
        <v>644</v>
      </c>
      <c r="J150" t="s">
        <v>645</v>
      </c>
      <c r="K150" t="s">
        <v>646</v>
      </c>
      <c r="L150">
        <v>1368</v>
      </c>
      <c r="N150">
        <v>1011</v>
      </c>
      <c r="O150" t="s">
        <v>647</v>
      </c>
      <c r="P150" t="s">
        <v>647</v>
      </c>
      <c r="Q150">
        <v>1</v>
      </c>
      <c r="W150">
        <v>0</v>
      </c>
      <c r="X150">
        <v>1188625873</v>
      </c>
      <c r="Y150">
        <v>1.19</v>
      </c>
      <c r="AA150">
        <v>0</v>
      </c>
      <c r="AB150">
        <v>204.13</v>
      </c>
      <c r="AC150">
        <v>13.5</v>
      </c>
      <c r="AD150">
        <v>0</v>
      </c>
      <c r="AE150">
        <v>0</v>
      </c>
      <c r="AF150">
        <v>31.26</v>
      </c>
      <c r="AG150">
        <v>13.5</v>
      </c>
      <c r="AH150">
        <v>0</v>
      </c>
      <c r="AI150">
        <v>1</v>
      </c>
      <c r="AJ150">
        <v>6.53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3</v>
      </c>
      <c r="AT150">
        <v>1.19</v>
      </c>
      <c r="AU150" t="s">
        <v>3</v>
      </c>
      <c r="AV150">
        <v>0</v>
      </c>
      <c r="AW150">
        <v>2</v>
      </c>
      <c r="AX150">
        <v>39100038</v>
      </c>
      <c r="AY150">
        <v>1</v>
      </c>
      <c r="AZ150">
        <v>0</v>
      </c>
      <c r="BA150">
        <v>148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Y150*Source!I117</f>
        <v>0.54835199999999995</v>
      </c>
      <c r="CY150">
        <f>AB150</f>
        <v>204.13</v>
      </c>
      <c r="CZ150">
        <f>AF150</f>
        <v>31.26</v>
      </c>
      <c r="DA150">
        <f>AJ150</f>
        <v>6.53</v>
      </c>
      <c r="DB150">
        <v>0</v>
      </c>
    </row>
    <row r="151" spans="1:106" x14ac:dyDescent="0.2">
      <c r="A151">
        <f>ROW(Source!A117)</f>
        <v>117</v>
      </c>
      <c r="B151">
        <v>39099382</v>
      </c>
      <c r="C151">
        <v>39100023</v>
      </c>
      <c r="D151">
        <v>36883274</v>
      </c>
      <c r="E151">
        <v>1</v>
      </c>
      <c r="F151">
        <v>1</v>
      </c>
      <c r="G151">
        <v>1</v>
      </c>
      <c r="H151">
        <v>2</v>
      </c>
      <c r="I151" t="s">
        <v>768</v>
      </c>
      <c r="J151" t="s">
        <v>769</v>
      </c>
      <c r="K151" t="s">
        <v>770</v>
      </c>
      <c r="L151">
        <v>1368</v>
      </c>
      <c r="N151">
        <v>1011</v>
      </c>
      <c r="O151" t="s">
        <v>647</v>
      </c>
      <c r="P151" t="s">
        <v>647</v>
      </c>
      <c r="Q151">
        <v>1</v>
      </c>
      <c r="W151">
        <v>0</v>
      </c>
      <c r="X151">
        <v>-1347092713</v>
      </c>
      <c r="Y151">
        <v>0.8</v>
      </c>
      <c r="AA151">
        <v>0</v>
      </c>
      <c r="AB151">
        <v>193.75</v>
      </c>
      <c r="AC151">
        <v>0</v>
      </c>
      <c r="AD151">
        <v>0</v>
      </c>
      <c r="AE151">
        <v>0</v>
      </c>
      <c r="AF151">
        <v>29.67</v>
      </c>
      <c r="AG151">
        <v>0</v>
      </c>
      <c r="AH151">
        <v>0</v>
      </c>
      <c r="AI151">
        <v>1</v>
      </c>
      <c r="AJ151">
        <v>6.53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3</v>
      </c>
      <c r="AT151">
        <v>0.8</v>
      </c>
      <c r="AU151" t="s">
        <v>3</v>
      </c>
      <c r="AV151">
        <v>0</v>
      </c>
      <c r="AW151">
        <v>2</v>
      </c>
      <c r="AX151">
        <v>39100039</v>
      </c>
      <c r="AY151">
        <v>1</v>
      </c>
      <c r="AZ151">
        <v>0</v>
      </c>
      <c r="BA151">
        <v>149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Y151*Source!I117</f>
        <v>0.36864000000000002</v>
      </c>
      <c r="CY151">
        <f>AB151</f>
        <v>193.75</v>
      </c>
      <c r="CZ151">
        <f>AF151</f>
        <v>29.67</v>
      </c>
      <c r="DA151">
        <f>AJ151</f>
        <v>6.53</v>
      </c>
      <c r="DB151">
        <v>0</v>
      </c>
    </row>
    <row r="152" spans="1:106" x14ac:dyDescent="0.2">
      <c r="A152">
        <f>ROW(Source!A117)</f>
        <v>117</v>
      </c>
      <c r="B152">
        <v>39099382</v>
      </c>
      <c r="C152">
        <v>39100023</v>
      </c>
      <c r="D152">
        <v>36883554</v>
      </c>
      <c r="E152">
        <v>1</v>
      </c>
      <c r="F152">
        <v>1</v>
      </c>
      <c r="G152">
        <v>1</v>
      </c>
      <c r="H152">
        <v>2</v>
      </c>
      <c r="I152" t="s">
        <v>665</v>
      </c>
      <c r="J152" t="s">
        <v>666</v>
      </c>
      <c r="K152" t="s">
        <v>667</v>
      </c>
      <c r="L152">
        <v>1368</v>
      </c>
      <c r="N152">
        <v>1011</v>
      </c>
      <c r="O152" t="s">
        <v>647</v>
      </c>
      <c r="P152" t="s">
        <v>647</v>
      </c>
      <c r="Q152">
        <v>1</v>
      </c>
      <c r="W152">
        <v>0</v>
      </c>
      <c r="X152">
        <v>1372534845</v>
      </c>
      <c r="Y152">
        <v>1.85</v>
      </c>
      <c r="AA152">
        <v>0</v>
      </c>
      <c r="AB152">
        <v>429.09</v>
      </c>
      <c r="AC152">
        <v>11.6</v>
      </c>
      <c r="AD152">
        <v>0</v>
      </c>
      <c r="AE152">
        <v>0</v>
      </c>
      <c r="AF152">
        <v>65.709999999999994</v>
      </c>
      <c r="AG152">
        <v>11.6</v>
      </c>
      <c r="AH152">
        <v>0</v>
      </c>
      <c r="AI152">
        <v>1</v>
      </c>
      <c r="AJ152">
        <v>6.53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3</v>
      </c>
      <c r="AT152">
        <v>1.85</v>
      </c>
      <c r="AU152" t="s">
        <v>3</v>
      </c>
      <c r="AV152">
        <v>0</v>
      </c>
      <c r="AW152">
        <v>2</v>
      </c>
      <c r="AX152">
        <v>39100040</v>
      </c>
      <c r="AY152">
        <v>1</v>
      </c>
      <c r="AZ152">
        <v>0</v>
      </c>
      <c r="BA152">
        <v>150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Y152*Source!I117</f>
        <v>0.85248000000000002</v>
      </c>
      <c r="CY152">
        <f>AB152</f>
        <v>429.09</v>
      </c>
      <c r="CZ152">
        <f>AF152</f>
        <v>65.709999999999994</v>
      </c>
      <c r="DA152">
        <f>AJ152</f>
        <v>6.53</v>
      </c>
      <c r="DB152">
        <v>0</v>
      </c>
    </row>
    <row r="153" spans="1:106" x14ac:dyDescent="0.2">
      <c r="A153">
        <f>ROW(Source!A117)</f>
        <v>117</v>
      </c>
      <c r="B153">
        <v>39099382</v>
      </c>
      <c r="C153">
        <v>39100023</v>
      </c>
      <c r="D153">
        <v>36800590</v>
      </c>
      <c r="E153">
        <v>1</v>
      </c>
      <c r="F153">
        <v>1</v>
      </c>
      <c r="G153">
        <v>1</v>
      </c>
      <c r="H153">
        <v>3</v>
      </c>
      <c r="I153" t="s">
        <v>771</v>
      </c>
      <c r="J153" t="s">
        <v>772</v>
      </c>
      <c r="K153" t="s">
        <v>773</v>
      </c>
      <c r="L153">
        <v>1339</v>
      </c>
      <c r="N153">
        <v>1007</v>
      </c>
      <c r="O153" t="s">
        <v>56</v>
      </c>
      <c r="P153" t="s">
        <v>56</v>
      </c>
      <c r="Q153">
        <v>1</v>
      </c>
      <c r="W153">
        <v>0</v>
      </c>
      <c r="X153">
        <v>2048996427</v>
      </c>
      <c r="Y153">
        <v>0.67</v>
      </c>
      <c r="AA153">
        <v>299.27</v>
      </c>
      <c r="AB153">
        <v>0</v>
      </c>
      <c r="AC153">
        <v>0</v>
      </c>
      <c r="AD153">
        <v>0</v>
      </c>
      <c r="AE153">
        <v>45.83</v>
      </c>
      <c r="AF153">
        <v>0</v>
      </c>
      <c r="AG153">
        <v>0</v>
      </c>
      <c r="AH153">
        <v>0</v>
      </c>
      <c r="AI153">
        <v>6.53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0</v>
      </c>
      <c r="AQ153">
        <v>0</v>
      </c>
      <c r="AR153">
        <v>0</v>
      </c>
      <c r="AS153" t="s">
        <v>3</v>
      </c>
      <c r="AT153">
        <v>0.67</v>
      </c>
      <c r="AU153" t="s">
        <v>3</v>
      </c>
      <c r="AV153">
        <v>0</v>
      </c>
      <c r="AW153">
        <v>2</v>
      </c>
      <c r="AX153">
        <v>39100041</v>
      </c>
      <c r="AY153">
        <v>1</v>
      </c>
      <c r="AZ153">
        <v>0</v>
      </c>
      <c r="BA153">
        <v>151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Y153*Source!I117</f>
        <v>0.30873600000000001</v>
      </c>
      <c r="CY153">
        <f>AA153</f>
        <v>299.27</v>
      </c>
      <c r="CZ153">
        <f>AE153</f>
        <v>45.83</v>
      </c>
      <c r="DA153">
        <f>AI153</f>
        <v>6.53</v>
      </c>
      <c r="DB153">
        <v>0</v>
      </c>
    </row>
    <row r="154" spans="1:106" x14ac:dyDescent="0.2">
      <c r="A154">
        <f>ROW(Source!A117)</f>
        <v>117</v>
      </c>
      <c r="B154">
        <v>39099382</v>
      </c>
      <c r="C154">
        <v>39100023</v>
      </c>
      <c r="D154">
        <v>36801792</v>
      </c>
      <c r="E154">
        <v>1</v>
      </c>
      <c r="F154">
        <v>1</v>
      </c>
      <c r="G154">
        <v>1</v>
      </c>
      <c r="H154">
        <v>3</v>
      </c>
      <c r="I154" t="s">
        <v>650</v>
      </c>
      <c r="J154" t="s">
        <v>651</v>
      </c>
      <c r="K154" t="s">
        <v>652</v>
      </c>
      <c r="L154">
        <v>1339</v>
      </c>
      <c r="N154">
        <v>1007</v>
      </c>
      <c r="O154" t="s">
        <v>56</v>
      </c>
      <c r="P154" t="s">
        <v>56</v>
      </c>
      <c r="Q154">
        <v>1</v>
      </c>
      <c r="W154">
        <v>0</v>
      </c>
      <c r="X154">
        <v>-1660354250</v>
      </c>
      <c r="Y154">
        <v>15</v>
      </c>
      <c r="AA154">
        <v>15.93</v>
      </c>
      <c r="AB154">
        <v>0</v>
      </c>
      <c r="AC154">
        <v>0</v>
      </c>
      <c r="AD154">
        <v>0</v>
      </c>
      <c r="AE154">
        <v>2.44</v>
      </c>
      <c r="AF154">
        <v>0</v>
      </c>
      <c r="AG154">
        <v>0</v>
      </c>
      <c r="AH154">
        <v>0</v>
      </c>
      <c r="AI154">
        <v>6.53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3</v>
      </c>
      <c r="AT154">
        <v>15</v>
      </c>
      <c r="AU154" t="s">
        <v>3</v>
      </c>
      <c r="AV154">
        <v>0</v>
      </c>
      <c r="AW154">
        <v>2</v>
      </c>
      <c r="AX154">
        <v>39100042</v>
      </c>
      <c r="AY154">
        <v>1</v>
      </c>
      <c r="AZ154">
        <v>0</v>
      </c>
      <c r="BA154">
        <v>152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Y154*Source!I117</f>
        <v>6.9119999999999999</v>
      </c>
      <c r="CY154">
        <f>AA154</f>
        <v>15.93</v>
      </c>
      <c r="CZ154">
        <f>AE154</f>
        <v>2.44</v>
      </c>
      <c r="DA154">
        <f>AI154</f>
        <v>6.53</v>
      </c>
      <c r="DB154">
        <v>0</v>
      </c>
    </row>
    <row r="155" spans="1:106" x14ac:dyDescent="0.2">
      <c r="A155">
        <f>ROW(Source!A117)</f>
        <v>117</v>
      </c>
      <c r="B155">
        <v>39099382</v>
      </c>
      <c r="C155">
        <v>39100023</v>
      </c>
      <c r="D155">
        <v>36847310</v>
      </c>
      <c r="E155">
        <v>1</v>
      </c>
      <c r="F155">
        <v>1</v>
      </c>
      <c r="G155">
        <v>1</v>
      </c>
      <c r="H155">
        <v>3</v>
      </c>
      <c r="I155" t="s">
        <v>774</v>
      </c>
      <c r="J155" t="s">
        <v>775</v>
      </c>
      <c r="K155" t="s">
        <v>776</v>
      </c>
      <c r="L155">
        <v>1035</v>
      </c>
      <c r="N155">
        <v>1013</v>
      </c>
      <c r="O155" t="s">
        <v>777</v>
      </c>
      <c r="P155" t="s">
        <v>777</v>
      </c>
      <c r="Q155">
        <v>1</v>
      </c>
      <c r="W155">
        <v>0</v>
      </c>
      <c r="X155">
        <v>-1223829238</v>
      </c>
      <c r="Y155">
        <v>44.2</v>
      </c>
      <c r="AA155">
        <v>161.62</v>
      </c>
      <c r="AB155">
        <v>0</v>
      </c>
      <c r="AC155">
        <v>0</v>
      </c>
      <c r="AD155">
        <v>0</v>
      </c>
      <c r="AE155">
        <v>24.75</v>
      </c>
      <c r="AF155">
        <v>0</v>
      </c>
      <c r="AG155">
        <v>0</v>
      </c>
      <c r="AH155">
        <v>0</v>
      </c>
      <c r="AI155">
        <v>6.53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3</v>
      </c>
      <c r="AT155">
        <v>44.2</v>
      </c>
      <c r="AU155" t="s">
        <v>3</v>
      </c>
      <c r="AV155">
        <v>0</v>
      </c>
      <c r="AW155">
        <v>2</v>
      </c>
      <c r="AX155">
        <v>39100045</v>
      </c>
      <c r="AY155">
        <v>1</v>
      </c>
      <c r="AZ155">
        <v>0</v>
      </c>
      <c r="BA155">
        <v>155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Y155*Source!I117</f>
        <v>20.367360000000001</v>
      </c>
      <c r="CY155">
        <f>AA155</f>
        <v>161.62</v>
      </c>
      <c r="CZ155">
        <f>AE155</f>
        <v>24.75</v>
      </c>
      <c r="DA155">
        <f>AI155</f>
        <v>6.53</v>
      </c>
      <c r="DB155">
        <v>0</v>
      </c>
    </row>
    <row r="156" spans="1:106" x14ac:dyDescent="0.2">
      <c r="A156">
        <f>ROW(Source!A117)</f>
        <v>117</v>
      </c>
      <c r="B156">
        <v>39099382</v>
      </c>
      <c r="C156">
        <v>39100023</v>
      </c>
      <c r="D156">
        <v>36847648</v>
      </c>
      <c r="E156">
        <v>1</v>
      </c>
      <c r="F156">
        <v>1</v>
      </c>
      <c r="G156">
        <v>1</v>
      </c>
      <c r="H156">
        <v>3</v>
      </c>
      <c r="I156" t="s">
        <v>329</v>
      </c>
      <c r="J156" t="s">
        <v>331</v>
      </c>
      <c r="K156" t="s">
        <v>330</v>
      </c>
      <c r="L156">
        <v>1354</v>
      </c>
      <c r="N156">
        <v>1010</v>
      </c>
      <c r="O156" t="s">
        <v>37</v>
      </c>
      <c r="P156" t="s">
        <v>37</v>
      </c>
      <c r="Q156">
        <v>1</v>
      </c>
      <c r="W156">
        <v>0</v>
      </c>
      <c r="X156">
        <v>-2076158712</v>
      </c>
      <c r="Y156">
        <v>43.402777999999998</v>
      </c>
      <c r="AA156">
        <v>9819.1</v>
      </c>
      <c r="AB156">
        <v>0</v>
      </c>
      <c r="AC156">
        <v>0</v>
      </c>
      <c r="AD156">
        <v>0</v>
      </c>
      <c r="AE156">
        <v>1503.69</v>
      </c>
      <c r="AF156">
        <v>0</v>
      </c>
      <c r="AG156">
        <v>0</v>
      </c>
      <c r="AH156">
        <v>0</v>
      </c>
      <c r="AI156">
        <v>6.53</v>
      </c>
      <c r="AJ156">
        <v>1</v>
      </c>
      <c r="AK156">
        <v>1</v>
      </c>
      <c r="AL156">
        <v>1</v>
      </c>
      <c r="AN156">
        <v>0</v>
      </c>
      <c r="AO156">
        <v>0</v>
      </c>
      <c r="AP156">
        <v>0</v>
      </c>
      <c r="AQ156">
        <v>0</v>
      </c>
      <c r="AR156">
        <v>0</v>
      </c>
      <c r="AS156" t="s">
        <v>3</v>
      </c>
      <c r="AT156">
        <v>43.402777999999998</v>
      </c>
      <c r="AU156" t="s">
        <v>3</v>
      </c>
      <c r="AV156">
        <v>0</v>
      </c>
      <c r="AW156">
        <v>1</v>
      </c>
      <c r="AX156">
        <v>-1</v>
      </c>
      <c r="AY156">
        <v>0</v>
      </c>
      <c r="AZ156">
        <v>0</v>
      </c>
      <c r="BA156" t="s">
        <v>3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Y156*Source!I117</f>
        <v>20.000000102399998</v>
      </c>
      <c r="CY156">
        <f>AA156</f>
        <v>9819.1</v>
      </c>
      <c r="CZ156">
        <f>AE156</f>
        <v>1503.69</v>
      </c>
      <c r="DA156">
        <f>AI156</f>
        <v>6.53</v>
      </c>
      <c r="DB156">
        <v>0</v>
      </c>
    </row>
    <row r="157" spans="1:106" x14ac:dyDescent="0.2">
      <c r="A157">
        <f>ROW(Source!A117)</f>
        <v>117</v>
      </c>
      <c r="B157">
        <v>39099382</v>
      </c>
      <c r="C157">
        <v>39100023</v>
      </c>
      <c r="D157">
        <v>36797746</v>
      </c>
      <c r="E157">
        <v>17</v>
      </c>
      <c r="F157">
        <v>1</v>
      </c>
      <c r="G157">
        <v>1</v>
      </c>
      <c r="H157">
        <v>3</v>
      </c>
      <c r="I157" t="s">
        <v>333</v>
      </c>
      <c r="J157" t="s">
        <v>3</v>
      </c>
      <c r="K157" t="s">
        <v>334</v>
      </c>
      <c r="L157">
        <v>1033</v>
      </c>
      <c r="N157">
        <v>1013</v>
      </c>
      <c r="O157" t="s">
        <v>335</v>
      </c>
      <c r="P157" t="s">
        <v>335</v>
      </c>
      <c r="Q157">
        <v>1</v>
      </c>
      <c r="W157">
        <v>0</v>
      </c>
      <c r="X157">
        <v>704408924</v>
      </c>
      <c r="Y157">
        <v>100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6.53</v>
      </c>
      <c r="AJ157">
        <v>1</v>
      </c>
      <c r="AK157">
        <v>1</v>
      </c>
      <c r="AL157">
        <v>1</v>
      </c>
      <c r="AN157">
        <v>0</v>
      </c>
      <c r="AO157">
        <v>0</v>
      </c>
      <c r="AP157">
        <v>0</v>
      </c>
      <c r="AQ157">
        <v>0</v>
      </c>
      <c r="AR157">
        <v>0</v>
      </c>
      <c r="AS157" t="s">
        <v>3</v>
      </c>
      <c r="AT157">
        <v>100</v>
      </c>
      <c r="AU157" t="s">
        <v>3</v>
      </c>
      <c r="AV157">
        <v>0</v>
      </c>
      <c r="AW157">
        <v>2</v>
      </c>
      <c r="AX157">
        <v>39100046</v>
      </c>
      <c r="AY157">
        <v>1</v>
      </c>
      <c r="AZ157">
        <v>0</v>
      </c>
      <c r="BA157">
        <v>156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Y157*Source!I117</f>
        <v>46.08</v>
      </c>
      <c r="CY157">
        <f>AA157</f>
        <v>0</v>
      </c>
      <c r="CZ157">
        <f>AE157</f>
        <v>0</v>
      </c>
      <c r="DA157">
        <f>AI157</f>
        <v>6.53</v>
      </c>
      <c r="DB157">
        <v>0</v>
      </c>
    </row>
    <row r="158" spans="1:106" x14ac:dyDescent="0.2">
      <c r="A158">
        <f>ROW(Source!A120)</f>
        <v>120</v>
      </c>
      <c r="B158">
        <v>39099382</v>
      </c>
      <c r="C158">
        <v>39100049</v>
      </c>
      <c r="D158">
        <v>37064978</v>
      </c>
      <c r="E158">
        <v>1</v>
      </c>
      <c r="F158">
        <v>1</v>
      </c>
      <c r="G158">
        <v>1</v>
      </c>
      <c r="H158">
        <v>1</v>
      </c>
      <c r="I158" t="s">
        <v>778</v>
      </c>
      <c r="J158" t="s">
        <v>3</v>
      </c>
      <c r="K158" t="s">
        <v>779</v>
      </c>
      <c r="L158">
        <v>1191</v>
      </c>
      <c r="N158">
        <v>1013</v>
      </c>
      <c r="O158" t="s">
        <v>641</v>
      </c>
      <c r="P158" t="s">
        <v>641</v>
      </c>
      <c r="Q158">
        <v>1</v>
      </c>
      <c r="W158">
        <v>0</v>
      </c>
      <c r="X158">
        <v>-719309759</v>
      </c>
      <c r="Y158">
        <v>71.06</v>
      </c>
      <c r="AA158">
        <v>0</v>
      </c>
      <c r="AB158">
        <v>0</v>
      </c>
      <c r="AC158">
        <v>0</v>
      </c>
      <c r="AD158">
        <v>57.86</v>
      </c>
      <c r="AE158">
        <v>0</v>
      </c>
      <c r="AF158">
        <v>0</v>
      </c>
      <c r="AG158">
        <v>0</v>
      </c>
      <c r="AH158">
        <v>8.86</v>
      </c>
      <c r="AI158">
        <v>1</v>
      </c>
      <c r="AJ158">
        <v>1</v>
      </c>
      <c r="AK158">
        <v>1</v>
      </c>
      <c r="AL158">
        <v>6.53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3</v>
      </c>
      <c r="AT158">
        <v>71.06</v>
      </c>
      <c r="AU158" t="s">
        <v>3</v>
      </c>
      <c r="AV158">
        <v>1</v>
      </c>
      <c r="AW158">
        <v>2</v>
      </c>
      <c r="AX158">
        <v>39100058</v>
      </c>
      <c r="AY158">
        <v>1</v>
      </c>
      <c r="AZ158">
        <v>0</v>
      </c>
      <c r="BA158">
        <v>157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Y158*Source!I120</f>
        <v>4.2636000000000003</v>
      </c>
      <c r="CY158">
        <f>AD158</f>
        <v>57.86</v>
      </c>
      <c r="CZ158">
        <f>AH158</f>
        <v>8.86</v>
      </c>
      <c r="DA158">
        <f>AL158</f>
        <v>6.53</v>
      </c>
      <c r="DB158">
        <v>0</v>
      </c>
    </row>
    <row r="159" spans="1:106" x14ac:dyDescent="0.2">
      <c r="A159">
        <f>ROW(Source!A120)</f>
        <v>120</v>
      </c>
      <c r="B159">
        <v>39099382</v>
      </c>
      <c r="C159">
        <v>39100049</v>
      </c>
      <c r="D159">
        <v>37064876</v>
      </c>
      <c r="E159">
        <v>1</v>
      </c>
      <c r="F159">
        <v>1</v>
      </c>
      <c r="G159">
        <v>1</v>
      </c>
      <c r="H159">
        <v>1</v>
      </c>
      <c r="I159" t="s">
        <v>642</v>
      </c>
      <c r="J159" t="s">
        <v>3</v>
      </c>
      <c r="K159" t="s">
        <v>643</v>
      </c>
      <c r="L159">
        <v>1191</v>
      </c>
      <c r="N159">
        <v>1013</v>
      </c>
      <c r="O159" t="s">
        <v>641</v>
      </c>
      <c r="P159" t="s">
        <v>641</v>
      </c>
      <c r="Q159">
        <v>1</v>
      </c>
      <c r="W159">
        <v>0</v>
      </c>
      <c r="X159">
        <v>-1417349443</v>
      </c>
      <c r="Y159">
        <v>0.04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1</v>
      </c>
      <c r="AJ159">
        <v>1</v>
      </c>
      <c r="AK159">
        <v>6.53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3</v>
      </c>
      <c r="AT159">
        <v>0.04</v>
      </c>
      <c r="AU159" t="s">
        <v>3</v>
      </c>
      <c r="AV159">
        <v>2</v>
      </c>
      <c r="AW159">
        <v>2</v>
      </c>
      <c r="AX159">
        <v>39100059</v>
      </c>
      <c r="AY159">
        <v>1</v>
      </c>
      <c r="AZ159">
        <v>0</v>
      </c>
      <c r="BA159">
        <v>158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Y159*Source!I120</f>
        <v>2.3999999999999998E-3</v>
      </c>
      <c r="CY159">
        <f>AD159</f>
        <v>0</v>
      </c>
      <c r="CZ159">
        <f>AH159</f>
        <v>0</v>
      </c>
      <c r="DA159">
        <f>AL159</f>
        <v>1</v>
      </c>
      <c r="DB159">
        <v>0</v>
      </c>
    </row>
    <row r="160" spans="1:106" x14ac:dyDescent="0.2">
      <c r="A160">
        <f>ROW(Source!A120)</f>
        <v>120</v>
      </c>
      <c r="B160">
        <v>39099382</v>
      </c>
      <c r="C160">
        <v>39100049</v>
      </c>
      <c r="D160">
        <v>36882452</v>
      </c>
      <c r="E160">
        <v>1</v>
      </c>
      <c r="F160">
        <v>1</v>
      </c>
      <c r="G160">
        <v>1</v>
      </c>
      <c r="H160">
        <v>2</v>
      </c>
      <c r="I160" t="s">
        <v>644</v>
      </c>
      <c r="J160" t="s">
        <v>645</v>
      </c>
      <c r="K160" t="s">
        <v>646</v>
      </c>
      <c r="L160">
        <v>1368</v>
      </c>
      <c r="N160">
        <v>1011</v>
      </c>
      <c r="O160" t="s">
        <v>647</v>
      </c>
      <c r="P160" t="s">
        <v>647</v>
      </c>
      <c r="Q160">
        <v>1</v>
      </c>
      <c r="W160">
        <v>0</v>
      </c>
      <c r="X160">
        <v>1188625873</v>
      </c>
      <c r="Y160">
        <v>0.01</v>
      </c>
      <c r="AA160">
        <v>0</v>
      </c>
      <c r="AB160">
        <v>204.13</v>
      </c>
      <c r="AC160">
        <v>13.5</v>
      </c>
      <c r="AD160">
        <v>0</v>
      </c>
      <c r="AE160">
        <v>0</v>
      </c>
      <c r="AF160">
        <v>31.26</v>
      </c>
      <c r="AG160">
        <v>13.5</v>
      </c>
      <c r="AH160">
        <v>0</v>
      </c>
      <c r="AI160">
        <v>1</v>
      </c>
      <c r="AJ160">
        <v>6.53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3</v>
      </c>
      <c r="AT160">
        <v>0.01</v>
      </c>
      <c r="AU160" t="s">
        <v>3</v>
      </c>
      <c r="AV160">
        <v>0</v>
      </c>
      <c r="AW160">
        <v>2</v>
      </c>
      <c r="AX160">
        <v>39100060</v>
      </c>
      <c r="AY160">
        <v>1</v>
      </c>
      <c r="AZ160">
        <v>0</v>
      </c>
      <c r="BA160">
        <v>159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Y160*Source!I120</f>
        <v>5.9999999999999995E-4</v>
      </c>
      <c r="CY160">
        <f>AB160</f>
        <v>204.13</v>
      </c>
      <c r="CZ160">
        <f>AF160</f>
        <v>31.26</v>
      </c>
      <c r="DA160">
        <f>AJ160</f>
        <v>6.53</v>
      </c>
      <c r="DB160">
        <v>0</v>
      </c>
    </row>
    <row r="161" spans="1:106" x14ac:dyDescent="0.2">
      <c r="A161">
        <f>ROW(Source!A120)</f>
        <v>120</v>
      </c>
      <c r="B161">
        <v>39099382</v>
      </c>
      <c r="C161">
        <v>39100049</v>
      </c>
      <c r="D161">
        <v>36883554</v>
      </c>
      <c r="E161">
        <v>1</v>
      </c>
      <c r="F161">
        <v>1</v>
      </c>
      <c r="G161">
        <v>1</v>
      </c>
      <c r="H161">
        <v>2</v>
      </c>
      <c r="I161" t="s">
        <v>665</v>
      </c>
      <c r="J161" t="s">
        <v>666</v>
      </c>
      <c r="K161" t="s">
        <v>667</v>
      </c>
      <c r="L161">
        <v>1368</v>
      </c>
      <c r="N161">
        <v>1011</v>
      </c>
      <c r="O161" t="s">
        <v>647</v>
      </c>
      <c r="P161" t="s">
        <v>647</v>
      </c>
      <c r="Q161">
        <v>1</v>
      </c>
      <c r="W161">
        <v>0</v>
      </c>
      <c r="X161">
        <v>1372534845</v>
      </c>
      <c r="Y161">
        <v>0.03</v>
      </c>
      <c r="AA161">
        <v>0</v>
      </c>
      <c r="AB161">
        <v>429.09</v>
      </c>
      <c r="AC161">
        <v>11.6</v>
      </c>
      <c r="AD161">
        <v>0</v>
      </c>
      <c r="AE161">
        <v>0</v>
      </c>
      <c r="AF161">
        <v>65.709999999999994</v>
      </c>
      <c r="AG161">
        <v>11.6</v>
      </c>
      <c r="AH161">
        <v>0</v>
      </c>
      <c r="AI161">
        <v>1</v>
      </c>
      <c r="AJ161">
        <v>6.53</v>
      </c>
      <c r="AK161">
        <v>1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3</v>
      </c>
      <c r="AT161">
        <v>0.03</v>
      </c>
      <c r="AU161" t="s">
        <v>3</v>
      </c>
      <c r="AV161">
        <v>0</v>
      </c>
      <c r="AW161">
        <v>2</v>
      </c>
      <c r="AX161">
        <v>39100061</v>
      </c>
      <c r="AY161">
        <v>1</v>
      </c>
      <c r="AZ161">
        <v>0</v>
      </c>
      <c r="BA161">
        <v>160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Y161*Source!I120</f>
        <v>1.8E-3</v>
      </c>
      <c r="CY161">
        <f>AB161</f>
        <v>429.09</v>
      </c>
      <c r="CZ161">
        <f>AF161</f>
        <v>65.709999999999994</v>
      </c>
      <c r="DA161">
        <f>AJ161</f>
        <v>6.53</v>
      </c>
      <c r="DB161">
        <v>0</v>
      </c>
    </row>
    <row r="162" spans="1:106" x14ac:dyDescent="0.2">
      <c r="A162">
        <f>ROW(Source!A120)</f>
        <v>120</v>
      </c>
      <c r="B162">
        <v>39099382</v>
      </c>
      <c r="C162">
        <v>39100049</v>
      </c>
      <c r="D162">
        <v>36805524</v>
      </c>
      <c r="E162">
        <v>1</v>
      </c>
      <c r="F162">
        <v>1</v>
      </c>
      <c r="G162">
        <v>1</v>
      </c>
      <c r="H162">
        <v>3</v>
      </c>
      <c r="I162" t="s">
        <v>679</v>
      </c>
      <c r="J162" t="s">
        <v>680</v>
      </c>
      <c r="K162" t="s">
        <v>681</v>
      </c>
      <c r="L162">
        <v>1346</v>
      </c>
      <c r="N162">
        <v>1009</v>
      </c>
      <c r="O162" t="s">
        <v>97</v>
      </c>
      <c r="P162" t="s">
        <v>97</v>
      </c>
      <c r="Q162">
        <v>1</v>
      </c>
      <c r="W162">
        <v>0</v>
      </c>
      <c r="X162">
        <v>813963326</v>
      </c>
      <c r="Y162">
        <v>0.3</v>
      </c>
      <c r="AA162">
        <v>11.88</v>
      </c>
      <c r="AB162">
        <v>0</v>
      </c>
      <c r="AC162">
        <v>0</v>
      </c>
      <c r="AD162">
        <v>0</v>
      </c>
      <c r="AE162">
        <v>1.82</v>
      </c>
      <c r="AF162">
        <v>0</v>
      </c>
      <c r="AG162">
        <v>0</v>
      </c>
      <c r="AH162">
        <v>0</v>
      </c>
      <c r="AI162">
        <v>6.53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3</v>
      </c>
      <c r="AT162">
        <v>0.3</v>
      </c>
      <c r="AU162" t="s">
        <v>3</v>
      </c>
      <c r="AV162">
        <v>0</v>
      </c>
      <c r="AW162">
        <v>2</v>
      </c>
      <c r="AX162">
        <v>39100062</v>
      </c>
      <c r="AY162">
        <v>1</v>
      </c>
      <c r="AZ162">
        <v>0</v>
      </c>
      <c r="BA162">
        <v>161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Y162*Source!I120</f>
        <v>1.7999999999999999E-2</v>
      </c>
      <c r="CY162">
        <f>AA162</f>
        <v>11.88</v>
      </c>
      <c r="CZ162">
        <f>AE162</f>
        <v>1.82</v>
      </c>
      <c r="DA162">
        <f>AI162</f>
        <v>6.53</v>
      </c>
      <c r="DB162">
        <v>0</v>
      </c>
    </row>
    <row r="163" spans="1:106" x14ac:dyDescent="0.2">
      <c r="A163">
        <f>ROW(Source!A120)</f>
        <v>120</v>
      </c>
      <c r="B163">
        <v>39099382</v>
      </c>
      <c r="C163">
        <v>39100049</v>
      </c>
      <c r="D163">
        <v>36797575</v>
      </c>
      <c r="E163">
        <v>17</v>
      </c>
      <c r="F163">
        <v>1</v>
      </c>
      <c r="G163">
        <v>1</v>
      </c>
      <c r="H163">
        <v>3</v>
      </c>
      <c r="I163" t="s">
        <v>341</v>
      </c>
      <c r="J163" t="s">
        <v>3</v>
      </c>
      <c r="K163" t="s">
        <v>342</v>
      </c>
      <c r="L163">
        <v>1348</v>
      </c>
      <c r="N163">
        <v>1009</v>
      </c>
      <c r="O163" t="s">
        <v>189</v>
      </c>
      <c r="P163" t="s">
        <v>189</v>
      </c>
      <c r="Q163">
        <v>1000</v>
      </c>
      <c r="W163">
        <v>0</v>
      </c>
      <c r="X163">
        <v>84301199</v>
      </c>
      <c r="Y163">
        <v>2.46E-2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6.53</v>
      </c>
      <c r="AJ163">
        <v>1</v>
      </c>
      <c r="AK163">
        <v>1</v>
      </c>
      <c r="AL163">
        <v>1</v>
      </c>
      <c r="AN163">
        <v>0</v>
      </c>
      <c r="AO163">
        <v>0</v>
      </c>
      <c r="AP163">
        <v>0</v>
      </c>
      <c r="AQ163">
        <v>0</v>
      </c>
      <c r="AR163">
        <v>0</v>
      </c>
      <c r="AS163" t="s">
        <v>3</v>
      </c>
      <c r="AT163">
        <v>2.46E-2</v>
      </c>
      <c r="AU163" t="s">
        <v>3</v>
      </c>
      <c r="AV163">
        <v>0</v>
      </c>
      <c r="AW163">
        <v>2</v>
      </c>
      <c r="AX163">
        <v>39100063</v>
      </c>
      <c r="AY163">
        <v>1</v>
      </c>
      <c r="AZ163">
        <v>0</v>
      </c>
      <c r="BA163">
        <v>162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Y163*Source!I120</f>
        <v>1.4759999999999999E-3</v>
      </c>
      <c r="CY163">
        <f>AA163</f>
        <v>0</v>
      </c>
      <c r="CZ163">
        <f>AE163</f>
        <v>0</v>
      </c>
      <c r="DA163">
        <f>AI163</f>
        <v>6.53</v>
      </c>
      <c r="DB163">
        <v>0</v>
      </c>
    </row>
    <row r="164" spans="1:106" x14ac:dyDescent="0.2">
      <c r="A164">
        <f>ROW(Source!A120)</f>
        <v>120</v>
      </c>
      <c r="B164">
        <v>39099382</v>
      </c>
      <c r="C164">
        <v>39100049</v>
      </c>
      <c r="D164">
        <v>36838208</v>
      </c>
      <c r="E164">
        <v>1</v>
      </c>
      <c r="F164">
        <v>1</v>
      </c>
      <c r="G164">
        <v>1</v>
      </c>
      <c r="H164">
        <v>3</v>
      </c>
      <c r="I164" t="s">
        <v>344</v>
      </c>
      <c r="J164" t="s">
        <v>346</v>
      </c>
      <c r="K164" t="s">
        <v>345</v>
      </c>
      <c r="L164">
        <v>1348</v>
      </c>
      <c r="N164">
        <v>1009</v>
      </c>
      <c r="O164" t="s">
        <v>189</v>
      </c>
      <c r="P164" t="s">
        <v>189</v>
      </c>
      <c r="Q164">
        <v>1000</v>
      </c>
      <c r="W164">
        <v>0</v>
      </c>
      <c r="X164">
        <v>-777870615</v>
      </c>
      <c r="Y164">
        <v>2.4598999999999999E-2</v>
      </c>
      <c r="AA164">
        <v>277578.48</v>
      </c>
      <c r="AB164">
        <v>0</v>
      </c>
      <c r="AC164">
        <v>0</v>
      </c>
      <c r="AD164">
        <v>0</v>
      </c>
      <c r="AE164">
        <v>42508.19</v>
      </c>
      <c r="AF164">
        <v>0</v>
      </c>
      <c r="AG164">
        <v>0</v>
      </c>
      <c r="AH164">
        <v>0</v>
      </c>
      <c r="AI164">
        <v>6.53</v>
      </c>
      <c r="AJ164">
        <v>1</v>
      </c>
      <c r="AK164">
        <v>1</v>
      </c>
      <c r="AL164">
        <v>1</v>
      </c>
      <c r="AN164">
        <v>0</v>
      </c>
      <c r="AO164">
        <v>0</v>
      </c>
      <c r="AP164">
        <v>0</v>
      </c>
      <c r="AQ164">
        <v>0</v>
      </c>
      <c r="AR164">
        <v>0</v>
      </c>
      <c r="AS164" t="s">
        <v>3</v>
      </c>
      <c r="AT164">
        <v>2.4598999999999999E-2</v>
      </c>
      <c r="AU164" t="s">
        <v>3</v>
      </c>
      <c r="AV164">
        <v>0</v>
      </c>
      <c r="AW164">
        <v>1</v>
      </c>
      <c r="AX164">
        <v>-1</v>
      </c>
      <c r="AY164">
        <v>0</v>
      </c>
      <c r="AZ164">
        <v>0</v>
      </c>
      <c r="BA164" t="s">
        <v>3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Y164*Source!I120</f>
        <v>1.4759399999999998E-3</v>
      </c>
      <c r="CY164">
        <f>AA164</f>
        <v>277578.48</v>
      </c>
      <c r="CZ164">
        <f>AE164</f>
        <v>42508.19</v>
      </c>
      <c r="DA164">
        <f>AI164</f>
        <v>6.53</v>
      </c>
      <c r="DB164">
        <v>0</v>
      </c>
    </row>
    <row r="165" spans="1:106" x14ac:dyDescent="0.2">
      <c r="A165">
        <f>ROW(Source!A120)</f>
        <v>120</v>
      </c>
      <c r="B165">
        <v>39099382</v>
      </c>
      <c r="C165">
        <v>39100049</v>
      </c>
      <c r="D165">
        <v>36838954</v>
      </c>
      <c r="E165">
        <v>1</v>
      </c>
      <c r="F165">
        <v>1</v>
      </c>
      <c r="G165">
        <v>1</v>
      </c>
      <c r="H165">
        <v>3</v>
      </c>
      <c r="I165" t="s">
        <v>780</v>
      </c>
      <c r="J165" t="s">
        <v>781</v>
      </c>
      <c r="K165" t="s">
        <v>782</v>
      </c>
      <c r="L165">
        <v>1346</v>
      </c>
      <c r="N165">
        <v>1009</v>
      </c>
      <c r="O165" t="s">
        <v>97</v>
      </c>
      <c r="P165" t="s">
        <v>97</v>
      </c>
      <c r="Q165">
        <v>1</v>
      </c>
      <c r="W165">
        <v>0</v>
      </c>
      <c r="X165">
        <v>-608190322</v>
      </c>
      <c r="Y165">
        <v>2.7</v>
      </c>
      <c r="AA165">
        <v>212.88</v>
      </c>
      <c r="AB165">
        <v>0</v>
      </c>
      <c r="AC165">
        <v>0</v>
      </c>
      <c r="AD165">
        <v>0</v>
      </c>
      <c r="AE165">
        <v>32.6</v>
      </c>
      <c r="AF165">
        <v>0</v>
      </c>
      <c r="AG165">
        <v>0</v>
      </c>
      <c r="AH165">
        <v>0</v>
      </c>
      <c r="AI165">
        <v>6.53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0</v>
      </c>
      <c r="AQ165">
        <v>0</v>
      </c>
      <c r="AR165">
        <v>0</v>
      </c>
      <c r="AS165" t="s">
        <v>3</v>
      </c>
      <c r="AT165">
        <v>2.7</v>
      </c>
      <c r="AU165" t="s">
        <v>3</v>
      </c>
      <c r="AV165">
        <v>0</v>
      </c>
      <c r="AW165">
        <v>2</v>
      </c>
      <c r="AX165">
        <v>39100064</v>
      </c>
      <c r="AY165">
        <v>1</v>
      </c>
      <c r="AZ165">
        <v>0</v>
      </c>
      <c r="BA165">
        <v>163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Y165*Source!I120</f>
        <v>0.16200000000000001</v>
      </c>
      <c r="CY165">
        <f>AA165</f>
        <v>212.88</v>
      </c>
      <c r="CZ165">
        <f>AE165</f>
        <v>32.6</v>
      </c>
      <c r="DA165">
        <f>AI165</f>
        <v>6.53</v>
      </c>
      <c r="DB165">
        <v>0</v>
      </c>
    </row>
    <row r="166" spans="1:106" x14ac:dyDescent="0.2">
      <c r="A166">
        <f>ROW(Source!A123)</f>
        <v>123</v>
      </c>
      <c r="B166">
        <v>39099382</v>
      </c>
      <c r="C166">
        <v>39100067</v>
      </c>
      <c r="D166">
        <v>37064928</v>
      </c>
      <c r="E166">
        <v>1</v>
      </c>
      <c r="F166">
        <v>1</v>
      </c>
      <c r="G166">
        <v>1</v>
      </c>
      <c r="H166">
        <v>1</v>
      </c>
      <c r="I166" t="s">
        <v>734</v>
      </c>
      <c r="J166" t="s">
        <v>3</v>
      </c>
      <c r="K166" t="s">
        <v>735</v>
      </c>
      <c r="L166">
        <v>1191</v>
      </c>
      <c r="N166">
        <v>1013</v>
      </c>
      <c r="O166" t="s">
        <v>641</v>
      </c>
      <c r="P166" t="s">
        <v>641</v>
      </c>
      <c r="Q166">
        <v>1</v>
      </c>
      <c r="W166">
        <v>0</v>
      </c>
      <c r="X166">
        <v>145020957</v>
      </c>
      <c r="Y166">
        <v>1.47</v>
      </c>
      <c r="AA166">
        <v>0</v>
      </c>
      <c r="AB166">
        <v>0</v>
      </c>
      <c r="AC166">
        <v>0</v>
      </c>
      <c r="AD166">
        <v>59.23</v>
      </c>
      <c r="AE166">
        <v>0</v>
      </c>
      <c r="AF166">
        <v>0</v>
      </c>
      <c r="AG166">
        <v>0</v>
      </c>
      <c r="AH166">
        <v>9.07</v>
      </c>
      <c r="AI166">
        <v>1</v>
      </c>
      <c r="AJ166">
        <v>1</v>
      </c>
      <c r="AK166">
        <v>1</v>
      </c>
      <c r="AL166">
        <v>6.53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3</v>
      </c>
      <c r="AT166">
        <v>1.47</v>
      </c>
      <c r="AU166" t="s">
        <v>3</v>
      </c>
      <c r="AV166">
        <v>1</v>
      </c>
      <c r="AW166">
        <v>2</v>
      </c>
      <c r="AX166">
        <v>39100076</v>
      </c>
      <c r="AY166">
        <v>1</v>
      </c>
      <c r="AZ166">
        <v>0</v>
      </c>
      <c r="BA166">
        <v>164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Y166*Source!I123</f>
        <v>58.8</v>
      </c>
      <c r="CY166">
        <f>AD166</f>
        <v>59.23</v>
      </c>
      <c r="CZ166">
        <f>AH166</f>
        <v>9.07</v>
      </c>
      <c r="DA166">
        <f>AL166</f>
        <v>6.53</v>
      </c>
      <c r="DB166">
        <v>0</v>
      </c>
    </row>
    <row r="167" spans="1:106" x14ac:dyDescent="0.2">
      <c r="A167">
        <f>ROW(Source!A123)</f>
        <v>123</v>
      </c>
      <c r="B167">
        <v>39099382</v>
      </c>
      <c r="C167">
        <v>39100067</v>
      </c>
      <c r="D167">
        <v>37064876</v>
      </c>
      <c r="E167">
        <v>1</v>
      </c>
      <c r="F167">
        <v>1</v>
      </c>
      <c r="G167">
        <v>1</v>
      </c>
      <c r="H167">
        <v>1</v>
      </c>
      <c r="I167" t="s">
        <v>642</v>
      </c>
      <c r="J167" t="s">
        <v>3</v>
      </c>
      <c r="K167" t="s">
        <v>643</v>
      </c>
      <c r="L167">
        <v>1191</v>
      </c>
      <c r="N167">
        <v>1013</v>
      </c>
      <c r="O167" t="s">
        <v>641</v>
      </c>
      <c r="P167" t="s">
        <v>641</v>
      </c>
      <c r="Q167">
        <v>1</v>
      </c>
      <c r="W167">
        <v>0</v>
      </c>
      <c r="X167">
        <v>-1417349443</v>
      </c>
      <c r="Y167">
        <v>0.01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1</v>
      </c>
      <c r="AJ167">
        <v>1</v>
      </c>
      <c r="AK167">
        <v>6.53</v>
      </c>
      <c r="AL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3</v>
      </c>
      <c r="AT167">
        <v>0.01</v>
      </c>
      <c r="AU167" t="s">
        <v>3</v>
      </c>
      <c r="AV167">
        <v>2</v>
      </c>
      <c r="AW167">
        <v>2</v>
      </c>
      <c r="AX167">
        <v>39100077</v>
      </c>
      <c r="AY167">
        <v>1</v>
      </c>
      <c r="AZ167">
        <v>0</v>
      </c>
      <c r="BA167">
        <v>165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Y167*Source!I123</f>
        <v>0.4</v>
      </c>
      <c r="CY167">
        <f>AD167</f>
        <v>0</v>
      </c>
      <c r="CZ167">
        <f>AH167</f>
        <v>0</v>
      </c>
      <c r="DA167">
        <f>AL167</f>
        <v>1</v>
      </c>
      <c r="DB167">
        <v>0</v>
      </c>
    </row>
    <row r="168" spans="1:106" x14ac:dyDescent="0.2">
      <c r="A168">
        <f>ROW(Source!A123)</f>
        <v>123</v>
      </c>
      <c r="B168">
        <v>39099382</v>
      </c>
      <c r="C168">
        <v>39100067</v>
      </c>
      <c r="D168">
        <v>36883554</v>
      </c>
      <c r="E168">
        <v>1</v>
      </c>
      <c r="F168">
        <v>1</v>
      </c>
      <c r="G168">
        <v>1</v>
      </c>
      <c r="H168">
        <v>2</v>
      </c>
      <c r="I168" t="s">
        <v>665</v>
      </c>
      <c r="J168" t="s">
        <v>666</v>
      </c>
      <c r="K168" t="s">
        <v>667</v>
      </c>
      <c r="L168">
        <v>1368</v>
      </c>
      <c r="N168">
        <v>1011</v>
      </c>
      <c r="O168" t="s">
        <v>647</v>
      </c>
      <c r="P168" t="s">
        <v>647</v>
      </c>
      <c r="Q168">
        <v>1</v>
      </c>
      <c r="W168">
        <v>0</v>
      </c>
      <c r="X168">
        <v>1372534845</v>
      </c>
      <c r="Y168">
        <v>0.01</v>
      </c>
      <c r="AA168">
        <v>0</v>
      </c>
      <c r="AB168">
        <v>429.09</v>
      </c>
      <c r="AC168">
        <v>11.6</v>
      </c>
      <c r="AD168">
        <v>0</v>
      </c>
      <c r="AE168">
        <v>0</v>
      </c>
      <c r="AF168">
        <v>65.709999999999994</v>
      </c>
      <c r="AG168">
        <v>11.6</v>
      </c>
      <c r="AH168">
        <v>0</v>
      </c>
      <c r="AI168">
        <v>1</v>
      </c>
      <c r="AJ168">
        <v>6.53</v>
      </c>
      <c r="AK168">
        <v>1</v>
      </c>
      <c r="AL168">
        <v>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3</v>
      </c>
      <c r="AT168">
        <v>0.01</v>
      </c>
      <c r="AU168" t="s">
        <v>3</v>
      </c>
      <c r="AV168">
        <v>0</v>
      </c>
      <c r="AW168">
        <v>2</v>
      </c>
      <c r="AX168">
        <v>39100078</v>
      </c>
      <c r="AY168">
        <v>1</v>
      </c>
      <c r="AZ168">
        <v>0</v>
      </c>
      <c r="BA168">
        <v>166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Y168*Source!I123</f>
        <v>0.4</v>
      </c>
      <c r="CY168">
        <f>AB168</f>
        <v>429.09</v>
      </c>
      <c r="CZ168">
        <f>AF168</f>
        <v>65.709999999999994</v>
      </c>
      <c r="DA168">
        <f>AJ168</f>
        <v>6.53</v>
      </c>
      <c r="DB168">
        <v>0</v>
      </c>
    </row>
    <row r="169" spans="1:106" x14ac:dyDescent="0.2">
      <c r="A169">
        <f>ROW(Source!A123)</f>
        <v>123</v>
      </c>
      <c r="B169">
        <v>39099382</v>
      </c>
      <c r="C169">
        <v>39100067</v>
      </c>
      <c r="D169">
        <v>36883858</v>
      </c>
      <c r="E169">
        <v>1</v>
      </c>
      <c r="F169">
        <v>1</v>
      </c>
      <c r="G169">
        <v>1</v>
      </c>
      <c r="H169">
        <v>2</v>
      </c>
      <c r="I169" t="s">
        <v>783</v>
      </c>
      <c r="J169" t="s">
        <v>784</v>
      </c>
      <c r="K169" t="s">
        <v>785</v>
      </c>
      <c r="L169">
        <v>1368</v>
      </c>
      <c r="N169">
        <v>1011</v>
      </c>
      <c r="O169" t="s">
        <v>647</v>
      </c>
      <c r="P169" t="s">
        <v>647</v>
      </c>
      <c r="Q169">
        <v>1</v>
      </c>
      <c r="W169">
        <v>0</v>
      </c>
      <c r="X169">
        <v>-353815937</v>
      </c>
      <c r="Y169">
        <v>0.35</v>
      </c>
      <c r="AA169">
        <v>0</v>
      </c>
      <c r="AB169">
        <v>52.89</v>
      </c>
      <c r="AC169">
        <v>0</v>
      </c>
      <c r="AD169">
        <v>0</v>
      </c>
      <c r="AE169">
        <v>0</v>
      </c>
      <c r="AF169">
        <v>8.1</v>
      </c>
      <c r="AG169">
        <v>0</v>
      </c>
      <c r="AH169">
        <v>0</v>
      </c>
      <c r="AI169">
        <v>1</v>
      </c>
      <c r="AJ169">
        <v>6.53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3</v>
      </c>
      <c r="AT169">
        <v>0.35</v>
      </c>
      <c r="AU169" t="s">
        <v>3</v>
      </c>
      <c r="AV169">
        <v>0</v>
      </c>
      <c r="AW169">
        <v>2</v>
      </c>
      <c r="AX169">
        <v>39100079</v>
      </c>
      <c r="AY169">
        <v>1</v>
      </c>
      <c r="AZ169">
        <v>0</v>
      </c>
      <c r="BA169">
        <v>167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Y169*Source!I123</f>
        <v>14</v>
      </c>
      <c r="CY169">
        <f>AB169</f>
        <v>52.89</v>
      </c>
      <c r="CZ169">
        <f>AF169</f>
        <v>8.1</v>
      </c>
      <c r="DA169">
        <f>AJ169</f>
        <v>6.53</v>
      </c>
      <c r="DB169">
        <v>0</v>
      </c>
    </row>
    <row r="170" spans="1:106" x14ac:dyDescent="0.2">
      <c r="A170">
        <f>ROW(Source!A123)</f>
        <v>123</v>
      </c>
      <c r="B170">
        <v>39099382</v>
      </c>
      <c r="C170">
        <v>39100067</v>
      </c>
      <c r="D170">
        <v>36799773</v>
      </c>
      <c r="E170">
        <v>1</v>
      </c>
      <c r="F170">
        <v>1</v>
      </c>
      <c r="G170">
        <v>1</v>
      </c>
      <c r="H170">
        <v>3</v>
      </c>
      <c r="I170" t="s">
        <v>786</v>
      </c>
      <c r="J170" t="s">
        <v>787</v>
      </c>
      <c r="K170" t="s">
        <v>788</v>
      </c>
      <c r="L170">
        <v>1356</v>
      </c>
      <c r="N170">
        <v>1010</v>
      </c>
      <c r="O170" t="s">
        <v>690</v>
      </c>
      <c r="P170" t="s">
        <v>690</v>
      </c>
      <c r="Q170">
        <v>1000</v>
      </c>
      <c r="W170">
        <v>0</v>
      </c>
      <c r="X170">
        <v>-1705143825</v>
      </c>
      <c r="Y170">
        <v>2E-3</v>
      </c>
      <c r="AA170">
        <v>22528.5</v>
      </c>
      <c r="AB170">
        <v>0</v>
      </c>
      <c r="AC170">
        <v>0</v>
      </c>
      <c r="AD170">
        <v>0</v>
      </c>
      <c r="AE170">
        <v>3450</v>
      </c>
      <c r="AF170">
        <v>0</v>
      </c>
      <c r="AG170">
        <v>0</v>
      </c>
      <c r="AH170">
        <v>0</v>
      </c>
      <c r="AI170">
        <v>6.53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3</v>
      </c>
      <c r="AT170">
        <v>2E-3</v>
      </c>
      <c r="AU170" t="s">
        <v>3</v>
      </c>
      <c r="AV170">
        <v>0</v>
      </c>
      <c r="AW170">
        <v>2</v>
      </c>
      <c r="AX170">
        <v>39100080</v>
      </c>
      <c r="AY170">
        <v>1</v>
      </c>
      <c r="AZ170">
        <v>0</v>
      </c>
      <c r="BA170">
        <v>168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Y170*Source!I123</f>
        <v>0.08</v>
      </c>
      <c r="CY170">
        <f>AA170</f>
        <v>22528.5</v>
      </c>
      <c r="CZ170">
        <f>AE170</f>
        <v>3450</v>
      </c>
      <c r="DA170">
        <f>AI170</f>
        <v>6.53</v>
      </c>
      <c r="DB170">
        <v>0</v>
      </c>
    </row>
    <row r="171" spans="1:106" x14ac:dyDescent="0.2">
      <c r="A171">
        <f>ROW(Source!A123)</f>
        <v>123</v>
      </c>
      <c r="B171">
        <v>39099382</v>
      </c>
      <c r="C171">
        <v>39100067</v>
      </c>
      <c r="D171">
        <v>36803269</v>
      </c>
      <c r="E171">
        <v>1</v>
      </c>
      <c r="F171">
        <v>1</v>
      </c>
      <c r="G171">
        <v>1</v>
      </c>
      <c r="H171">
        <v>3</v>
      </c>
      <c r="I171" t="s">
        <v>789</v>
      </c>
      <c r="J171" t="s">
        <v>790</v>
      </c>
      <c r="K171" t="s">
        <v>791</v>
      </c>
      <c r="L171">
        <v>1348</v>
      </c>
      <c r="N171">
        <v>1009</v>
      </c>
      <c r="O171" t="s">
        <v>189</v>
      </c>
      <c r="P171" t="s">
        <v>189</v>
      </c>
      <c r="Q171">
        <v>1000</v>
      </c>
      <c r="W171">
        <v>0</v>
      </c>
      <c r="X171">
        <v>-1068056325</v>
      </c>
      <c r="Y171">
        <v>1.3999999999999999E-4</v>
      </c>
      <c r="AA171">
        <v>67663.86</v>
      </c>
      <c r="AB171">
        <v>0</v>
      </c>
      <c r="AC171">
        <v>0</v>
      </c>
      <c r="AD171">
        <v>0</v>
      </c>
      <c r="AE171">
        <v>10362</v>
      </c>
      <c r="AF171">
        <v>0</v>
      </c>
      <c r="AG171">
        <v>0</v>
      </c>
      <c r="AH171">
        <v>0</v>
      </c>
      <c r="AI171">
        <v>6.53</v>
      </c>
      <c r="AJ171">
        <v>1</v>
      </c>
      <c r="AK171">
        <v>1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3</v>
      </c>
      <c r="AT171">
        <v>1.3999999999999999E-4</v>
      </c>
      <c r="AU171" t="s">
        <v>3</v>
      </c>
      <c r="AV171">
        <v>0</v>
      </c>
      <c r="AW171">
        <v>2</v>
      </c>
      <c r="AX171">
        <v>39100081</v>
      </c>
      <c r="AY171">
        <v>1</v>
      </c>
      <c r="AZ171">
        <v>0</v>
      </c>
      <c r="BA171">
        <v>169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Y171*Source!I123</f>
        <v>5.5999999999999991E-3</v>
      </c>
      <c r="CY171">
        <f>AA171</f>
        <v>67663.86</v>
      </c>
      <c r="CZ171">
        <f>AE171</f>
        <v>10362</v>
      </c>
      <c r="DA171">
        <f>AI171</f>
        <v>6.53</v>
      </c>
      <c r="DB171">
        <v>0</v>
      </c>
    </row>
    <row r="172" spans="1:106" x14ac:dyDescent="0.2">
      <c r="A172">
        <f>ROW(Source!A123)</f>
        <v>123</v>
      </c>
      <c r="B172">
        <v>39099382</v>
      </c>
      <c r="C172">
        <v>39100067</v>
      </c>
      <c r="D172">
        <v>36804429</v>
      </c>
      <c r="E172">
        <v>1</v>
      </c>
      <c r="F172">
        <v>1</v>
      </c>
      <c r="G172">
        <v>1</v>
      </c>
      <c r="H172">
        <v>3</v>
      </c>
      <c r="I172" t="s">
        <v>792</v>
      </c>
      <c r="J172" t="s">
        <v>793</v>
      </c>
      <c r="K172" t="s">
        <v>794</v>
      </c>
      <c r="L172">
        <v>1348</v>
      </c>
      <c r="N172">
        <v>1009</v>
      </c>
      <c r="O172" t="s">
        <v>189</v>
      </c>
      <c r="P172" t="s">
        <v>189</v>
      </c>
      <c r="Q172">
        <v>1000</v>
      </c>
      <c r="W172">
        <v>0</v>
      </c>
      <c r="X172">
        <v>56621460</v>
      </c>
      <c r="Y172">
        <v>1.1000000000000001E-3</v>
      </c>
      <c r="AA172">
        <v>100059.19</v>
      </c>
      <c r="AB172">
        <v>0</v>
      </c>
      <c r="AC172">
        <v>0</v>
      </c>
      <c r="AD172">
        <v>0</v>
      </c>
      <c r="AE172">
        <v>15323</v>
      </c>
      <c r="AF172">
        <v>0</v>
      </c>
      <c r="AG172">
        <v>0</v>
      </c>
      <c r="AH172">
        <v>0</v>
      </c>
      <c r="AI172">
        <v>6.53</v>
      </c>
      <c r="AJ172">
        <v>1</v>
      </c>
      <c r="AK172">
        <v>1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3</v>
      </c>
      <c r="AT172">
        <v>1.1000000000000001E-3</v>
      </c>
      <c r="AU172" t="s">
        <v>3</v>
      </c>
      <c r="AV172">
        <v>0</v>
      </c>
      <c r="AW172">
        <v>2</v>
      </c>
      <c r="AX172">
        <v>39100082</v>
      </c>
      <c r="AY172">
        <v>1</v>
      </c>
      <c r="AZ172">
        <v>0</v>
      </c>
      <c r="BA172">
        <v>170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Y172*Source!I123</f>
        <v>4.4000000000000004E-2</v>
      </c>
      <c r="CY172">
        <f>AA172</f>
        <v>100059.19</v>
      </c>
      <c r="CZ172">
        <f>AE172</f>
        <v>15323</v>
      </c>
      <c r="DA172">
        <f>AI172</f>
        <v>6.53</v>
      </c>
      <c r="DB172">
        <v>0</v>
      </c>
    </row>
    <row r="173" spans="1:106" x14ac:dyDescent="0.2">
      <c r="A173">
        <f>ROW(Source!A123)</f>
        <v>123</v>
      </c>
      <c r="B173">
        <v>39099382</v>
      </c>
      <c r="C173">
        <v>39100067</v>
      </c>
      <c r="D173">
        <v>36845049</v>
      </c>
      <c r="E173">
        <v>1</v>
      </c>
      <c r="F173">
        <v>1</v>
      </c>
      <c r="G173">
        <v>1</v>
      </c>
      <c r="H173">
        <v>3</v>
      </c>
      <c r="I173" t="s">
        <v>355</v>
      </c>
      <c r="J173" t="s">
        <v>357</v>
      </c>
      <c r="K173" t="s">
        <v>356</v>
      </c>
      <c r="L173">
        <v>1354</v>
      </c>
      <c r="N173">
        <v>1010</v>
      </c>
      <c r="O173" t="s">
        <v>37</v>
      </c>
      <c r="P173" t="s">
        <v>37</v>
      </c>
      <c r="Q173">
        <v>1</v>
      </c>
      <c r="W173">
        <v>0</v>
      </c>
      <c r="X173">
        <v>898688576</v>
      </c>
      <c r="Y173">
        <v>1</v>
      </c>
      <c r="AA173">
        <v>357.39</v>
      </c>
      <c r="AB173">
        <v>0</v>
      </c>
      <c r="AC173">
        <v>0</v>
      </c>
      <c r="AD173">
        <v>0</v>
      </c>
      <c r="AE173">
        <v>54.73</v>
      </c>
      <c r="AF173">
        <v>0</v>
      </c>
      <c r="AG173">
        <v>0</v>
      </c>
      <c r="AH173">
        <v>0</v>
      </c>
      <c r="AI173">
        <v>6.53</v>
      </c>
      <c r="AJ173">
        <v>1</v>
      </c>
      <c r="AK173">
        <v>1</v>
      </c>
      <c r="AL173">
        <v>1</v>
      </c>
      <c r="AN173">
        <v>0</v>
      </c>
      <c r="AO173">
        <v>0</v>
      </c>
      <c r="AP173">
        <v>0</v>
      </c>
      <c r="AQ173">
        <v>0</v>
      </c>
      <c r="AR173">
        <v>0</v>
      </c>
      <c r="AS173" t="s">
        <v>3</v>
      </c>
      <c r="AT173">
        <v>1</v>
      </c>
      <c r="AU173" t="s">
        <v>3</v>
      </c>
      <c r="AV173">
        <v>0</v>
      </c>
      <c r="AW173">
        <v>1</v>
      </c>
      <c r="AX173">
        <v>-1</v>
      </c>
      <c r="AY173">
        <v>0</v>
      </c>
      <c r="AZ173">
        <v>0</v>
      </c>
      <c r="BA173" t="s">
        <v>3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Y173*Source!I123</f>
        <v>40</v>
      </c>
      <c r="CY173">
        <f>AA173</f>
        <v>357.39</v>
      </c>
      <c r="CZ173">
        <f>AE173</f>
        <v>54.73</v>
      </c>
      <c r="DA173">
        <f>AI173</f>
        <v>6.53</v>
      </c>
      <c r="DB173">
        <v>0</v>
      </c>
    </row>
    <row r="174" spans="1:106" x14ac:dyDescent="0.2">
      <c r="A174">
        <f>ROW(Source!A125)</f>
        <v>125</v>
      </c>
      <c r="B174">
        <v>39099382</v>
      </c>
      <c r="C174">
        <v>39100086</v>
      </c>
      <c r="D174">
        <v>37065248</v>
      </c>
      <c r="E174">
        <v>1</v>
      </c>
      <c r="F174">
        <v>1</v>
      </c>
      <c r="G174">
        <v>1</v>
      </c>
      <c r="H174">
        <v>1</v>
      </c>
      <c r="I174" t="s">
        <v>648</v>
      </c>
      <c r="J174" t="s">
        <v>3</v>
      </c>
      <c r="K174" t="s">
        <v>649</v>
      </c>
      <c r="L174">
        <v>1191</v>
      </c>
      <c r="N174">
        <v>1013</v>
      </c>
      <c r="O174" t="s">
        <v>641</v>
      </c>
      <c r="P174" t="s">
        <v>641</v>
      </c>
      <c r="Q174">
        <v>1</v>
      </c>
      <c r="W174">
        <v>0</v>
      </c>
      <c r="X174">
        <v>-400197608</v>
      </c>
      <c r="Y174">
        <v>15.73</v>
      </c>
      <c r="AA174">
        <v>0</v>
      </c>
      <c r="AB174">
        <v>0</v>
      </c>
      <c r="AC174">
        <v>0</v>
      </c>
      <c r="AD174">
        <v>55.7</v>
      </c>
      <c r="AE174">
        <v>0</v>
      </c>
      <c r="AF174">
        <v>0</v>
      </c>
      <c r="AG174">
        <v>0</v>
      </c>
      <c r="AH174">
        <v>8.5299999999999994</v>
      </c>
      <c r="AI174">
        <v>1</v>
      </c>
      <c r="AJ174">
        <v>1</v>
      </c>
      <c r="AK174">
        <v>1</v>
      </c>
      <c r="AL174">
        <v>6.53</v>
      </c>
      <c r="AN174">
        <v>0</v>
      </c>
      <c r="AO174">
        <v>1</v>
      </c>
      <c r="AP174">
        <v>0</v>
      </c>
      <c r="AQ174">
        <v>0</v>
      </c>
      <c r="AR174">
        <v>0</v>
      </c>
      <c r="AS174" t="s">
        <v>3</v>
      </c>
      <c r="AT174">
        <v>15.73</v>
      </c>
      <c r="AU174" t="s">
        <v>3</v>
      </c>
      <c r="AV174">
        <v>1</v>
      </c>
      <c r="AW174">
        <v>2</v>
      </c>
      <c r="AX174">
        <v>39100088</v>
      </c>
      <c r="AY174">
        <v>1</v>
      </c>
      <c r="AZ174">
        <v>0</v>
      </c>
      <c r="BA174">
        <v>173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Y174*Source!I125</f>
        <v>3.1460000000000004</v>
      </c>
      <c r="CY174">
        <f>AD174</f>
        <v>55.7</v>
      </c>
      <c r="CZ174">
        <f>AH174</f>
        <v>8.5299999999999994</v>
      </c>
      <c r="DA174">
        <f>AL174</f>
        <v>6.53</v>
      </c>
      <c r="DB174">
        <v>0</v>
      </c>
    </row>
    <row r="175" spans="1:106" x14ac:dyDescent="0.2">
      <c r="A175">
        <f>ROW(Source!A161)</f>
        <v>161</v>
      </c>
      <c r="B175">
        <v>39099382</v>
      </c>
      <c r="C175">
        <v>39491310</v>
      </c>
      <c r="D175">
        <v>37070202</v>
      </c>
      <c r="E175">
        <v>1</v>
      </c>
      <c r="F175">
        <v>1</v>
      </c>
      <c r="G175">
        <v>1</v>
      </c>
      <c r="H175">
        <v>1</v>
      </c>
      <c r="I175" t="s">
        <v>717</v>
      </c>
      <c r="J175" t="s">
        <v>3</v>
      </c>
      <c r="K175" t="s">
        <v>718</v>
      </c>
      <c r="L175">
        <v>1191</v>
      </c>
      <c r="N175">
        <v>1013</v>
      </c>
      <c r="O175" t="s">
        <v>641</v>
      </c>
      <c r="P175" t="s">
        <v>641</v>
      </c>
      <c r="Q175">
        <v>1</v>
      </c>
      <c r="W175">
        <v>0</v>
      </c>
      <c r="X175">
        <v>1983201532</v>
      </c>
      <c r="Y175">
        <v>4.8869999999999996</v>
      </c>
      <c r="AA175">
        <v>0</v>
      </c>
      <c r="AB175">
        <v>0</v>
      </c>
      <c r="AC175">
        <v>0</v>
      </c>
      <c r="AD175">
        <v>62.1</v>
      </c>
      <c r="AE175">
        <v>0</v>
      </c>
      <c r="AF175">
        <v>0</v>
      </c>
      <c r="AG175">
        <v>0</v>
      </c>
      <c r="AH175">
        <v>9.51</v>
      </c>
      <c r="AI175">
        <v>1</v>
      </c>
      <c r="AJ175">
        <v>1</v>
      </c>
      <c r="AK175">
        <v>1</v>
      </c>
      <c r="AL175">
        <v>6.53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3</v>
      </c>
      <c r="AT175">
        <v>16.29</v>
      </c>
      <c r="AU175" t="s">
        <v>373</v>
      </c>
      <c r="AV175">
        <v>1</v>
      </c>
      <c r="AW175">
        <v>2</v>
      </c>
      <c r="AX175">
        <v>39491311</v>
      </c>
      <c r="AY175">
        <v>1</v>
      </c>
      <c r="AZ175">
        <v>0</v>
      </c>
      <c r="BA175">
        <v>174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Y175*Source!I161</f>
        <v>0.78191999999999995</v>
      </c>
      <c r="CY175">
        <f>AD175</f>
        <v>62.1</v>
      </c>
      <c r="CZ175">
        <f>AH175</f>
        <v>9.51</v>
      </c>
      <c r="DA175">
        <f>AL175</f>
        <v>6.53</v>
      </c>
      <c r="DB175">
        <v>0</v>
      </c>
    </row>
    <row r="176" spans="1:106" x14ac:dyDescent="0.2">
      <c r="A176">
        <f>ROW(Source!A161)</f>
        <v>161</v>
      </c>
      <c r="B176">
        <v>39099382</v>
      </c>
      <c r="C176">
        <v>39491310</v>
      </c>
      <c r="D176">
        <v>37064876</v>
      </c>
      <c r="E176">
        <v>1</v>
      </c>
      <c r="F176">
        <v>1</v>
      </c>
      <c r="G176">
        <v>1</v>
      </c>
      <c r="H176">
        <v>1</v>
      </c>
      <c r="I176" t="s">
        <v>642</v>
      </c>
      <c r="J176" t="s">
        <v>3</v>
      </c>
      <c r="K176" t="s">
        <v>643</v>
      </c>
      <c r="L176">
        <v>1191</v>
      </c>
      <c r="N176">
        <v>1013</v>
      </c>
      <c r="O176" t="s">
        <v>641</v>
      </c>
      <c r="P176" t="s">
        <v>641</v>
      </c>
      <c r="Q176">
        <v>1</v>
      </c>
      <c r="W176">
        <v>0</v>
      </c>
      <c r="X176">
        <v>-1417349443</v>
      </c>
      <c r="Y176">
        <v>0.01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1</v>
      </c>
      <c r="AJ176">
        <v>1</v>
      </c>
      <c r="AK176">
        <v>6.53</v>
      </c>
      <c r="AL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3</v>
      </c>
      <c r="AT176">
        <v>0.01</v>
      </c>
      <c r="AU176" t="s">
        <v>3</v>
      </c>
      <c r="AV176">
        <v>2</v>
      </c>
      <c r="AW176">
        <v>2</v>
      </c>
      <c r="AX176">
        <v>39491312</v>
      </c>
      <c r="AY176">
        <v>1</v>
      </c>
      <c r="AZ176">
        <v>2048</v>
      </c>
      <c r="BA176">
        <v>175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Y176*Source!I161</f>
        <v>1.6000000000000001E-3</v>
      </c>
      <c r="CY176">
        <f>AD176</f>
        <v>0</v>
      </c>
      <c r="CZ176">
        <f>AH176</f>
        <v>0</v>
      </c>
      <c r="DA176">
        <f>AL176</f>
        <v>1</v>
      </c>
      <c r="DB176">
        <v>0</v>
      </c>
    </row>
    <row r="177" spans="1:106" x14ac:dyDescent="0.2">
      <c r="A177">
        <f>ROW(Source!A161)</f>
        <v>161</v>
      </c>
      <c r="B177">
        <v>39099382</v>
      </c>
      <c r="C177">
        <v>39491310</v>
      </c>
      <c r="D177">
        <v>36882452</v>
      </c>
      <c r="E177">
        <v>1</v>
      </c>
      <c r="F177">
        <v>1</v>
      </c>
      <c r="G177">
        <v>1</v>
      </c>
      <c r="H177">
        <v>2</v>
      </c>
      <c r="I177" t="s">
        <v>644</v>
      </c>
      <c r="J177" t="s">
        <v>645</v>
      </c>
      <c r="K177" t="s">
        <v>646</v>
      </c>
      <c r="L177">
        <v>1368</v>
      </c>
      <c r="N177">
        <v>1011</v>
      </c>
      <c r="O177" t="s">
        <v>647</v>
      </c>
      <c r="P177" t="s">
        <v>647</v>
      </c>
      <c r="Q177">
        <v>1</v>
      </c>
      <c r="W177">
        <v>0</v>
      </c>
      <c r="X177">
        <v>1188625873</v>
      </c>
      <c r="Y177">
        <v>3.0000000000000001E-3</v>
      </c>
      <c r="AA177">
        <v>0</v>
      </c>
      <c r="AB177">
        <v>204.13</v>
      </c>
      <c r="AC177">
        <v>13.5</v>
      </c>
      <c r="AD177">
        <v>0</v>
      </c>
      <c r="AE177">
        <v>0</v>
      </c>
      <c r="AF177">
        <v>31.26</v>
      </c>
      <c r="AG177">
        <v>13.5</v>
      </c>
      <c r="AH177">
        <v>0</v>
      </c>
      <c r="AI177">
        <v>1</v>
      </c>
      <c r="AJ177">
        <v>6.53</v>
      </c>
      <c r="AK177">
        <v>1</v>
      </c>
      <c r="AL177">
        <v>1</v>
      </c>
      <c r="AN177">
        <v>0</v>
      </c>
      <c r="AO177">
        <v>1</v>
      </c>
      <c r="AP177">
        <v>1</v>
      </c>
      <c r="AQ177">
        <v>0</v>
      </c>
      <c r="AR177">
        <v>0</v>
      </c>
      <c r="AS177" t="s">
        <v>3</v>
      </c>
      <c r="AT177">
        <v>0.01</v>
      </c>
      <c r="AU177" t="s">
        <v>373</v>
      </c>
      <c r="AV177">
        <v>0</v>
      </c>
      <c r="AW177">
        <v>2</v>
      </c>
      <c r="AX177">
        <v>39491313</v>
      </c>
      <c r="AY177">
        <v>1</v>
      </c>
      <c r="AZ177">
        <v>0</v>
      </c>
      <c r="BA177">
        <v>176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Y177*Source!I161</f>
        <v>4.8000000000000001E-4</v>
      </c>
      <c r="CY177">
        <f>AB177</f>
        <v>204.13</v>
      </c>
      <c r="CZ177">
        <f>AF177</f>
        <v>31.26</v>
      </c>
      <c r="DA177">
        <f>AJ177</f>
        <v>6.53</v>
      </c>
      <c r="DB177">
        <v>0</v>
      </c>
    </row>
    <row r="178" spans="1:106" x14ac:dyDescent="0.2">
      <c r="A178">
        <f>ROW(Source!A161)</f>
        <v>161</v>
      </c>
      <c r="B178">
        <v>39099382</v>
      </c>
      <c r="C178">
        <v>39491310</v>
      </c>
      <c r="D178">
        <v>36804582</v>
      </c>
      <c r="E178">
        <v>1</v>
      </c>
      <c r="F178">
        <v>1</v>
      </c>
      <c r="G178">
        <v>1</v>
      </c>
      <c r="H178">
        <v>3</v>
      </c>
      <c r="I178" t="s">
        <v>795</v>
      </c>
      <c r="J178" t="s">
        <v>796</v>
      </c>
      <c r="K178" t="s">
        <v>797</v>
      </c>
      <c r="L178">
        <v>1356</v>
      </c>
      <c r="N178">
        <v>1010</v>
      </c>
      <c r="O178" t="s">
        <v>690</v>
      </c>
      <c r="P178" t="s">
        <v>690</v>
      </c>
      <c r="Q178">
        <v>1000</v>
      </c>
      <c r="W178">
        <v>0</v>
      </c>
      <c r="X178">
        <v>1975348994</v>
      </c>
      <c r="Y178">
        <v>0</v>
      </c>
      <c r="AA178">
        <v>1175.4000000000001</v>
      </c>
      <c r="AB178">
        <v>0</v>
      </c>
      <c r="AC178">
        <v>0</v>
      </c>
      <c r="AD178">
        <v>0</v>
      </c>
      <c r="AE178">
        <v>180</v>
      </c>
      <c r="AF178">
        <v>0</v>
      </c>
      <c r="AG178">
        <v>0</v>
      </c>
      <c r="AH178">
        <v>0</v>
      </c>
      <c r="AI178">
        <v>6.53</v>
      </c>
      <c r="AJ178">
        <v>1</v>
      </c>
      <c r="AK178">
        <v>1</v>
      </c>
      <c r="AL178">
        <v>1</v>
      </c>
      <c r="AN178">
        <v>0</v>
      </c>
      <c r="AO178">
        <v>1</v>
      </c>
      <c r="AP178">
        <v>1</v>
      </c>
      <c r="AQ178">
        <v>0</v>
      </c>
      <c r="AR178">
        <v>0</v>
      </c>
      <c r="AS178" t="s">
        <v>3</v>
      </c>
      <c r="AT178">
        <v>0.2</v>
      </c>
      <c r="AU178" t="s">
        <v>210</v>
      </c>
      <c r="AV178">
        <v>0</v>
      </c>
      <c r="AW178">
        <v>2</v>
      </c>
      <c r="AX178">
        <v>39491314</v>
      </c>
      <c r="AY178">
        <v>1</v>
      </c>
      <c r="AZ178">
        <v>0</v>
      </c>
      <c r="BA178">
        <v>177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Y178*Source!I161</f>
        <v>0</v>
      </c>
      <c r="CY178">
        <f>AA178</f>
        <v>1175.4000000000001</v>
      </c>
      <c r="CZ178">
        <f>AE178</f>
        <v>180</v>
      </c>
      <c r="DA178">
        <f>AI178</f>
        <v>6.53</v>
      </c>
      <c r="DB178">
        <v>0</v>
      </c>
    </row>
    <row r="179" spans="1:106" x14ac:dyDescent="0.2">
      <c r="A179">
        <f>ROW(Source!A161)</f>
        <v>161</v>
      </c>
      <c r="B179">
        <v>39099382</v>
      </c>
      <c r="C179">
        <v>39491310</v>
      </c>
      <c r="D179">
        <v>36804944</v>
      </c>
      <c r="E179">
        <v>1</v>
      </c>
      <c r="F179">
        <v>1</v>
      </c>
      <c r="G179">
        <v>1</v>
      </c>
      <c r="H179">
        <v>3</v>
      </c>
      <c r="I179" t="s">
        <v>798</v>
      </c>
      <c r="J179" t="s">
        <v>799</v>
      </c>
      <c r="K179" t="s">
        <v>800</v>
      </c>
      <c r="L179">
        <v>1348</v>
      </c>
      <c r="N179">
        <v>1009</v>
      </c>
      <c r="O179" t="s">
        <v>189</v>
      </c>
      <c r="P179" t="s">
        <v>189</v>
      </c>
      <c r="Q179">
        <v>1000</v>
      </c>
      <c r="W179">
        <v>0</v>
      </c>
      <c r="X179">
        <v>-1755229539</v>
      </c>
      <c r="Y179">
        <v>0</v>
      </c>
      <c r="AA179">
        <v>81167.899999999994</v>
      </c>
      <c r="AB179">
        <v>0</v>
      </c>
      <c r="AC179">
        <v>0</v>
      </c>
      <c r="AD179">
        <v>0</v>
      </c>
      <c r="AE179">
        <v>12430</v>
      </c>
      <c r="AF179">
        <v>0</v>
      </c>
      <c r="AG179">
        <v>0</v>
      </c>
      <c r="AH179">
        <v>0</v>
      </c>
      <c r="AI179">
        <v>6.53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1</v>
      </c>
      <c r="AQ179">
        <v>0</v>
      </c>
      <c r="AR179">
        <v>0</v>
      </c>
      <c r="AS179" t="s">
        <v>3</v>
      </c>
      <c r="AT179">
        <v>1E-3</v>
      </c>
      <c r="AU179" t="s">
        <v>210</v>
      </c>
      <c r="AV179">
        <v>0</v>
      </c>
      <c r="AW179">
        <v>2</v>
      </c>
      <c r="AX179">
        <v>39491315</v>
      </c>
      <c r="AY179">
        <v>1</v>
      </c>
      <c r="AZ179">
        <v>0</v>
      </c>
      <c r="BA179">
        <v>178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Y179*Source!I161</f>
        <v>0</v>
      </c>
      <c r="CY179">
        <f>AA179</f>
        <v>81167.899999999994</v>
      </c>
      <c r="CZ179">
        <f>AE179</f>
        <v>12430</v>
      </c>
      <c r="DA179">
        <f>AI179</f>
        <v>6.53</v>
      </c>
      <c r="DB179">
        <v>0</v>
      </c>
    </row>
    <row r="180" spans="1:106" x14ac:dyDescent="0.2">
      <c r="A180">
        <f>ROW(Source!A161)</f>
        <v>161</v>
      </c>
      <c r="B180">
        <v>39099382</v>
      </c>
      <c r="C180">
        <v>39491310</v>
      </c>
      <c r="D180">
        <v>36799065</v>
      </c>
      <c r="E180">
        <v>17</v>
      </c>
      <c r="F180">
        <v>1</v>
      </c>
      <c r="G180">
        <v>1</v>
      </c>
      <c r="H180">
        <v>3</v>
      </c>
      <c r="I180" t="s">
        <v>801</v>
      </c>
      <c r="J180" t="s">
        <v>3</v>
      </c>
      <c r="K180" t="s">
        <v>802</v>
      </c>
      <c r="L180">
        <v>1374</v>
      </c>
      <c r="N180">
        <v>1013</v>
      </c>
      <c r="O180" t="s">
        <v>803</v>
      </c>
      <c r="P180" t="s">
        <v>803</v>
      </c>
      <c r="Q180">
        <v>1</v>
      </c>
      <c r="W180">
        <v>0</v>
      </c>
      <c r="X180">
        <v>-1731369543</v>
      </c>
      <c r="Y180">
        <v>0</v>
      </c>
      <c r="AA180">
        <v>1</v>
      </c>
      <c r="AB180">
        <v>0</v>
      </c>
      <c r="AC180">
        <v>0</v>
      </c>
      <c r="AD180">
        <v>0</v>
      </c>
      <c r="AE180">
        <v>1</v>
      </c>
      <c r="AF180">
        <v>0</v>
      </c>
      <c r="AG180">
        <v>0</v>
      </c>
      <c r="AH180">
        <v>0</v>
      </c>
      <c r="AI180">
        <v>1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1</v>
      </c>
      <c r="AQ180">
        <v>0</v>
      </c>
      <c r="AR180">
        <v>0</v>
      </c>
      <c r="AS180" t="s">
        <v>3</v>
      </c>
      <c r="AT180">
        <v>3.1</v>
      </c>
      <c r="AU180" t="s">
        <v>210</v>
      </c>
      <c r="AV180">
        <v>0</v>
      </c>
      <c r="AW180">
        <v>2</v>
      </c>
      <c r="AX180">
        <v>39491316</v>
      </c>
      <c r="AY180">
        <v>1</v>
      </c>
      <c r="AZ180">
        <v>0</v>
      </c>
      <c r="BA180">
        <v>179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Y180*Source!I161</f>
        <v>0</v>
      </c>
      <c r="CY180">
        <f>AA180</f>
        <v>1</v>
      </c>
      <c r="CZ180">
        <f>AE180</f>
        <v>1</v>
      </c>
      <c r="DA180">
        <f>AI180</f>
        <v>1</v>
      </c>
      <c r="DB180">
        <v>0</v>
      </c>
    </row>
    <row r="181" spans="1:106" x14ac:dyDescent="0.2">
      <c r="A181">
        <f>ROW(Source!A162)</f>
        <v>162</v>
      </c>
      <c r="B181">
        <v>39099382</v>
      </c>
      <c r="C181">
        <v>39491317</v>
      </c>
      <c r="D181">
        <v>37080781</v>
      </c>
      <c r="E181">
        <v>1</v>
      </c>
      <c r="F181">
        <v>1</v>
      </c>
      <c r="G181">
        <v>1</v>
      </c>
      <c r="H181">
        <v>1</v>
      </c>
      <c r="I181" t="s">
        <v>804</v>
      </c>
      <c r="J181" t="s">
        <v>3</v>
      </c>
      <c r="K181" t="s">
        <v>805</v>
      </c>
      <c r="L181">
        <v>1191</v>
      </c>
      <c r="N181">
        <v>1013</v>
      </c>
      <c r="O181" t="s">
        <v>641</v>
      </c>
      <c r="P181" t="s">
        <v>641</v>
      </c>
      <c r="Q181">
        <v>1</v>
      </c>
      <c r="W181">
        <v>0</v>
      </c>
      <c r="X181">
        <v>912892513</v>
      </c>
      <c r="Y181">
        <v>44.4</v>
      </c>
      <c r="AA181">
        <v>0</v>
      </c>
      <c r="AB181">
        <v>0</v>
      </c>
      <c r="AC181">
        <v>0</v>
      </c>
      <c r="AD181">
        <v>64.78</v>
      </c>
      <c r="AE181">
        <v>0</v>
      </c>
      <c r="AF181">
        <v>0</v>
      </c>
      <c r="AG181">
        <v>0</v>
      </c>
      <c r="AH181">
        <v>9.92</v>
      </c>
      <c r="AI181">
        <v>1</v>
      </c>
      <c r="AJ181">
        <v>1</v>
      </c>
      <c r="AK181">
        <v>1</v>
      </c>
      <c r="AL181">
        <v>6.53</v>
      </c>
      <c r="AN181">
        <v>0</v>
      </c>
      <c r="AO181">
        <v>1</v>
      </c>
      <c r="AP181">
        <v>1</v>
      </c>
      <c r="AQ181">
        <v>0</v>
      </c>
      <c r="AR181">
        <v>0</v>
      </c>
      <c r="AS181" t="s">
        <v>3</v>
      </c>
      <c r="AT181">
        <v>148</v>
      </c>
      <c r="AU181" t="s">
        <v>373</v>
      </c>
      <c r="AV181">
        <v>1</v>
      </c>
      <c r="AW181">
        <v>2</v>
      </c>
      <c r="AX181">
        <v>39491318</v>
      </c>
      <c r="AY181">
        <v>1</v>
      </c>
      <c r="AZ181">
        <v>0</v>
      </c>
      <c r="BA181">
        <v>180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Y181*Source!I162</f>
        <v>39.96</v>
      </c>
      <c r="CY181">
        <f>AD181</f>
        <v>64.78</v>
      </c>
      <c r="CZ181">
        <f>AH181</f>
        <v>9.92</v>
      </c>
      <c r="DA181">
        <f>AL181</f>
        <v>6.53</v>
      </c>
      <c r="DB181">
        <v>0</v>
      </c>
    </row>
    <row r="182" spans="1:106" x14ac:dyDescent="0.2">
      <c r="A182">
        <f>ROW(Source!A162)</f>
        <v>162</v>
      </c>
      <c r="B182">
        <v>39099382</v>
      </c>
      <c r="C182">
        <v>39491317</v>
      </c>
      <c r="D182">
        <v>37064876</v>
      </c>
      <c r="E182">
        <v>1</v>
      </c>
      <c r="F182">
        <v>1</v>
      </c>
      <c r="G182">
        <v>1</v>
      </c>
      <c r="H182">
        <v>1</v>
      </c>
      <c r="I182" t="s">
        <v>642</v>
      </c>
      <c r="J182" t="s">
        <v>3</v>
      </c>
      <c r="K182" t="s">
        <v>643</v>
      </c>
      <c r="L182">
        <v>1191</v>
      </c>
      <c r="N182">
        <v>1013</v>
      </c>
      <c r="O182" t="s">
        <v>641</v>
      </c>
      <c r="P182" t="s">
        <v>641</v>
      </c>
      <c r="Q182">
        <v>1</v>
      </c>
      <c r="W182">
        <v>0</v>
      </c>
      <c r="X182">
        <v>-1417349443</v>
      </c>
      <c r="Y182">
        <v>0.6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1</v>
      </c>
      <c r="AJ182">
        <v>1</v>
      </c>
      <c r="AK182">
        <v>6.53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3</v>
      </c>
      <c r="AT182">
        <v>0.6</v>
      </c>
      <c r="AU182" t="s">
        <v>3</v>
      </c>
      <c r="AV182">
        <v>2</v>
      </c>
      <c r="AW182">
        <v>2</v>
      </c>
      <c r="AX182">
        <v>39491319</v>
      </c>
      <c r="AY182">
        <v>1</v>
      </c>
      <c r="AZ182">
        <v>2048</v>
      </c>
      <c r="BA182">
        <v>181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Y182*Source!I162</f>
        <v>0.54</v>
      </c>
      <c r="CY182">
        <f>AD182</f>
        <v>0</v>
      </c>
      <c r="CZ182">
        <f>AH182</f>
        <v>0</v>
      </c>
      <c r="DA182">
        <f>AL182</f>
        <v>1</v>
      </c>
      <c r="DB182">
        <v>0</v>
      </c>
    </row>
    <row r="183" spans="1:106" x14ac:dyDescent="0.2">
      <c r="A183">
        <f>ROW(Source!A162)</f>
        <v>162</v>
      </c>
      <c r="B183">
        <v>39099382</v>
      </c>
      <c r="C183">
        <v>39491317</v>
      </c>
      <c r="D183">
        <v>36882159</v>
      </c>
      <c r="E183">
        <v>1</v>
      </c>
      <c r="F183">
        <v>1</v>
      </c>
      <c r="G183">
        <v>1</v>
      </c>
      <c r="H183">
        <v>2</v>
      </c>
      <c r="I183" t="s">
        <v>765</v>
      </c>
      <c r="J183" t="s">
        <v>766</v>
      </c>
      <c r="K183" t="s">
        <v>767</v>
      </c>
      <c r="L183">
        <v>1368</v>
      </c>
      <c r="N183">
        <v>1011</v>
      </c>
      <c r="O183" t="s">
        <v>647</v>
      </c>
      <c r="P183" t="s">
        <v>647</v>
      </c>
      <c r="Q183">
        <v>1</v>
      </c>
      <c r="W183">
        <v>0</v>
      </c>
      <c r="X183">
        <v>-1718674368</v>
      </c>
      <c r="Y183">
        <v>0.09</v>
      </c>
      <c r="AA183">
        <v>0</v>
      </c>
      <c r="AB183">
        <v>731.29</v>
      </c>
      <c r="AC183">
        <v>13.5</v>
      </c>
      <c r="AD183">
        <v>0</v>
      </c>
      <c r="AE183">
        <v>0</v>
      </c>
      <c r="AF183">
        <v>111.99</v>
      </c>
      <c r="AG183">
        <v>13.5</v>
      </c>
      <c r="AH183">
        <v>0</v>
      </c>
      <c r="AI183">
        <v>1</v>
      </c>
      <c r="AJ183">
        <v>6.53</v>
      </c>
      <c r="AK183">
        <v>1</v>
      </c>
      <c r="AL183">
        <v>1</v>
      </c>
      <c r="AN183">
        <v>0</v>
      </c>
      <c r="AO183">
        <v>1</v>
      </c>
      <c r="AP183">
        <v>1</v>
      </c>
      <c r="AQ183">
        <v>0</v>
      </c>
      <c r="AR183">
        <v>0</v>
      </c>
      <c r="AS183" t="s">
        <v>3</v>
      </c>
      <c r="AT183">
        <v>0.3</v>
      </c>
      <c r="AU183" t="s">
        <v>373</v>
      </c>
      <c r="AV183">
        <v>0</v>
      </c>
      <c r="AW183">
        <v>2</v>
      </c>
      <c r="AX183">
        <v>39491320</v>
      </c>
      <c r="AY183">
        <v>1</v>
      </c>
      <c r="AZ183">
        <v>0</v>
      </c>
      <c r="BA183">
        <v>182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Y183*Source!I162</f>
        <v>8.1000000000000003E-2</v>
      </c>
      <c r="CY183">
        <f>AB183</f>
        <v>731.29</v>
      </c>
      <c r="CZ183">
        <f>AF183</f>
        <v>111.99</v>
      </c>
      <c r="DA183">
        <f>AJ183</f>
        <v>6.53</v>
      </c>
      <c r="DB183">
        <v>0</v>
      </c>
    </row>
    <row r="184" spans="1:106" x14ac:dyDescent="0.2">
      <c r="A184">
        <f>ROW(Source!A162)</f>
        <v>162</v>
      </c>
      <c r="B184">
        <v>39099382</v>
      </c>
      <c r="C184">
        <v>39491317</v>
      </c>
      <c r="D184">
        <v>36883554</v>
      </c>
      <c r="E184">
        <v>1</v>
      </c>
      <c r="F184">
        <v>1</v>
      </c>
      <c r="G184">
        <v>1</v>
      </c>
      <c r="H184">
        <v>2</v>
      </c>
      <c r="I184" t="s">
        <v>665</v>
      </c>
      <c r="J184" t="s">
        <v>666</v>
      </c>
      <c r="K184" t="s">
        <v>667</v>
      </c>
      <c r="L184">
        <v>1368</v>
      </c>
      <c r="N184">
        <v>1011</v>
      </c>
      <c r="O184" t="s">
        <v>647</v>
      </c>
      <c r="P184" t="s">
        <v>647</v>
      </c>
      <c r="Q184">
        <v>1</v>
      </c>
      <c r="W184">
        <v>0</v>
      </c>
      <c r="X184">
        <v>1372534845</v>
      </c>
      <c r="Y184">
        <v>0.09</v>
      </c>
      <c r="AA184">
        <v>0</v>
      </c>
      <c r="AB184">
        <v>429.09</v>
      </c>
      <c r="AC184">
        <v>11.6</v>
      </c>
      <c r="AD184">
        <v>0</v>
      </c>
      <c r="AE184">
        <v>0</v>
      </c>
      <c r="AF184">
        <v>65.709999999999994</v>
      </c>
      <c r="AG184">
        <v>11.6</v>
      </c>
      <c r="AH184">
        <v>0</v>
      </c>
      <c r="AI184">
        <v>1</v>
      </c>
      <c r="AJ184">
        <v>6.53</v>
      </c>
      <c r="AK184">
        <v>1</v>
      </c>
      <c r="AL184">
        <v>1</v>
      </c>
      <c r="AN184">
        <v>0</v>
      </c>
      <c r="AO184">
        <v>1</v>
      </c>
      <c r="AP184">
        <v>1</v>
      </c>
      <c r="AQ184">
        <v>0</v>
      </c>
      <c r="AR184">
        <v>0</v>
      </c>
      <c r="AS184" t="s">
        <v>3</v>
      </c>
      <c r="AT184">
        <v>0.3</v>
      </c>
      <c r="AU184" t="s">
        <v>373</v>
      </c>
      <c r="AV184">
        <v>0</v>
      </c>
      <c r="AW184">
        <v>2</v>
      </c>
      <c r="AX184">
        <v>39491321</v>
      </c>
      <c r="AY184">
        <v>1</v>
      </c>
      <c r="AZ184">
        <v>0</v>
      </c>
      <c r="BA184">
        <v>183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Y184*Source!I162</f>
        <v>8.1000000000000003E-2</v>
      </c>
      <c r="CY184">
        <f>AB184</f>
        <v>429.09</v>
      </c>
      <c r="CZ184">
        <f>AF184</f>
        <v>65.709999999999994</v>
      </c>
      <c r="DA184">
        <f>AJ184</f>
        <v>6.53</v>
      </c>
      <c r="DB184">
        <v>0</v>
      </c>
    </row>
    <row r="185" spans="1:106" x14ac:dyDescent="0.2">
      <c r="A185">
        <f>ROW(Source!A162)</f>
        <v>162</v>
      </c>
      <c r="B185">
        <v>39099382</v>
      </c>
      <c r="C185">
        <v>39491317</v>
      </c>
      <c r="D185">
        <v>36806488</v>
      </c>
      <c r="E185">
        <v>1</v>
      </c>
      <c r="F185">
        <v>1</v>
      </c>
      <c r="G185">
        <v>1</v>
      </c>
      <c r="H185">
        <v>3</v>
      </c>
      <c r="I185" t="s">
        <v>653</v>
      </c>
      <c r="J185" t="s">
        <v>654</v>
      </c>
      <c r="K185" t="s">
        <v>655</v>
      </c>
      <c r="L185">
        <v>1348</v>
      </c>
      <c r="N185">
        <v>1009</v>
      </c>
      <c r="O185" t="s">
        <v>189</v>
      </c>
      <c r="P185" t="s">
        <v>189</v>
      </c>
      <c r="Q185">
        <v>1000</v>
      </c>
      <c r="W185">
        <v>0</v>
      </c>
      <c r="X185">
        <v>-1421715385</v>
      </c>
      <c r="Y185">
        <v>0</v>
      </c>
      <c r="AA185">
        <v>4766.7700000000004</v>
      </c>
      <c r="AB185">
        <v>0</v>
      </c>
      <c r="AC185">
        <v>0</v>
      </c>
      <c r="AD185">
        <v>0</v>
      </c>
      <c r="AE185">
        <v>729.98</v>
      </c>
      <c r="AF185">
        <v>0</v>
      </c>
      <c r="AG185">
        <v>0</v>
      </c>
      <c r="AH185">
        <v>0</v>
      </c>
      <c r="AI185">
        <v>6.53</v>
      </c>
      <c r="AJ185">
        <v>1</v>
      </c>
      <c r="AK185">
        <v>1</v>
      </c>
      <c r="AL185">
        <v>1</v>
      </c>
      <c r="AN185">
        <v>0</v>
      </c>
      <c r="AO185">
        <v>1</v>
      </c>
      <c r="AP185">
        <v>1</v>
      </c>
      <c r="AQ185">
        <v>0</v>
      </c>
      <c r="AR185">
        <v>0</v>
      </c>
      <c r="AS185" t="s">
        <v>3</v>
      </c>
      <c r="AT185">
        <v>3.15E-3</v>
      </c>
      <c r="AU185" t="s">
        <v>210</v>
      </c>
      <c r="AV185">
        <v>0</v>
      </c>
      <c r="AW185">
        <v>2</v>
      </c>
      <c r="AX185">
        <v>39491322</v>
      </c>
      <c r="AY185">
        <v>1</v>
      </c>
      <c r="AZ185">
        <v>0</v>
      </c>
      <c r="BA185">
        <v>184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Y185*Source!I162</f>
        <v>0</v>
      </c>
      <c r="CY185">
        <f>AA185</f>
        <v>4766.7700000000004</v>
      </c>
      <c r="CZ185">
        <f>AE185</f>
        <v>729.98</v>
      </c>
      <c r="DA185">
        <f>AI185</f>
        <v>6.53</v>
      </c>
      <c r="DB185">
        <v>0</v>
      </c>
    </row>
    <row r="186" spans="1:106" x14ac:dyDescent="0.2">
      <c r="A186">
        <f>ROW(Source!A162)</f>
        <v>162</v>
      </c>
      <c r="B186">
        <v>39099382</v>
      </c>
      <c r="C186">
        <v>39491317</v>
      </c>
      <c r="D186">
        <v>36867794</v>
      </c>
      <c r="E186">
        <v>1</v>
      </c>
      <c r="F186">
        <v>1</v>
      </c>
      <c r="G186">
        <v>1</v>
      </c>
      <c r="H186">
        <v>3</v>
      </c>
      <c r="I186" t="s">
        <v>806</v>
      </c>
      <c r="J186" t="s">
        <v>807</v>
      </c>
      <c r="K186" t="s">
        <v>808</v>
      </c>
      <c r="L186">
        <v>1346</v>
      </c>
      <c r="N186">
        <v>1009</v>
      </c>
      <c r="O186" t="s">
        <v>97</v>
      </c>
      <c r="P186" t="s">
        <v>97</v>
      </c>
      <c r="Q186">
        <v>1</v>
      </c>
      <c r="W186">
        <v>0</v>
      </c>
      <c r="X186">
        <v>1584075688</v>
      </c>
      <c r="Y186">
        <v>0</v>
      </c>
      <c r="AA186">
        <v>233.12</v>
      </c>
      <c r="AB186">
        <v>0</v>
      </c>
      <c r="AC186">
        <v>0</v>
      </c>
      <c r="AD186">
        <v>0</v>
      </c>
      <c r="AE186">
        <v>35.700000000000003</v>
      </c>
      <c r="AF186">
        <v>0</v>
      </c>
      <c r="AG186">
        <v>0</v>
      </c>
      <c r="AH186">
        <v>0</v>
      </c>
      <c r="AI186">
        <v>6.53</v>
      </c>
      <c r="AJ186">
        <v>1</v>
      </c>
      <c r="AK186">
        <v>1</v>
      </c>
      <c r="AL186">
        <v>1</v>
      </c>
      <c r="AN186">
        <v>0</v>
      </c>
      <c r="AO186">
        <v>1</v>
      </c>
      <c r="AP186">
        <v>1</v>
      </c>
      <c r="AQ186">
        <v>0</v>
      </c>
      <c r="AR186">
        <v>0</v>
      </c>
      <c r="AS186" t="s">
        <v>3</v>
      </c>
      <c r="AT186">
        <v>3.09</v>
      </c>
      <c r="AU186" t="s">
        <v>210</v>
      </c>
      <c r="AV186">
        <v>0</v>
      </c>
      <c r="AW186">
        <v>2</v>
      </c>
      <c r="AX186">
        <v>39491323</v>
      </c>
      <c r="AY186">
        <v>1</v>
      </c>
      <c r="AZ186">
        <v>0</v>
      </c>
      <c r="BA186">
        <v>185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Y186*Source!I162</f>
        <v>0</v>
      </c>
      <c r="CY186">
        <f>AA186</f>
        <v>233.12</v>
      </c>
      <c r="CZ186">
        <f>AE186</f>
        <v>35.700000000000003</v>
      </c>
      <c r="DA186">
        <f>AI186</f>
        <v>6.53</v>
      </c>
      <c r="DB186">
        <v>0</v>
      </c>
    </row>
    <row r="187" spans="1:106" x14ac:dyDescent="0.2">
      <c r="A187">
        <f>ROW(Source!A162)</f>
        <v>162</v>
      </c>
      <c r="B187">
        <v>39099382</v>
      </c>
      <c r="C187">
        <v>39491317</v>
      </c>
      <c r="D187">
        <v>36799065</v>
      </c>
      <c r="E187">
        <v>17</v>
      </c>
      <c r="F187">
        <v>1</v>
      </c>
      <c r="G187">
        <v>1</v>
      </c>
      <c r="H187">
        <v>3</v>
      </c>
      <c r="I187" t="s">
        <v>801</v>
      </c>
      <c r="J187" t="s">
        <v>3</v>
      </c>
      <c r="K187" t="s">
        <v>802</v>
      </c>
      <c r="L187">
        <v>1374</v>
      </c>
      <c r="N187">
        <v>1013</v>
      </c>
      <c r="O187" t="s">
        <v>803</v>
      </c>
      <c r="P187" t="s">
        <v>803</v>
      </c>
      <c r="Q187">
        <v>1</v>
      </c>
      <c r="W187">
        <v>0</v>
      </c>
      <c r="X187">
        <v>-1731369543</v>
      </c>
      <c r="Y187">
        <v>0</v>
      </c>
      <c r="AA187">
        <v>1</v>
      </c>
      <c r="AB187">
        <v>0</v>
      </c>
      <c r="AC187">
        <v>0</v>
      </c>
      <c r="AD187">
        <v>0</v>
      </c>
      <c r="AE187">
        <v>1</v>
      </c>
      <c r="AF187">
        <v>0</v>
      </c>
      <c r="AG187">
        <v>0</v>
      </c>
      <c r="AH187">
        <v>0</v>
      </c>
      <c r="AI187">
        <v>1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3</v>
      </c>
      <c r="AT187">
        <v>29.36</v>
      </c>
      <c r="AU187" t="s">
        <v>210</v>
      </c>
      <c r="AV187">
        <v>0</v>
      </c>
      <c r="AW187">
        <v>2</v>
      </c>
      <c r="AX187">
        <v>39491324</v>
      </c>
      <c r="AY187">
        <v>1</v>
      </c>
      <c r="AZ187">
        <v>0</v>
      </c>
      <c r="BA187">
        <v>186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Y187*Source!I162</f>
        <v>0</v>
      </c>
      <c r="CY187">
        <f>AA187</f>
        <v>1</v>
      </c>
      <c r="CZ187">
        <f>AE187</f>
        <v>1</v>
      </c>
      <c r="DA187">
        <f>AI187</f>
        <v>1</v>
      </c>
      <c r="DB187">
        <v>0</v>
      </c>
    </row>
    <row r="188" spans="1:106" x14ac:dyDescent="0.2">
      <c r="A188">
        <f>ROW(Source!A163)</f>
        <v>163</v>
      </c>
      <c r="B188">
        <v>39099382</v>
      </c>
      <c r="C188">
        <v>39491326</v>
      </c>
      <c r="D188">
        <v>37070244</v>
      </c>
      <c r="E188">
        <v>1</v>
      </c>
      <c r="F188">
        <v>1</v>
      </c>
      <c r="G188">
        <v>1</v>
      </c>
      <c r="H188">
        <v>1</v>
      </c>
      <c r="I188" t="s">
        <v>809</v>
      </c>
      <c r="J188" t="s">
        <v>3</v>
      </c>
      <c r="K188" t="s">
        <v>810</v>
      </c>
      <c r="L188">
        <v>1191</v>
      </c>
      <c r="N188">
        <v>1013</v>
      </c>
      <c r="O188" t="s">
        <v>641</v>
      </c>
      <c r="P188" t="s">
        <v>641</v>
      </c>
      <c r="Q188">
        <v>1</v>
      </c>
      <c r="W188">
        <v>0</v>
      </c>
      <c r="X188">
        <v>1627947075</v>
      </c>
      <c r="Y188">
        <v>1.2539999999999998</v>
      </c>
      <c r="AA188">
        <v>0</v>
      </c>
      <c r="AB188">
        <v>0</v>
      </c>
      <c r="AC188">
        <v>0</v>
      </c>
      <c r="AD188">
        <v>67.59</v>
      </c>
      <c r="AE188">
        <v>0</v>
      </c>
      <c r="AF188">
        <v>0</v>
      </c>
      <c r="AG188">
        <v>0</v>
      </c>
      <c r="AH188">
        <v>10.35</v>
      </c>
      <c r="AI188">
        <v>1</v>
      </c>
      <c r="AJ188">
        <v>1</v>
      </c>
      <c r="AK188">
        <v>1</v>
      </c>
      <c r="AL188">
        <v>6.53</v>
      </c>
      <c r="AN188">
        <v>0</v>
      </c>
      <c r="AO188">
        <v>1</v>
      </c>
      <c r="AP188">
        <v>1</v>
      </c>
      <c r="AQ188">
        <v>0</v>
      </c>
      <c r="AR188">
        <v>0</v>
      </c>
      <c r="AS188" t="s">
        <v>3</v>
      </c>
      <c r="AT188">
        <v>2.09</v>
      </c>
      <c r="AU188" t="s">
        <v>387</v>
      </c>
      <c r="AV188">
        <v>1</v>
      </c>
      <c r="AW188">
        <v>2</v>
      </c>
      <c r="AX188">
        <v>39491342</v>
      </c>
      <c r="AY188">
        <v>1</v>
      </c>
      <c r="AZ188">
        <v>0</v>
      </c>
      <c r="BA188">
        <v>187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Y188*Source!I163</f>
        <v>1.2539999999999998</v>
      </c>
      <c r="CY188">
        <f>AD188</f>
        <v>67.59</v>
      </c>
      <c r="CZ188">
        <f>AH188</f>
        <v>10.35</v>
      </c>
      <c r="DA188">
        <f>AL188</f>
        <v>6.53</v>
      </c>
      <c r="DB188">
        <v>0</v>
      </c>
    </row>
    <row r="189" spans="1:106" x14ac:dyDescent="0.2">
      <c r="A189">
        <f>ROW(Source!A163)</f>
        <v>163</v>
      </c>
      <c r="B189">
        <v>39099382</v>
      </c>
      <c r="C189">
        <v>39491326</v>
      </c>
      <c r="D189">
        <v>36883858</v>
      </c>
      <c r="E189">
        <v>1</v>
      </c>
      <c r="F189">
        <v>1</v>
      </c>
      <c r="G189">
        <v>1</v>
      </c>
      <c r="H189">
        <v>2</v>
      </c>
      <c r="I189" t="s">
        <v>783</v>
      </c>
      <c r="J189" t="s">
        <v>784</v>
      </c>
      <c r="K189" t="s">
        <v>785</v>
      </c>
      <c r="L189">
        <v>1368</v>
      </c>
      <c r="N189">
        <v>1011</v>
      </c>
      <c r="O189" t="s">
        <v>647</v>
      </c>
      <c r="P189" t="s">
        <v>647</v>
      </c>
      <c r="Q189">
        <v>1</v>
      </c>
      <c r="W189">
        <v>0</v>
      </c>
      <c r="X189">
        <v>-353815937</v>
      </c>
      <c r="Y189">
        <v>3.5999999999999997E-2</v>
      </c>
      <c r="AA189">
        <v>0</v>
      </c>
      <c r="AB189">
        <v>52.89</v>
      </c>
      <c r="AC189">
        <v>0</v>
      </c>
      <c r="AD189">
        <v>0</v>
      </c>
      <c r="AE189">
        <v>0</v>
      </c>
      <c r="AF189">
        <v>8.1</v>
      </c>
      <c r="AG189">
        <v>0</v>
      </c>
      <c r="AH189">
        <v>0</v>
      </c>
      <c r="AI189">
        <v>1</v>
      </c>
      <c r="AJ189">
        <v>6.53</v>
      </c>
      <c r="AK189">
        <v>1</v>
      </c>
      <c r="AL189">
        <v>1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3</v>
      </c>
      <c r="AT189">
        <v>0.06</v>
      </c>
      <c r="AU189" t="s">
        <v>387</v>
      </c>
      <c r="AV189">
        <v>0</v>
      </c>
      <c r="AW189">
        <v>2</v>
      </c>
      <c r="AX189">
        <v>39491343</v>
      </c>
      <c r="AY189">
        <v>1</v>
      </c>
      <c r="AZ189">
        <v>0</v>
      </c>
      <c r="BA189">
        <v>188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Y189*Source!I163</f>
        <v>3.5999999999999997E-2</v>
      </c>
      <c r="CY189">
        <f>AB189</f>
        <v>52.89</v>
      </c>
      <c r="CZ189">
        <f>AF189</f>
        <v>8.1</v>
      </c>
      <c r="DA189">
        <f>AJ189</f>
        <v>6.53</v>
      </c>
      <c r="DB189">
        <v>0</v>
      </c>
    </row>
    <row r="190" spans="1:106" x14ac:dyDescent="0.2">
      <c r="A190">
        <f>ROW(Source!A163)</f>
        <v>163</v>
      </c>
      <c r="B190">
        <v>39099382</v>
      </c>
      <c r="C190">
        <v>39491326</v>
      </c>
      <c r="D190">
        <v>36884526</v>
      </c>
      <c r="E190">
        <v>1</v>
      </c>
      <c r="F190">
        <v>1</v>
      </c>
      <c r="G190">
        <v>1</v>
      </c>
      <c r="H190">
        <v>2</v>
      </c>
      <c r="I190" t="s">
        <v>811</v>
      </c>
      <c r="J190" t="s">
        <v>812</v>
      </c>
      <c r="K190" t="s">
        <v>813</v>
      </c>
      <c r="L190">
        <v>1368</v>
      </c>
      <c r="N190">
        <v>1011</v>
      </c>
      <c r="O190" t="s">
        <v>647</v>
      </c>
      <c r="P190" t="s">
        <v>647</v>
      </c>
      <c r="Q190">
        <v>1</v>
      </c>
      <c r="W190">
        <v>0</v>
      </c>
      <c r="X190">
        <v>-995250510</v>
      </c>
      <c r="Y190">
        <v>5.3999999999999999E-2</v>
      </c>
      <c r="AA190">
        <v>0</v>
      </c>
      <c r="AB190">
        <v>7.25</v>
      </c>
      <c r="AC190">
        <v>0</v>
      </c>
      <c r="AD190">
        <v>0</v>
      </c>
      <c r="AE190">
        <v>0</v>
      </c>
      <c r="AF190">
        <v>1.1100000000000001</v>
      </c>
      <c r="AG190">
        <v>0</v>
      </c>
      <c r="AH190">
        <v>0</v>
      </c>
      <c r="AI190">
        <v>1</v>
      </c>
      <c r="AJ190">
        <v>6.53</v>
      </c>
      <c r="AK190">
        <v>1</v>
      </c>
      <c r="AL190">
        <v>1</v>
      </c>
      <c r="AN190">
        <v>0</v>
      </c>
      <c r="AO190">
        <v>1</v>
      </c>
      <c r="AP190">
        <v>1</v>
      </c>
      <c r="AQ190">
        <v>0</v>
      </c>
      <c r="AR190">
        <v>0</v>
      </c>
      <c r="AS190" t="s">
        <v>3</v>
      </c>
      <c r="AT190">
        <v>0.09</v>
      </c>
      <c r="AU190" t="s">
        <v>387</v>
      </c>
      <c r="AV190">
        <v>0</v>
      </c>
      <c r="AW190">
        <v>2</v>
      </c>
      <c r="AX190">
        <v>39491344</v>
      </c>
      <c r="AY190">
        <v>1</v>
      </c>
      <c r="AZ190">
        <v>0</v>
      </c>
      <c r="BA190">
        <v>189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Y190*Source!I163</f>
        <v>5.3999999999999999E-2</v>
      </c>
      <c r="CY190">
        <f>AB190</f>
        <v>7.25</v>
      </c>
      <c r="CZ190">
        <f>AF190</f>
        <v>1.1100000000000001</v>
      </c>
      <c r="DA190">
        <f>AJ190</f>
        <v>6.53</v>
      </c>
      <c r="DB190">
        <v>0</v>
      </c>
    </row>
    <row r="191" spans="1:106" x14ac:dyDescent="0.2">
      <c r="A191">
        <f>ROW(Source!A163)</f>
        <v>163</v>
      </c>
      <c r="B191">
        <v>39099382</v>
      </c>
      <c r="C191">
        <v>39491326</v>
      </c>
      <c r="D191">
        <v>36800043</v>
      </c>
      <c r="E191">
        <v>1</v>
      </c>
      <c r="F191">
        <v>1</v>
      </c>
      <c r="G191">
        <v>1</v>
      </c>
      <c r="H191">
        <v>3</v>
      </c>
      <c r="I191" t="s">
        <v>814</v>
      </c>
      <c r="J191" t="s">
        <v>815</v>
      </c>
      <c r="K191" t="s">
        <v>816</v>
      </c>
      <c r="L191">
        <v>1346</v>
      </c>
      <c r="N191">
        <v>1009</v>
      </c>
      <c r="O191" t="s">
        <v>97</v>
      </c>
      <c r="P191" t="s">
        <v>97</v>
      </c>
      <c r="Q191">
        <v>1</v>
      </c>
      <c r="W191">
        <v>0</v>
      </c>
      <c r="X191">
        <v>618806536</v>
      </c>
      <c r="Y191">
        <v>0</v>
      </c>
      <c r="AA191">
        <v>293.64999999999998</v>
      </c>
      <c r="AB191">
        <v>0</v>
      </c>
      <c r="AC191">
        <v>0</v>
      </c>
      <c r="AD191">
        <v>0</v>
      </c>
      <c r="AE191">
        <v>44.97</v>
      </c>
      <c r="AF191">
        <v>0</v>
      </c>
      <c r="AG191">
        <v>0</v>
      </c>
      <c r="AH191">
        <v>0</v>
      </c>
      <c r="AI191">
        <v>6.53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3</v>
      </c>
      <c r="AT191">
        <v>6.0000000000000001E-3</v>
      </c>
      <c r="AU191" t="s">
        <v>210</v>
      </c>
      <c r="AV191">
        <v>0</v>
      </c>
      <c r="AW191">
        <v>2</v>
      </c>
      <c r="AX191">
        <v>39491345</v>
      </c>
      <c r="AY191">
        <v>1</v>
      </c>
      <c r="AZ191">
        <v>0</v>
      </c>
      <c r="BA191">
        <v>190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Y191*Source!I163</f>
        <v>0</v>
      </c>
      <c r="CY191">
        <f t="shared" ref="CY191:CY202" si="6">AA191</f>
        <v>293.64999999999998</v>
      </c>
      <c r="CZ191">
        <f t="shared" ref="CZ191:CZ202" si="7">AE191</f>
        <v>44.97</v>
      </c>
      <c r="DA191">
        <f t="shared" ref="DA191:DA202" si="8">AI191</f>
        <v>6.53</v>
      </c>
      <c r="DB191">
        <v>0</v>
      </c>
    </row>
    <row r="192" spans="1:106" x14ac:dyDescent="0.2">
      <c r="A192">
        <f>ROW(Source!A163)</f>
        <v>163</v>
      </c>
      <c r="B192">
        <v>39099382</v>
      </c>
      <c r="C192">
        <v>39491326</v>
      </c>
      <c r="D192">
        <v>36801775</v>
      </c>
      <c r="E192">
        <v>1</v>
      </c>
      <c r="F192">
        <v>1</v>
      </c>
      <c r="G192">
        <v>1</v>
      </c>
      <c r="H192">
        <v>3</v>
      </c>
      <c r="I192" t="s">
        <v>817</v>
      </c>
      <c r="J192" t="s">
        <v>818</v>
      </c>
      <c r="K192" t="s">
        <v>819</v>
      </c>
      <c r="L192">
        <v>1346</v>
      </c>
      <c r="N192">
        <v>1009</v>
      </c>
      <c r="O192" t="s">
        <v>97</v>
      </c>
      <c r="P192" t="s">
        <v>97</v>
      </c>
      <c r="Q192">
        <v>1</v>
      </c>
      <c r="W192">
        <v>0</v>
      </c>
      <c r="X192">
        <v>56922527</v>
      </c>
      <c r="Y192">
        <v>0</v>
      </c>
      <c r="AA192">
        <v>75.099999999999994</v>
      </c>
      <c r="AB192">
        <v>0</v>
      </c>
      <c r="AC192">
        <v>0</v>
      </c>
      <c r="AD192">
        <v>0</v>
      </c>
      <c r="AE192">
        <v>11.5</v>
      </c>
      <c r="AF192">
        <v>0</v>
      </c>
      <c r="AG192">
        <v>0</v>
      </c>
      <c r="AH192">
        <v>0</v>
      </c>
      <c r="AI192">
        <v>6.53</v>
      </c>
      <c r="AJ192">
        <v>1</v>
      </c>
      <c r="AK192">
        <v>1</v>
      </c>
      <c r="AL192">
        <v>1</v>
      </c>
      <c r="AN192">
        <v>0</v>
      </c>
      <c r="AO192">
        <v>1</v>
      </c>
      <c r="AP192">
        <v>1</v>
      </c>
      <c r="AQ192">
        <v>0</v>
      </c>
      <c r="AR192">
        <v>0</v>
      </c>
      <c r="AS192" t="s">
        <v>3</v>
      </c>
      <c r="AT192">
        <v>2E-3</v>
      </c>
      <c r="AU192" t="s">
        <v>210</v>
      </c>
      <c r="AV192">
        <v>0</v>
      </c>
      <c r="AW192">
        <v>2</v>
      </c>
      <c r="AX192">
        <v>39491346</v>
      </c>
      <c r="AY192">
        <v>1</v>
      </c>
      <c r="AZ192">
        <v>0</v>
      </c>
      <c r="BA192">
        <v>191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Y192*Source!I163</f>
        <v>0</v>
      </c>
      <c r="CY192">
        <f t="shared" si="6"/>
        <v>75.099999999999994</v>
      </c>
      <c r="CZ192">
        <f t="shared" si="7"/>
        <v>11.5</v>
      </c>
      <c r="DA192">
        <f t="shared" si="8"/>
        <v>6.53</v>
      </c>
      <c r="DB192">
        <v>0</v>
      </c>
    </row>
    <row r="193" spans="1:106" x14ac:dyDescent="0.2">
      <c r="A193">
        <f>ROW(Source!A163)</f>
        <v>163</v>
      </c>
      <c r="B193">
        <v>39099382</v>
      </c>
      <c r="C193">
        <v>39491326</v>
      </c>
      <c r="D193">
        <v>36802094</v>
      </c>
      <c r="E193">
        <v>1</v>
      </c>
      <c r="F193">
        <v>1</v>
      </c>
      <c r="G193">
        <v>1</v>
      </c>
      <c r="H193">
        <v>3</v>
      </c>
      <c r="I193" t="s">
        <v>820</v>
      </c>
      <c r="J193" t="s">
        <v>821</v>
      </c>
      <c r="K193" t="s">
        <v>822</v>
      </c>
      <c r="L193">
        <v>1346</v>
      </c>
      <c r="N193">
        <v>1009</v>
      </c>
      <c r="O193" t="s">
        <v>97</v>
      </c>
      <c r="P193" t="s">
        <v>97</v>
      </c>
      <c r="Q193">
        <v>1</v>
      </c>
      <c r="W193">
        <v>0</v>
      </c>
      <c r="X193">
        <v>-1088866022</v>
      </c>
      <c r="Y193">
        <v>0</v>
      </c>
      <c r="AA193">
        <v>198.51</v>
      </c>
      <c r="AB193">
        <v>0</v>
      </c>
      <c r="AC193">
        <v>0</v>
      </c>
      <c r="AD193">
        <v>0</v>
      </c>
      <c r="AE193">
        <v>30.4</v>
      </c>
      <c r="AF193">
        <v>0</v>
      </c>
      <c r="AG193">
        <v>0</v>
      </c>
      <c r="AH193">
        <v>0</v>
      </c>
      <c r="AI193">
        <v>6.53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3</v>
      </c>
      <c r="AT193">
        <v>2.4E-2</v>
      </c>
      <c r="AU193" t="s">
        <v>210</v>
      </c>
      <c r="AV193">
        <v>0</v>
      </c>
      <c r="AW193">
        <v>2</v>
      </c>
      <c r="AX193">
        <v>39491347</v>
      </c>
      <c r="AY193">
        <v>1</v>
      </c>
      <c r="AZ193">
        <v>0</v>
      </c>
      <c r="BA193">
        <v>192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Y193*Source!I163</f>
        <v>0</v>
      </c>
      <c r="CY193">
        <f t="shared" si="6"/>
        <v>198.51</v>
      </c>
      <c r="CZ193">
        <f t="shared" si="7"/>
        <v>30.4</v>
      </c>
      <c r="DA193">
        <f t="shared" si="8"/>
        <v>6.53</v>
      </c>
      <c r="DB193">
        <v>0</v>
      </c>
    </row>
    <row r="194" spans="1:106" x14ac:dyDescent="0.2">
      <c r="A194">
        <f>ROW(Source!A163)</f>
        <v>163</v>
      </c>
      <c r="B194">
        <v>39099382</v>
      </c>
      <c r="C194">
        <v>39491326</v>
      </c>
      <c r="D194">
        <v>36803258</v>
      </c>
      <c r="E194">
        <v>1</v>
      </c>
      <c r="F194">
        <v>1</v>
      </c>
      <c r="G194">
        <v>1</v>
      </c>
      <c r="H194">
        <v>3</v>
      </c>
      <c r="I194" t="s">
        <v>823</v>
      </c>
      <c r="J194" t="s">
        <v>824</v>
      </c>
      <c r="K194" t="s">
        <v>825</v>
      </c>
      <c r="L194">
        <v>1346</v>
      </c>
      <c r="N194">
        <v>1009</v>
      </c>
      <c r="O194" t="s">
        <v>97</v>
      </c>
      <c r="P194" t="s">
        <v>97</v>
      </c>
      <c r="Q194">
        <v>1</v>
      </c>
      <c r="W194">
        <v>0</v>
      </c>
      <c r="X194">
        <v>586013393</v>
      </c>
      <c r="Y194">
        <v>0</v>
      </c>
      <c r="AA194">
        <v>69.02</v>
      </c>
      <c r="AB194">
        <v>0</v>
      </c>
      <c r="AC194">
        <v>0</v>
      </c>
      <c r="AD194">
        <v>0</v>
      </c>
      <c r="AE194">
        <v>10.57</v>
      </c>
      <c r="AF194">
        <v>0</v>
      </c>
      <c r="AG194">
        <v>0</v>
      </c>
      <c r="AH194">
        <v>0</v>
      </c>
      <c r="AI194">
        <v>6.53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1</v>
      </c>
      <c r="AQ194">
        <v>0</v>
      </c>
      <c r="AR194">
        <v>0</v>
      </c>
      <c r="AS194" t="s">
        <v>3</v>
      </c>
      <c r="AT194">
        <v>7.0000000000000007E-2</v>
      </c>
      <c r="AU194" t="s">
        <v>210</v>
      </c>
      <c r="AV194">
        <v>0</v>
      </c>
      <c r="AW194">
        <v>2</v>
      </c>
      <c r="AX194">
        <v>39491348</v>
      </c>
      <c r="AY194">
        <v>1</v>
      </c>
      <c r="AZ194">
        <v>0</v>
      </c>
      <c r="BA194">
        <v>193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Y194*Source!I163</f>
        <v>0</v>
      </c>
      <c r="CY194">
        <f t="shared" si="6"/>
        <v>69.02</v>
      </c>
      <c r="CZ194">
        <f t="shared" si="7"/>
        <v>10.57</v>
      </c>
      <c r="DA194">
        <f t="shared" si="8"/>
        <v>6.53</v>
      </c>
      <c r="DB194">
        <v>0</v>
      </c>
    </row>
    <row r="195" spans="1:106" x14ac:dyDescent="0.2">
      <c r="A195">
        <f>ROW(Source!A163)</f>
        <v>163</v>
      </c>
      <c r="B195">
        <v>39099382</v>
      </c>
      <c r="C195">
        <v>39491326</v>
      </c>
      <c r="D195">
        <v>36804448</v>
      </c>
      <c r="E195">
        <v>1</v>
      </c>
      <c r="F195">
        <v>1</v>
      </c>
      <c r="G195">
        <v>1</v>
      </c>
      <c r="H195">
        <v>3</v>
      </c>
      <c r="I195" t="s">
        <v>826</v>
      </c>
      <c r="J195" t="s">
        <v>827</v>
      </c>
      <c r="K195" t="s">
        <v>828</v>
      </c>
      <c r="L195">
        <v>1346</v>
      </c>
      <c r="N195">
        <v>1009</v>
      </c>
      <c r="O195" t="s">
        <v>97</v>
      </c>
      <c r="P195" t="s">
        <v>97</v>
      </c>
      <c r="Q195">
        <v>1</v>
      </c>
      <c r="W195">
        <v>0</v>
      </c>
      <c r="X195">
        <v>103900845</v>
      </c>
      <c r="Y195">
        <v>0</v>
      </c>
      <c r="AA195">
        <v>59.03</v>
      </c>
      <c r="AB195">
        <v>0</v>
      </c>
      <c r="AC195">
        <v>0</v>
      </c>
      <c r="AD195">
        <v>0</v>
      </c>
      <c r="AE195">
        <v>9.0399999999999991</v>
      </c>
      <c r="AF195">
        <v>0</v>
      </c>
      <c r="AG195">
        <v>0</v>
      </c>
      <c r="AH195">
        <v>0</v>
      </c>
      <c r="AI195">
        <v>6.53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3</v>
      </c>
      <c r="AT195">
        <v>0.14000000000000001</v>
      </c>
      <c r="AU195" t="s">
        <v>210</v>
      </c>
      <c r="AV195">
        <v>0</v>
      </c>
      <c r="AW195">
        <v>2</v>
      </c>
      <c r="AX195">
        <v>39491349</v>
      </c>
      <c r="AY195">
        <v>1</v>
      </c>
      <c r="AZ195">
        <v>0</v>
      </c>
      <c r="BA195">
        <v>194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Y195*Source!I163</f>
        <v>0</v>
      </c>
      <c r="CY195">
        <f t="shared" si="6"/>
        <v>59.03</v>
      </c>
      <c r="CZ195">
        <f t="shared" si="7"/>
        <v>9.0399999999999991</v>
      </c>
      <c r="DA195">
        <f t="shared" si="8"/>
        <v>6.53</v>
      </c>
      <c r="DB195">
        <v>0</v>
      </c>
    </row>
    <row r="196" spans="1:106" x14ac:dyDescent="0.2">
      <c r="A196">
        <f>ROW(Source!A163)</f>
        <v>163</v>
      </c>
      <c r="B196">
        <v>39099382</v>
      </c>
      <c r="C196">
        <v>39491326</v>
      </c>
      <c r="D196">
        <v>36804580</v>
      </c>
      <c r="E196">
        <v>1</v>
      </c>
      <c r="F196">
        <v>1</v>
      </c>
      <c r="G196">
        <v>1</v>
      </c>
      <c r="H196">
        <v>3</v>
      </c>
      <c r="I196" t="s">
        <v>829</v>
      </c>
      <c r="J196" t="s">
        <v>830</v>
      </c>
      <c r="K196" t="s">
        <v>831</v>
      </c>
      <c r="L196">
        <v>1355</v>
      </c>
      <c r="N196">
        <v>1010</v>
      </c>
      <c r="O196" t="s">
        <v>120</v>
      </c>
      <c r="P196" t="s">
        <v>120</v>
      </c>
      <c r="Q196">
        <v>100</v>
      </c>
      <c r="W196">
        <v>0</v>
      </c>
      <c r="X196">
        <v>1794244060</v>
      </c>
      <c r="Y196">
        <v>0</v>
      </c>
      <c r="AA196">
        <v>561.58000000000004</v>
      </c>
      <c r="AB196">
        <v>0</v>
      </c>
      <c r="AC196">
        <v>0</v>
      </c>
      <c r="AD196">
        <v>0</v>
      </c>
      <c r="AE196">
        <v>86</v>
      </c>
      <c r="AF196">
        <v>0</v>
      </c>
      <c r="AG196">
        <v>0</v>
      </c>
      <c r="AH196">
        <v>0</v>
      </c>
      <c r="AI196">
        <v>6.53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1</v>
      </c>
      <c r="AQ196">
        <v>0</v>
      </c>
      <c r="AR196">
        <v>0</v>
      </c>
      <c r="AS196" t="s">
        <v>3</v>
      </c>
      <c r="AT196">
        <v>7.0000000000000001E-3</v>
      </c>
      <c r="AU196" t="s">
        <v>210</v>
      </c>
      <c r="AV196">
        <v>0</v>
      </c>
      <c r="AW196">
        <v>2</v>
      </c>
      <c r="AX196">
        <v>39491350</v>
      </c>
      <c r="AY196">
        <v>1</v>
      </c>
      <c r="AZ196">
        <v>0</v>
      </c>
      <c r="BA196">
        <v>195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Y196*Source!I163</f>
        <v>0</v>
      </c>
      <c r="CY196">
        <f t="shared" si="6"/>
        <v>561.58000000000004</v>
      </c>
      <c r="CZ196">
        <f t="shared" si="7"/>
        <v>86</v>
      </c>
      <c r="DA196">
        <f t="shared" si="8"/>
        <v>6.53</v>
      </c>
      <c r="DB196">
        <v>0</v>
      </c>
    </row>
    <row r="197" spans="1:106" x14ac:dyDescent="0.2">
      <c r="A197">
        <f>ROW(Source!A163)</f>
        <v>163</v>
      </c>
      <c r="B197">
        <v>39099382</v>
      </c>
      <c r="C197">
        <v>39491326</v>
      </c>
      <c r="D197">
        <v>36805500</v>
      </c>
      <c r="E197">
        <v>1</v>
      </c>
      <c r="F197">
        <v>1</v>
      </c>
      <c r="G197">
        <v>1</v>
      </c>
      <c r="H197">
        <v>3</v>
      </c>
      <c r="I197" t="s">
        <v>832</v>
      </c>
      <c r="J197" t="s">
        <v>833</v>
      </c>
      <c r="K197" t="s">
        <v>834</v>
      </c>
      <c r="L197">
        <v>1346</v>
      </c>
      <c r="N197">
        <v>1009</v>
      </c>
      <c r="O197" t="s">
        <v>97</v>
      </c>
      <c r="P197" t="s">
        <v>97</v>
      </c>
      <c r="Q197">
        <v>1</v>
      </c>
      <c r="W197">
        <v>0</v>
      </c>
      <c r="X197">
        <v>-856710481</v>
      </c>
      <c r="Y197">
        <v>0</v>
      </c>
      <c r="AA197">
        <v>868.82</v>
      </c>
      <c r="AB197">
        <v>0</v>
      </c>
      <c r="AC197">
        <v>0</v>
      </c>
      <c r="AD197">
        <v>0</v>
      </c>
      <c r="AE197">
        <v>133.05000000000001</v>
      </c>
      <c r="AF197">
        <v>0</v>
      </c>
      <c r="AG197">
        <v>0</v>
      </c>
      <c r="AH197">
        <v>0</v>
      </c>
      <c r="AI197">
        <v>6.53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1</v>
      </c>
      <c r="AQ197">
        <v>0</v>
      </c>
      <c r="AR197">
        <v>0</v>
      </c>
      <c r="AS197" t="s">
        <v>3</v>
      </c>
      <c r="AT197">
        <v>2E-3</v>
      </c>
      <c r="AU197" t="s">
        <v>210</v>
      </c>
      <c r="AV197">
        <v>0</v>
      </c>
      <c r="AW197">
        <v>2</v>
      </c>
      <c r="AX197">
        <v>39491351</v>
      </c>
      <c r="AY197">
        <v>1</v>
      </c>
      <c r="AZ197">
        <v>0</v>
      </c>
      <c r="BA197">
        <v>196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Y197*Source!I163</f>
        <v>0</v>
      </c>
      <c r="CY197">
        <f t="shared" si="6"/>
        <v>868.82</v>
      </c>
      <c r="CZ197">
        <f t="shared" si="7"/>
        <v>133.05000000000001</v>
      </c>
      <c r="DA197">
        <f t="shared" si="8"/>
        <v>6.53</v>
      </c>
      <c r="DB197">
        <v>0</v>
      </c>
    </row>
    <row r="198" spans="1:106" x14ac:dyDescent="0.2">
      <c r="A198">
        <f>ROW(Source!A163)</f>
        <v>163</v>
      </c>
      <c r="B198">
        <v>39099382</v>
      </c>
      <c r="C198">
        <v>39491326</v>
      </c>
      <c r="D198">
        <v>36823140</v>
      </c>
      <c r="E198">
        <v>1</v>
      </c>
      <c r="F198">
        <v>1</v>
      </c>
      <c r="G198">
        <v>1</v>
      </c>
      <c r="H198">
        <v>3</v>
      </c>
      <c r="I198" t="s">
        <v>835</v>
      </c>
      <c r="J198" t="s">
        <v>836</v>
      </c>
      <c r="K198" t="s">
        <v>837</v>
      </c>
      <c r="L198">
        <v>1348</v>
      </c>
      <c r="N198">
        <v>1009</v>
      </c>
      <c r="O198" t="s">
        <v>189</v>
      </c>
      <c r="P198" t="s">
        <v>189</v>
      </c>
      <c r="Q198">
        <v>1000</v>
      </c>
      <c r="W198">
        <v>0</v>
      </c>
      <c r="X198">
        <v>426000481</v>
      </c>
      <c r="Y198">
        <v>0</v>
      </c>
      <c r="AA198">
        <v>75095</v>
      </c>
      <c r="AB198">
        <v>0</v>
      </c>
      <c r="AC198">
        <v>0</v>
      </c>
      <c r="AD198">
        <v>0</v>
      </c>
      <c r="AE198">
        <v>11500</v>
      </c>
      <c r="AF198">
        <v>0</v>
      </c>
      <c r="AG198">
        <v>0</v>
      </c>
      <c r="AH198">
        <v>0</v>
      </c>
      <c r="AI198">
        <v>6.53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1</v>
      </c>
      <c r="AQ198">
        <v>0</v>
      </c>
      <c r="AR198">
        <v>0</v>
      </c>
      <c r="AS198" t="s">
        <v>3</v>
      </c>
      <c r="AT198">
        <v>3.0000000000000001E-3</v>
      </c>
      <c r="AU198" t="s">
        <v>210</v>
      </c>
      <c r="AV198">
        <v>0</v>
      </c>
      <c r="AW198">
        <v>2</v>
      </c>
      <c r="AX198">
        <v>39491352</v>
      </c>
      <c r="AY198">
        <v>1</v>
      </c>
      <c r="AZ198">
        <v>0</v>
      </c>
      <c r="BA198">
        <v>197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Y198*Source!I163</f>
        <v>0</v>
      </c>
      <c r="CY198">
        <f t="shared" si="6"/>
        <v>75095</v>
      </c>
      <c r="CZ198">
        <f t="shared" si="7"/>
        <v>11500</v>
      </c>
      <c r="DA198">
        <f t="shared" si="8"/>
        <v>6.53</v>
      </c>
      <c r="DB198">
        <v>0</v>
      </c>
    </row>
    <row r="199" spans="1:106" x14ac:dyDescent="0.2">
      <c r="A199">
        <f>ROW(Source!A163)</f>
        <v>163</v>
      </c>
      <c r="B199">
        <v>39099382</v>
      </c>
      <c r="C199">
        <v>39491326</v>
      </c>
      <c r="D199">
        <v>36838317</v>
      </c>
      <c r="E199">
        <v>1</v>
      </c>
      <c r="F199">
        <v>1</v>
      </c>
      <c r="G199">
        <v>1</v>
      </c>
      <c r="H199">
        <v>3</v>
      </c>
      <c r="I199" t="s">
        <v>838</v>
      </c>
      <c r="J199" t="s">
        <v>839</v>
      </c>
      <c r="K199" t="s">
        <v>840</v>
      </c>
      <c r="L199">
        <v>1346</v>
      </c>
      <c r="N199">
        <v>1009</v>
      </c>
      <c r="O199" t="s">
        <v>97</v>
      </c>
      <c r="P199" t="s">
        <v>97</v>
      </c>
      <c r="Q199">
        <v>1</v>
      </c>
      <c r="W199">
        <v>0</v>
      </c>
      <c r="X199">
        <v>210558753</v>
      </c>
      <c r="Y199">
        <v>0</v>
      </c>
      <c r="AA199">
        <v>186.76</v>
      </c>
      <c r="AB199">
        <v>0</v>
      </c>
      <c r="AC199">
        <v>0</v>
      </c>
      <c r="AD199">
        <v>0</v>
      </c>
      <c r="AE199">
        <v>28.6</v>
      </c>
      <c r="AF199">
        <v>0</v>
      </c>
      <c r="AG199">
        <v>0</v>
      </c>
      <c r="AH199">
        <v>0</v>
      </c>
      <c r="AI199">
        <v>6.53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1</v>
      </c>
      <c r="AQ199">
        <v>0</v>
      </c>
      <c r="AR199">
        <v>0</v>
      </c>
      <c r="AS199" t="s">
        <v>3</v>
      </c>
      <c r="AT199">
        <v>1.7999999999999999E-2</v>
      </c>
      <c r="AU199" t="s">
        <v>210</v>
      </c>
      <c r="AV199">
        <v>0</v>
      </c>
      <c r="AW199">
        <v>2</v>
      </c>
      <c r="AX199">
        <v>39491353</v>
      </c>
      <c r="AY199">
        <v>1</v>
      </c>
      <c r="AZ199">
        <v>0</v>
      </c>
      <c r="BA199">
        <v>198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Y199*Source!I163</f>
        <v>0</v>
      </c>
      <c r="CY199">
        <f t="shared" si="6"/>
        <v>186.76</v>
      </c>
      <c r="CZ199">
        <f t="shared" si="7"/>
        <v>28.6</v>
      </c>
      <c r="DA199">
        <f t="shared" si="8"/>
        <v>6.53</v>
      </c>
      <c r="DB199">
        <v>0</v>
      </c>
    </row>
    <row r="200" spans="1:106" x14ac:dyDescent="0.2">
      <c r="A200">
        <f>ROW(Source!A163)</f>
        <v>163</v>
      </c>
      <c r="B200">
        <v>39099382</v>
      </c>
      <c r="C200">
        <v>39491326</v>
      </c>
      <c r="D200">
        <v>36838470</v>
      </c>
      <c r="E200">
        <v>1</v>
      </c>
      <c r="F200">
        <v>1</v>
      </c>
      <c r="G200">
        <v>1</v>
      </c>
      <c r="H200">
        <v>3</v>
      </c>
      <c r="I200" t="s">
        <v>841</v>
      </c>
      <c r="J200" t="s">
        <v>842</v>
      </c>
      <c r="K200" t="s">
        <v>843</v>
      </c>
      <c r="L200">
        <v>1346</v>
      </c>
      <c r="N200">
        <v>1009</v>
      </c>
      <c r="O200" t="s">
        <v>97</v>
      </c>
      <c r="P200" t="s">
        <v>97</v>
      </c>
      <c r="Q200">
        <v>1</v>
      </c>
      <c r="W200">
        <v>0</v>
      </c>
      <c r="X200">
        <v>-1274984028</v>
      </c>
      <c r="Y200">
        <v>0</v>
      </c>
      <c r="AA200">
        <v>232.66</v>
      </c>
      <c r="AB200">
        <v>0</v>
      </c>
      <c r="AC200">
        <v>0</v>
      </c>
      <c r="AD200">
        <v>0</v>
      </c>
      <c r="AE200">
        <v>35.630000000000003</v>
      </c>
      <c r="AF200">
        <v>0</v>
      </c>
      <c r="AG200">
        <v>0</v>
      </c>
      <c r="AH200">
        <v>0</v>
      </c>
      <c r="AI200">
        <v>6.53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1</v>
      </c>
      <c r="AQ200">
        <v>0</v>
      </c>
      <c r="AR200">
        <v>0</v>
      </c>
      <c r="AS200" t="s">
        <v>3</v>
      </c>
      <c r="AT200">
        <v>8.9999999999999993E-3</v>
      </c>
      <c r="AU200" t="s">
        <v>210</v>
      </c>
      <c r="AV200">
        <v>0</v>
      </c>
      <c r="AW200">
        <v>2</v>
      </c>
      <c r="AX200">
        <v>39491354</v>
      </c>
      <c r="AY200">
        <v>1</v>
      </c>
      <c r="AZ200">
        <v>0</v>
      </c>
      <c r="BA200">
        <v>199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Y200*Source!I163</f>
        <v>0</v>
      </c>
      <c r="CY200">
        <f t="shared" si="6"/>
        <v>232.66</v>
      </c>
      <c r="CZ200">
        <f t="shared" si="7"/>
        <v>35.630000000000003</v>
      </c>
      <c r="DA200">
        <f t="shared" si="8"/>
        <v>6.53</v>
      </c>
      <c r="DB200">
        <v>0</v>
      </c>
    </row>
    <row r="201" spans="1:106" x14ac:dyDescent="0.2">
      <c r="A201">
        <f>ROW(Source!A163)</f>
        <v>163</v>
      </c>
      <c r="B201">
        <v>39099382</v>
      </c>
      <c r="C201">
        <v>39491326</v>
      </c>
      <c r="D201">
        <v>36851945</v>
      </c>
      <c r="E201">
        <v>1</v>
      </c>
      <c r="F201">
        <v>1</v>
      </c>
      <c r="G201">
        <v>1</v>
      </c>
      <c r="H201">
        <v>3</v>
      </c>
      <c r="I201" t="s">
        <v>844</v>
      </c>
      <c r="J201" t="s">
        <v>845</v>
      </c>
      <c r="K201" t="s">
        <v>846</v>
      </c>
      <c r="L201">
        <v>1358</v>
      </c>
      <c r="N201">
        <v>1010</v>
      </c>
      <c r="O201" t="s">
        <v>417</v>
      </c>
      <c r="P201" t="s">
        <v>417</v>
      </c>
      <c r="Q201">
        <v>10</v>
      </c>
      <c r="W201">
        <v>0</v>
      </c>
      <c r="X201">
        <v>1386890308</v>
      </c>
      <c r="Y201">
        <v>0</v>
      </c>
      <c r="AA201">
        <v>254.67</v>
      </c>
      <c r="AB201">
        <v>0</v>
      </c>
      <c r="AC201">
        <v>0</v>
      </c>
      <c r="AD201">
        <v>0</v>
      </c>
      <c r="AE201">
        <v>39</v>
      </c>
      <c r="AF201">
        <v>0</v>
      </c>
      <c r="AG201">
        <v>0</v>
      </c>
      <c r="AH201">
        <v>0</v>
      </c>
      <c r="AI201">
        <v>6.53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3</v>
      </c>
      <c r="AT201">
        <v>0.1</v>
      </c>
      <c r="AU201" t="s">
        <v>210</v>
      </c>
      <c r="AV201">
        <v>0</v>
      </c>
      <c r="AW201">
        <v>2</v>
      </c>
      <c r="AX201">
        <v>39491355</v>
      </c>
      <c r="AY201">
        <v>1</v>
      </c>
      <c r="AZ201">
        <v>0</v>
      </c>
      <c r="BA201">
        <v>200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Y201*Source!I163</f>
        <v>0</v>
      </c>
      <c r="CY201">
        <f t="shared" si="6"/>
        <v>254.67</v>
      </c>
      <c r="CZ201">
        <f t="shared" si="7"/>
        <v>39</v>
      </c>
      <c r="DA201">
        <f t="shared" si="8"/>
        <v>6.53</v>
      </c>
      <c r="DB201">
        <v>0</v>
      </c>
    </row>
    <row r="202" spans="1:106" x14ac:dyDescent="0.2">
      <c r="A202">
        <f>ROW(Source!A163)</f>
        <v>163</v>
      </c>
      <c r="B202">
        <v>39099382</v>
      </c>
      <c r="C202">
        <v>39491326</v>
      </c>
      <c r="D202">
        <v>36799065</v>
      </c>
      <c r="E202">
        <v>17</v>
      </c>
      <c r="F202">
        <v>1</v>
      </c>
      <c r="G202">
        <v>1</v>
      </c>
      <c r="H202">
        <v>3</v>
      </c>
      <c r="I202" t="s">
        <v>801</v>
      </c>
      <c r="J202" t="s">
        <v>3</v>
      </c>
      <c r="K202" t="s">
        <v>802</v>
      </c>
      <c r="L202">
        <v>1374</v>
      </c>
      <c r="N202">
        <v>1013</v>
      </c>
      <c r="O202" t="s">
        <v>803</v>
      </c>
      <c r="P202" t="s">
        <v>803</v>
      </c>
      <c r="Q202">
        <v>1</v>
      </c>
      <c r="W202">
        <v>0</v>
      </c>
      <c r="X202">
        <v>-1731369543</v>
      </c>
      <c r="Y202">
        <v>0</v>
      </c>
      <c r="AA202">
        <v>1</v>
      </c>
      <c r="AB202">
        <v>0</v>
      </c>
      <c r="AC202">
        <v>0</v>
      </c>
      <c r="AD202">
        <v>0</v>
      </c>
      <c r="AE202">
        <v>1</v>
      </c>
      <c r="AF202">
        <v>0</v>
      </c>
      <c r="AG202">
        <v>0</v>
      </c>
      <c r="AH202">
        <v>0</v>
      </c>
      <c r="AI202">
        <v>1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1</v>
      </c>
      <c r="AQ202">
        <v>0</v>
      </c>
      <c r="AR202">
        <v>0</v>
      </c>
      <c r="AS202" t="s">
        <v>3</v>
      </c>
      <c r="AT202">
        <v>0.43</v>
      </c>
      <c r="AU202" t="s">
        <v>210</v>
      </c>
      <c r="AV202">
        <v>0</v>
      </c>
      <c r="AW202">
        <v>2</v>
      </c>
      <c r="AX202">
        <v>39491356</v>
      </c>
      <c r="AY202">
        <v>1</v>
      </c>
      <c r="AZ202">
        <v>0</v>
      </c>
      <c r="BA202">
        <v>201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Y202*Source!I163</f>
        <v>0</v>
      </c>
      <c r="CY202">
        <f t="shared" si="6"/>
        <v>1</v>
      </c>
      <c r="CZ202">
        <f t="shared" si="7"/>
        <v>1</v>
      </c>
      <c r="DA202">
        <f t="shared" si="8"/>
        <v>1</v>
      </c>
      <c r="DB202">
        <v>0</v>
      </c>
    </row>
    <row r="203" spans="1:106" x14ac:dyDescent="0.2">
      <c r="A203">
        <f>ROW(Source!A164)</f>
        <v>164</v>
      </c>
      <c r="B203">
        <v>39099382</v>
      </c>
      <c r="C203">
        <v>39492008</v>
      </c>
      <c r="D203">
        <v>37070244</v>
      </c>
      <c r="E203">
        <v>1</v>
      </c>
      <c r="F203">
        <v>1</v>
      </c>
      <c r="G203">
        <v>1</v>
      </c>
      <c r="H203">
        <v>1</v>
      </c>
      <c r="I203" t="s">
        <v>809</v>
      </c>
      <c r="J203" t="s">
        <v>3</v>
      </c>
      <c r="K203" t="s">
        <v>810</v>
      </c>
      <c r="L203">
        <v>1191</v>
      </c>
      <c r="N203">
        <v>1013</v>
      </c>
      <c r="O203" t="s">
        <v>641</v>
      </c>
      <c r="P203" t="s">
        <v>641</v>
      </c>
      <c r="Q203">
        <v>1</v>
      </c>
      <c r="W203">
        <v>0</v>
      </c>
      <c r="X203">
        <v>1627947075</v>
      </c>
      <c r="Y203">
        <v>2.09</v>
      </c>
      <c r="AA203">
        <v>0</v>
      </c>
      <c r="AB203">
        <v>0</v>
      </c>
      <c r="AC203">
        <v>0</v>
      </c>
      <c r="AD203">
        <v>67.59</v>
      </c>
      <c r="AE203">
        <v>0</v>
      </c>
      <c r="AF203">
        <v>0</v>
      </c>
      <c r="AG203">
        <v>0</v>
      </c>
      <c r="AH203">
        <v>10.35</v>
      </c>
      <c r="AI203">
        <v>1</v>
      </c>
      <c r="AJ203">
        <v>1</v>
      </c>
      <c r="AK203">
        <v>1</v>
      </c>
      <c r="AL203">
        <v>6.53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3</v>
      </c>
      <c r="AT203">
        <v>2.09</v>
      </c>
      <c r="AU203" t="s">
        <v>3</v>
      </c>
      <c r="AV203">
        <v>1</v>
      </c>
      <c r="AW203">
        <v>2</v>
      </c>
      <c r="AX203">
        <v>39492024</v>
      </c>
      <c r="AY203">
        <v>1</v>
      </c>
      <c r="AZ203">
        <v>0</v>
      </c>
      <c r="BA203">
        <v>202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Y203*Source!I164</f>
        <v>2.09</v>
      </c>
      <c r="CY203">
        <f>AD203</f>
        <v>67.59</v>
      </c>
      <c r="CZ203">
        <f>AH203</f>
        <v>10.35</v>
      </c>
      <c r="DA203">
        <f>AL203</f>
        <v>6.53</v>
      </c>
      <c r="DB203">
        <v>0</v>
      </c>
    </row>
    <row r="204" spans="1:106" x14ac:dyDescent="0.2">
      <c r="A204">
        <f>ROW(Source!A164)</f>
        <v>164</v>
      </c>
      <c r="B204">
        <v>39099382</v>
      </c>
      <c r="C204">
        <v>39492008</v>
      </c>
      <c r="D204">
        <v>36883858</v>
      </c>
      <c r="E204">
        <v>1</v>
      </c>
      <c r="F204">
        <v>1</v>
      </c>
      <c r="G204">
        <v>1</v>
      </c>
      <c r="H204">
        <v>2</v>
      </c>
      <c r="I204" t="s">
        <v>783</v>
      </c>
      <c r="J204" t="s">
        <v>784</v>
      </c>
      <c r="K204" t="s">
        <v>785</v>
      </c>
      <c r="L204">
        <v>1368</v>
      </c>
      <c r="N204">
        <v>1011</v>
      </c>
      <c r="O204" t="s">
        <v>647</v>
      </c>
      <c r="P204" t="s">
        <v>647</v>
      </c>
      <c r="Q204">
        <v>1</v>
      </c>
      <c r="W204">
        <v>0</v>
      </c>
      <c r="X204">
        <v>-353815937</v>
      </c>
      <c r="Y204">
        <v>0.06</v>
      </c>
      <c r="AA204">
        <v>0</v>
      </c>
      <c r="AB204">
        <v>52.89</v>
      </c>
      <c r="AC204">
        <v>0</v>
      </c>
      <c r="AD204">
        <v>0</v>
      </c>
      <c r="AE204">
        <v>0</v>
      </c>
      <c r="AF204">
        <v>8.1</v>
      </c>
      <c r="AG204">
        <v>0</v>
      </c>
      <c r="AH204">
        <v>0</v>
      </c>
      <c r="AI204">
        <v>1</v>
      </c>
      <c r="AJ204">
        <v>6.53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3</v>
      </c>
      <c r="AT204">
        <v>0.06</v>
      </c>
      <c r="AU204" t="s">
        <v>3</v>
      </c>
      <c r="AV204">
        <v>0</v>
      </c>
      <c r="AW204">
        <v>2</v>
      </c>
      <c r="AX204">
        <v>39492025</v>
      </c>
      <c r="AY204">
        <v>1</v>
      </c>
      <c r="AZ204">
        <v>0</v>
      </c>
      <c r="BA204">
        <v>203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Y204*Source!I164</f>
        <v>0.06</v>
      </c>
      <c r="CY204">
        <f>AB204</f>
        <v>52.89</v>
      </c>
      <c r="CZ204">
        <f>AF204</f>
        <v>8.1</v>
      </c>
      <c r="DA204">
        <f>AJ204</f>
        <v>6.53</v>
      </c>
      <c r="DB204">
        <v>0</v>
      </c>
    </row>
    <row r="205" spans="1:106" x14ac:dyDescent="0.2">
      <c r="A205">
        <f>ROW(Source!A164)</f>
        <v>164</v>
      </c>
      <c r="B205">
        <v>39099382</v>
      </c>
      <c r="C205">
        <v>39492008</v>
      </c>
      <c r="D205">
        <v>36884526</v>
      </c>
      <c r="E205">
        <v>1</v>
      </c>
      <c r="F205">
        <v>1</v>
      </c>
      <c r="G205">
        <v>1</v>
      </c>
      <c r="H205">
        <v>2</v>
      </c>
      <c r="I205" t="s">
        <v>811</v>
      </c>
      <c r="J205" t="s">
        <v>812</v>
      </c>
      <c r="K205" t="s">
        <v>813</v>
      </c>
      <c r="L205">
        <v>1368</v>
      </c>
      <c r="N205">
        <v>1011</v>
      </c>
      <c r="O205" t="s">
        <v>647</v>
      </c>
      <c r="P205" t="s">
        <v>647</v>
      </c>
      <c r="Q205">
        <v>1</v>
      </c>
      <c r="W205">
        <v>0</v>
      </c>
      <c r="X205">
        <v>-995250510</v>
      </c>
      <c r="Y205">
        <v>0.09</v>
      </c>
      <c r="AA205">
        <v>0</v>
      </c>
      <c r="AB205">
        <v>7.25</v>
      </c>
      <c r="AC205">
        <v>0</v>
      </c>
      <c r="AD205">
        <v>0</v>
      </c>
      <c r="AE205">
        <v>0</v>
      </c>
      <c r="AF205">
        <v>1.1100000000000001</v>
      </c>
      <c r="AG205">
        <v>0</v>
      </c>
      <c r="AH205">
        <v>0</v>
      </c>
      <c r="AI205">
        <v>1</v>
      </c>
      <c r="AJ205">
        <v>6.53</v>
      </c>
      <c r="AK205">
        <v>1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3</v>
      </c>
      <c r="AT205">
        <v>0.09</v>
      </c>
      <c r="AU205" t="s">
        <v>3</v>
      </c>
      <c r="AV205">
        <v>0</v>
      </c>
      <c r="AW205">
        <v>2</v>
      </c>
      <c r="AX205">
        <v>39492026</v>
      </c>
      <c r="AY205">
        <v>1</v>
      </c>
      <c r="AZ205">
        <v>0</v>
      </c>
      <c r="BA205">
        <v>204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Y205*Source!I164</f>
        <v>0.09</v>
      </c>
      <c r="CY205">
        <f>AB205</f>
        <v>7.25</v>
      </c>
      <c r="CZ205">
        <f>AF205</f>
        <v>1.1100000000000001</v>
      </c>
      <c r="DA205">
        <f>AJ205</f>
        <v>6.53</v>
      </c>
      <c r="DB205">
        <v>0</v>
      </c>
    </row>
    <row r="206" spans="1:106" x14ac:dyDescent="0.2">
      <c r="A206">
        <f>ROW(Source!A164)</f>
        <v>164</v>
      </c>
      <c r="B206">
        <v>39099382</v>
      </c>
      <c r="C206">
        <v>39492008</v>
      </c>
      <c r="D206">
        <v>36800043</v>
      </c>
      <c r="E206">
        <v>1</v>
      </c>
      <c r="F206">
        <v>1</v>
      </c>
      <c r="G206">
        <v>1</v>
      </c>
      <c r="H206">
        <v>3</v>
      </c>
      <c r="I206" t="s">
        <v>814</v>
      </c>
      <c r="J206" t="s">
        <v>815</v>
      </c>
      <c r="K206" t="s">
        <v>816</v>
      </c>
      <c r="L206">
        <v>1346</v>
      </c>
      <c r="N206">
        <v>1009</v>
      </c>
      <c r="O206" t="s">
        <v>97</v>
      </c>
      <c r="P206" t="s">
        <v>97</v>
      </c>
      <c r="Q206">
        <v>1</v>
      </c>
      <c r="W206">
        <v>0</v>
      </c>
      <c r="X206">
        <v>618806536</v>
      </c>
      <c r="Y206">
        <v>6.0000000000000001E-3</v>
      </c>
      <c r="AA206">
        <v>293.64999999999998</v>
      </c>
      <c r="AB206">
        <v>0</v>
      </c>
      <c r="AC206">
        <v>0</v>
      </c>
      <c r="AD206">
        <v>0</v>
      </c>
      <c r="AE206">
        <v>44.97</v>
      </c>
      <c r="AF206">
        <v>0</v>
      </c>
      <c r="AG206">
        <v>0</v>
      </c>
      <c r="AH206">
        <v>0</v>
      </c>
      <c r="AI206">
        <v>6.53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3</v>
      </c>
      <c r="AT206">
        <v>6.0000000000000001E-3</v>
      </c>
      <c r="AU206" t="s">
        <v>3</v>
      </c>
      <c r="AV206">
        <v>0</v>
      </c>
      <c r="AW206">
        <v>2</v>
      </c>
      <c r="AX206">
        <v>39492027</v>
      </c>
      <c r="AY206">
        <v>1</v>
      </c>
      <c r="AZ206">
        <v>0</v>
      </c>
      <c r="BA206">
        <v>205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Y206*Source!I164</f>
        <v>6.0000000000000001E-3</v>
      </c>
      <c r="CY206">
        <f t="shared" ref="CY206:CY217" si="9">AA206</f>
        <v>293.64999999999998</v>
      </c>
      <c r="CZ206">
        <f t="shared" ref="CZ206:CZ217" si="10">AE206</f>
        <v>44.97</v>
      </c>
      <c r="DA206">
        <f t="shared" ref="DA206:DA217" si="11">AI206</f>
        <v>6.53</v>
      </c>
      <c r="DB206">
        <v>0</v>
      </c>
    </row>
    <row r="207" spans="1:106" x14ac:dyDescent="0.2">
      <c r="A207">
        <f>ROW(Source!A164)</f>
        <v>164</v>
      </c>
      <c r="B207">
        <v>39099382</v>
      </c>
      <c r="C207">
        <v>39492008</v>
      </c>
      <c r="D207">
        <v>36801775</v>
      </c>
      <c r="E207">
        <v>1</v>
      </c>
      <c r="F207">
        <v>1</v>
      </c>
      <c r="G207">
        <v>1</v>
      </c>
      <c r="H207">
        <v>3</v>
      </c>
      <c r="I207" t="s">
        <v>817</v>
      </c>
      <c r="J207" t="s">
        <v>818</v>
      </c>
      <c r="K207" t="s">
        <v>819</v>
      </c>
      <c r="L207">
        <v>1346</v>
      </c>
      <c r="N207">
        <v>1009</v>
      </c>
      <c r="O207" t="s">
        <v>97</v>
      </c>
      <c r="P207" t="s">
        <v>97</v>
      </c>
      <c r="Q207">
        <v>1</v>
      </c>
      <c r="W207">
        <v>0</v>
      </c>
      <c r="X207">
        <v>56922527</v>
      </c>
      <c r="Y207">
        <v>2E-3</v>
      </c>
      <c r="AA207">
        <v>75.099999999999994</v>
      </c>
      <c r="AB207">
        <v>0</v>
      </c>
      <c r="AC207">
        <v>0</v>
      </c>
      <c r="AD207">
        <v>0</v>
      </c>
      <c r="AE207">
        <v>11.5</v>
      </c>
      <c r="AF207">
        <v>0</v>
      </c>
      <c r="AG207">
        <v>0</v>
      </c>
      <c r="AH207">
        <v>0</v>
      </c>
      <c r="AI207">
        <v>6.53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3</v>
      </c>
      <c r="AT207">
        <v>2E-3</v>
      </c>
      <c r="AU207" t="s">
        <v>3</v>
      </c>
      <c r="AV207">
        <v>0</v>
      </c>
      <c r="AW207">
        <v>2</v>
      </c>
      <c r="AX207">
        <v>39492028</v>
      </c>
      <c r="AY207">
        <v>1</v>
      </c>
      <c r="AZ207">
        <v>0</v>
      </c>
      <c r="BA207">
        <v>206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Y207*Source!I164</f>
        <v>2E-3</v>
      </c>
      <c r="CY207">
        <f t="shared" si="9"/>
        <v>75.099999999999994</v>
      </c>
      <c r="CZ207">
        <f t="shared" si="10"/>
        <v>11.5</v>
      </c>
      <c r="DA207">
        <f t="shared" si="11"/>
        <v>6.53</v>
      </c>
      <c r="DB207">
        <v>0</v>
      </c>
    </row>
    <row r="208" spans="1:106" x14ac:dyDescent="0.2">
      <c r="A208">
        <f>ROW(Source!A164)</f>
        <v>164</v>
      </c>
      <c r="B208">
        <v>39099382</v>
      </c>
      <c r="C208">
        <v>39492008</v>
      </c>
      <c r="D208">
        <v>36802094</v>
      </c>
      <c r="E208">
        <v>1</v>
      </c>
      <c r="F208">
        <v>1</v>
      </c>
      <c r="G208">
        <v>1</v>
      </c>
      <c r="H208">
        <v>3</v>
      </c>
      <c r="I208" t="s">
        <v>820</v>
      </c>
      <c r="J208" t="s">
        <v>821</v>
      </c>
      <c r="K208" t="s">
        <v>822</v>
      </c>
      <c r="L208">
        <v>1346</v>
      </c>
      <c r="N208">
        <v>1009</v>
      </c>
      <c r="O208" t="s">
        <v>97</v>
      </c>
      <c r="P208" t="s">
        <v>97</v>
      </c>
      <c r="Q208">
        <v>1</v>
      </c>
      <c r="W208">
        <v>0</v>
      </c>
      <c r="X208">
        <v>-1088866022</v>
      </c>
      <c r="Y208">
        <v>2.4E-2</v>
      </c>
      <c r="AA208">
        <v>198.51</v>
      </c>
      <c r="AB208">
        <v>0</v>
      </c>
      <c r="AC208">
        <v>0</v>
      </c>
      <c r="AD208">
        <v>0</v>
      </c>
      <c r="AE208">
        <v>30.4</v>
      </c>
      <c r="AF208">
        <v>0</v>
      </c>
      <c r="AG208">
        <v>0</v>
      </c>
      <c r="AH208">
        <v>0</v>
      </c>
      <c r="AI208">
        <v>6.53</v>
      </c>
      <c r="AJ208">
        <v>1</v>
      </c>
      <c r="AK208">
        <v>1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3</v>
      </c>
      <c r="AT208">
        <v>2.4E-2</v>
      </c>
      <c r="AU208" t="s">
        <v>3</v>
      </c>
      <c r="AV208">
        <v>0</v>
      </c>
      <c r="AW208">
        <v>2</v>
      </c>
      <c r="AX208">
        <v>39492029</v>
      </c>
      <c r="AY208">
        <v>1</v>
      </c>
      <c r="AZ208">
        <v>0</v>
      </c>
      <c r="BA208">
        <v>207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Y208*Source!I164</f>
        <v>2.4E-2</v>
      </c>
      <c r="CY208">
        <f t="shared" si="9"/>
        <v>198.51</v>
      </c>
      <c r="CZ208">
        <f t="shared" si="10"/>
        <v>30.4</v>
      </c>
      <c r="DA208">
        <f t="shared" si="11"/>
        <v>6.53</v>
      </c>
      <c r="DB208">
        <v>0</v>
      </c>
    </row>
    <row r="209" spans="1:106" x14ac:dyDescent="0.2">
      <c r="A209">
        <f>ROW(Source!A164)</f>
        <v>164</v>
      </c>
      <c r="B209">
        <v>39099382</v>
      </c>
      <c r="C209">
        <v>39492008</v>
      </c>
      <c r="D209">
        <v>36803258</v>
      </c>
      <c r="E209">
        <v>1</v>
      </c>
      <c r="F209">
        <v>1</v>
      </c>
      <c r="G209">
        <v>1</v>
      </c>
      <c r="H209">
        <v>3</v>
      </c>
      <c r="I209" t="s">
        <v>823</v>
      </c>
      <c r="J209" t="s">
        <v>824</v>
      </c>
      <c r="K209" t="s">
        <v>825</v>
      </c>
      <c r="L209">
        <v>1346</v>
      </c>
      <c r="N209">
        <v>1009</v>
      </c>
      <c r="O209" t="s">
        <v>97</v>
      </c>
      <c r="P209" t="s">
        <v>97</v>
      </c>
      <c r="Q209">
        <v>1</v>
      </c>
      <c r="W209">
        <v>0</v>
      </c>
      <c r="X209">
        <v>586013393</v>
      </c>
      <c r="Y209">
        <v>7.0000000000000007E-2</v>
      </c>
      <c r="AA209">
        <v>69.02</v>
      </c>
      <c r="AB209">
        <v>0</v>
      </c>
      <c r="AC209">
        <v>0</v>
      </c>
      <c r="AD209">
        <v>0</v>
      </c>
      <c r="AE209">
        <v>10.57</v>
      </c>
      <c r="AF209">
        <v>0</v>
      </c>
      <c r="AG209">
        <v>0</v>
      </c>
      <c r="AH209">
        <v>0</v>
      </c>
      <c r="AI209">
        <v>6.53</v>
      </c>
      <c r="AJ209">
        <v>1</v>
      </c>
      <c r="AK209">
        <v>1</v>
      </c>
      <c r="AL209">
        <v>1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3</v>
      </c>
      <c r="AT209">
        <v>7.0000000000000007E-2</v>
      </c>
      <c r="AU209" t="s">
        <v>3</v>
      </c>
      <c r="AV209">
        <v>0</v>
      </c>
      <c r="AW209">
        <v>2</v>
      </c>
      <c r="AX209">
        <v>39492030</v>
      </c>
      <c r="AY209">
        <v>1</v>
      </c>
      <c r="AZ209">
        <v>0</v>
      </c>
      <c r="BA209">
        <v>208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Y209*Source!I164</f>
        <v>7.0000000000000007E-2</v>
      </c>
      <c r="CY209">
        <f t="shared" si="9"/>
        <v>69.02</v>
      </c>
      <c r="CZ209">
        <f t="shared" si="10"/>
        <v>10.57</v>
      </c>
      <c r="DA209">
        <f t="shared" si="11"/>
        <v>6.53</v>
      </c>
      <c r="DB209">
        <v>0</v>
      </c>
    </row>
    <row r="210" spans="1:106" x14ac:dyDescent="0.2">
      <c r="A210">
        <f>ROW(Source!A164)</f>
        <v>164</v>
      </c>
      <c r="B210">
        <v>39099382</v>
      </c>
      <c r="C210">
        <v>39492008</v>
      </c>
      <c r="D210">
        <v>36804448</v>
      </c>
      <c r="E210">
        <v>1</v>
      </c>
      <c r="F210">
        <v>1</v>
      </c>
      <c r="G210">
        <v>1</v>
      </c>
      <c r="H210">
        <v>3</v>
      </c>
      <c r="I210" t="s">
        <v>826</v>
      </c>
      <c r="J210" t="s">
        <v>827</v>
      </c>
      <c r="K210" t="s">
        <v>828</v>
      </c>
      <c r="L210">
        <v>1346</v>
      </c>
      <c r="N210">
        <v>1009</v>
      </c>
      <c r="O210" t="s">
        <v>97</v>
      </c>
      <c r="P210" t="s">
        <v>97</v>
      </c>
      <c r="Q210">
        <v>1</v>
      </c>
      <c r="W210">
        <v>0</v>
      </c>
      <c r="X210">
        <v>103900845</v>
      </c>
      <c r="Y210">
        <v>0.14000000000000001</v>
      </c>
      <c r="AA210">
        <v>59.03</v>
      </c>
      <c r="AB210">
        <v>0</v>
      </c>
      <c r="AC210">
        <v>0</v>
      </c>
      <c r="AD210">
        <v>0</v>
      </c>
      <c r="AE210">
        <v>9.0399999999999991</v>
      </c>
      <c r="AF210">
        <v>0</v>
      </c>
      <c r="AG210">
        <v>0</v>
      </c>
      <c r="AH210">
        <v>0</v>
      </c>
      <c r="AI210">
        <v>6.53</v>
      </c>
      <c r="AJ210">
        <v>1</v>
      </c>
      <c r="AK210">
        <v>1</v>
      </c>
      <c r="AL210">
        <v>1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3</v>
      </c>
      <c r="AT210">
        <v>0.14000000000000001</v>
      </c>
      <c r="AU210" t="s">
        <v>3</v>
      </c>
      <c r="AV210">
        <v>0</v>
      </c>
      <c r="AW210">
        <v>2</v>
      </c>
      <c r="AX210">
        <v>39492031</v>
      </c>
      <c r="AY210">
        <v>1</v>
      </c>
      <c r="AZ210">
        <v>0</v>
      </c>
      <c r="BA210">
        <v>209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Y210*Source!I164</f>
        <v>0.14000000000000001</v>
      </c>
      <c r="CY210">
        <f t="shared" si="9"/>
        <v>59.03</v>
      </c>
      <c r="CZ210">
        <f t="shared" si="10"/>
        <v>9.0399999999999991</v>
      </c>
      <c r="DA210">
        <f t="shared" si="11"/>
        <v>6.53</v>
      </c>
      <c r="DB210">
        <v>0</v>
      </c>
    </row>
    <row r="211" spans="1:106" x14ac:dyDescent="0.2">
      <c r="A211">
        <f>ROW(Source!A164)</f>
        <v>164</v>
      </c>
      <c r="B211">
        <v>39099382</v>
      </c>
      <c r="C211">
        <v>39492008</v>
      </c>
      <c r="D211">
        <v>36804580</v>
      </c>
      <c r="E211">
        <v>1</v>
      </c>
      <c r="F211">
        <v>1</v>
      </c>
      <c r="G211">
        <v>1</v>
      </c>
      <c r="H211">
        <v>3</v>
      </c>
      <c r="I211" t="s">
        <v>829</v>
      </c>
      <c r="J211" t="s">
        <v>830</v>
      </c>
      <c r="K211" t="s">
        <v>831</v>
      </c>
      <c r="L211">
        <v>1355</v>
      </c>
      <c r="N211">
        <v>1010</v>
      </c>
      <c r="O211" t="s">
        <v>120</v>
      </c>
      <c r="P211" t="s">
        <v>120</v>
      </c>
      <c r="Q211">
        <v>100</v>
      </c>
      <c r="W211">
        <v>0</v>
      </c>
      <c r="X211">
        <v>1794244060</v>
      </c>
      <c r="Y211">
        <v>7.0000000000000001E-3</v>
      </c>
      <c r="AA211">
        <v>561.58000000000004</v>
      </c>
      <c r="AB211">
        <v>0</v>
      </c>
      <c r="AC211">
        <v>0</v>
      </c>
      <c r="AD211">
        <v>0</v>
      </c>
      <c r="AE211">
        <v>86</v>
      </c>
      <c r="AF211">
        <v>0</v>
      </c>
      <c r="AG211">
        <v>0</v>
      </c>
      <c r="AH211">
        <v>0</v>
      </c>
      <c r="AI211">
        <v>6.53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3</v>
      </c>
      <c r="AT211">
        <v>7.0000000000000001E-3</v>
      </c>
      <c r="AU211" t="s">
        <v>3</v>
      </c>
      <c r="AV211">
        <v>0</v>
      </c>
      <c r="AW211">
        <v>2</v>
      </c>
      <c r="AX211">
        <v>39492032</v>
      </c>
      <c r="AY211">
        <v>1</v>
      </c>
      <c r="AZ211">
        <v>0</v>
      </c>
      <c r="BA211">
        <v>210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Y211*Source!I164</f>
        <v>7.0000000000000001E-3</v>
      </c>
      <c r="CY211">
        <f t="shared" si="9"/>
        <v>561.58000000000004</v>
      </c>
      <c r="CZ211">
        <f t="shared" si="10"/>
        <v>86</v>
      </c>
      <c r="DA211">
        <f t="shared" si="11"/>
        <v>6.53</v>
      </c>
      <c r="DB211">
        <v>0</v>
      </c>
    </row>
    <row r="212" spans="1:106" x14ac:dyDescent="0.2">
      <c r="A212">
        <f>ROW(Source!A164)</f>
        <v>164</v>
      </c>
      <c r="B212">
        <v>39099382</v>
      </c>
      <c r="C212">
        <v>39492008</v>
      </c>
      <c r="D212">
        <v>36805500</v>
      </c>
      <c r="E212">
        <v>1</v>
      </c>
      <c r="F212">
        <v>1</v>
      </c>
      <c r="G212">
        <v>1</v>
      </c>
      <c r="H212">
        <v>3</v>
      </c>
      <c r="I212" t="s">
        <v>832</v>
      </c>
      <c r="J212" t="s">
        <v>833</v>
      </c>
      <c r="K212" t="s">
        <v>834</v>
      </c>
      <c r="L212">
        <v>1346</v>
      </c>
      <c r="N212">
        <v>1009</v>
      </c>
      <c r="O212" t="s">
        <v>97</v>
      </c>
      <c r="P212" t="s">
        <v>97</v>
      </c>
      <c r="Q212">
        <v>1</v>
      </c>
      <c r="W212">
        <v>0</v>
      </c>
      <c r="X212">
        <v>-856710481</v>
      </c>
      <c r="Y212">
        <v>2E-3</v>
      </c>
      <c r="AA212">
        <v>868.82</v>
      </c>
      <c r="AB212">
        <v>0</v>
      </c>
      <c r="AC212">
        <v>0</v>
      </c>
      <c r="AD212">
        <v>0</v>
      </c>
      <c r="AE212">
        <v>133.05000000000001</v>
      </c>
      <c r="AF212">
        <v>0</v>
      </c>
      <c r="AG212">
        <v>0</v>
      </c>
      <c r="AH212">
        <v>0</v>
      </c>
      <c r="AI212">
        <v>6.53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3</v>
      </c>
      <c r="AT212">
        <v>2E-3</v>
      </c>
      <c r="AU212" t="s">
        <v>3</v>
      </c>
      <c r="AV212">
        <v>0</v>
      </c>
      <c r="AW212">
        <v>2</v>
      </c>
      <c r="AX212">
        <v>39492033</v>
      </c>
      <c r="AY212">
        <v>1</v>
      </c>
      <c r="AZ212">
        <v>0</v>
      </c>
      <c r="BA212">
        <v>211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Y212*Source!I164</f>
        <v>2E-3</v>
      </c>
      <c r="CY212">
        <f t="shared" si="9"/>
        <v>868.82</v>
      </c>
      <c r="CZ212">
        <f t="shared" si="10"/>
        <v>133.05000000000001</v>
      </c>
      <c r="DA212">
        <f t="shared" si="11"/>
        <v>6.53</v>
      </c>
      <c r="DB212">
        <v>0</v>
      </c>
    </row>
    <row r="213" spans="1:106" x14ac:dyDescent="0.2">
      <c r="A213">
        <f>ROW(Source!A164)</f>
        <v>164</v>
      </c>
      <c r="B213">
        <v>39099382</v>
      </c>
      <c r="C213">
        <v>39492008</v>
      </c>
      <c r="D213">
        <v>36823140</v>
      </c>
      <c r="E213">
        <v>1</v>
      </c>
      <c r="F213">
        <v>1</v>
      </c>
      <c r="G213">
        <v>1</v>
      </c>
      <c r="H213">
        <v>3</v>
      </c>
      <c r="I213" t="s">
        <v>835</v>
      </c>
      <c r="J213" t="s">
        <v>836</v>
      </c>
      <c r="K213" t="s">
        <v>837</v>
      </c>
      <c r="L213">
        <v>1348</v>
      </c>
      <c r="N213">
        <v>1009</v>
      </c>
      <c r="O213" t="s">
        <v>189</v>
      </c>
      <c r="P213" t="s">
        <v>189</v>
      </c>
      <c r="Q213">
        <v>1000</v>
      </c>
      <c r="W213">
        <v>0</v>
      </c>
      <c r="X213">
        <v>426000481</v>
      </c>
      <c r="Y213">
        <v>3.0000000000000001E-3</v>
      </c>
      <c r="AA213">
        <v>75095</v>
      </c>
      <c r="AB213">
        <v>0</v>
      </c>
      <c r="AC213">
        <v>0</v>
      </c>
      <c r="AD213">
        <v>0</v>
      </c>
      <c r="AE213">
        <v>11500</v>
      </c>
      <c r="AF213">
        <v>0</v>
      </c>
      <c r="AG213">
        <v>0</v>
      </c>
      <c r="AH213">
        <v>0</v>
      </c>
      <c r="AI213">
        <v>6.53</v>
      </c>
      <c r="AJ213">
        <v>1</v>
      </c>
      <c r="AK213">
        <v>1</v>
      </c>
      <c r="AL213">
        <v>1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3</v>
      </c>
      <c r="AT213">
        <v>3.0000000000000001E-3</v>
      </c>
      <c r="AU213" t="s">
        <v>3</v>
      </c>
      <c r="AV213">
        <v>0</v>
      </c>
      <c r="AW213">
        <v>2</v>
      </c>
      <c r="AX213">
        <v>39492034</v>
      </c>
      <c r="AY213">
        <v>1</v>
      </c>
      <c r="AZ213">
        <v>0</v>
      </c>
      <c r="BA213">
        <v>212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Y213*Source!I164</f>
        <v>3.0000000000000001E-3</v>
      </c>
      <c r="CY213">
        <f t="shared" si="9"/>
        <v>75095</v>
      </c>
      <c r="CZ213">
        <f t="shared" si="10"/>
        <v>11500</v>
      </c>
      <c r="DA213">
        <f t="shared" si="11"/>
        <v>6.53</v>
      </c>
      <c r="DB213">
        <v>0</v>
      </c>
    </row>
    <row r="214" spans="1:106" x14ac:dyDescent="0.2">
      <c r="A214">
        <f>ROW(Source!A164)</f>
        <v>164</v>
      </c>
      <c r="B214">
        <v>39099382</v>
      </c>
      <c r="C214">
        <v>39492008</v>
      </c>
      <c r="D214">
        <v>36838317</v>
      </c>
      <c r="E214">
        <v>1</v>
      </c>
      <c r="F214">
        <v>1</v>
      </c>
      <c r="G214">
        <v>1</v>
      </c>
      <c r="H214">
        <v>3</v>
      </c>
      <c r="I214" t="s">
        <v>838</v>
      </c>
      <c r="J214" t="s">
        <v>839</v>
      </c>
      <c r="K214" t="s">
        <v>840</v>
      </c>
      <c r="L214">
        <v>1346</v>
      </c>
      <c r="N214">
        <v>1009</v>
      </c>
      <c r="O214" t="s">
        <v>97</v>
      </c>
      <c r="P214" t="s">
        <v>97</v>
      </c>
      <c r="Q214">
        <v>1</v>
      </c>
      <c r="W214">
        <v>0</v>
      </c>
      <c r="X214">
        <v>210558753</v>
      </c>
      <c r="Y214">
        <v>1.7999999999999999E-2</v>
      </c>
      <c r="AA214">
        <v>186.76</v>
      </c>
      <c r="AB214">
        <v>0</v>
      </c>
      <c r="AC214">
        <v>0</v>
      </c>
      <c r="AD214">
        <v>0</v>
      </c>
      <c r="AE214">
        <v>28.6</v>
      </c>
      <c r="AF214">
        <v>0</v>
      </c>
      <c r="AG214">
        <v>0</v>
      </c>
      <c r="AH214">
        <v>0</v>
      </c>
      <c r="AI214">
        <v>6.53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3</v>
      </c>
      <c r="AT214">
        <v>1.7999999999999999E-2</v>
      </c>
      <c r="AU214" t="s">
        <v>3</v>
      </c>
      <c r="AV214">
        <v>0</v>
      </c>
      <c r="AW214">
        <v>2</v>
      </c>
      <c r="AX214">
        <v>39492035</v>
      </c>
      <c r="AY214">
        <v>1</v>
      </c>
      <c r="AZ214">
        <v>0</v>
      </c>
      <c r="BA214">
        <v>213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Y214*Source!I164</f>
        <v>1.7999999999999999E-2</v>
      </c>
      <c r="CY214">
        <f t="shared" si="9"/>
        <v>186.76</v>
      </c>
      <c r="CZ214">
        <f t="shared" si="10"/>
        <v>28.6</v>
      </c>
      <c r="DA214">
        <f t="shared" si="11"/>
        <v>6.53</v>
      </c>
      <c r="DB214">
        <v>0</v>
      </c>
    </row>
    <row r="215" spans="1:106" x14ac:dyDescent="0.2">
      <c r="A215">
        <f>ROW(Source!A164)</f>
        <v>164</v>
      </c>
      <c r="B215">
        <v>39099382</v>
      </c>
      <c r="C215">
        <v>39492008</v>
      </c>
      <c r="D215">
        <v>36838470</v>
      </c>
      <c r="E215">
        <v>1</v>
      </c>
      <c r="F215">
        <v>1</v>
      </c>
      <c r="G215">
        <v>1</v>
      </c>
      <c r="H215">
        <v>3</v>
      </c>
      <c r="I215" t="s">
        <v>841</v>
      </c>
      <c r="J215" t="s">
        <v>842</v>
      </c>
      <c r="K215" t="s">
        <v>843</v>
      </c>
      <c r="L215">
        <v>1346</v>
      </c>
      <c r="N215">
        <v>1009</v>
      </c>
      <c r="O215" t="s">
        <v>97</v>
      </c>
      <c r="P215" t="s">
        <v>97</v>
      </c>
      <c r="Q215">
        <v>1</v>
      </c>
      <c r="W215">
        <v>0</v>
      </c>
      <c r="X215">
        <v>-1274984028</v>
      </c>
      <c r="Y215">
        <v>8.9999999999999993E-3</v>
      </c>
      <c r="AA215">
        <v>232.66</v>
      </c>
      <c r="AB215">
        <v>0</v>
      </c>
      <c r="AC215">
        <v>0</v>
      </c>
      <c r="AD215">
        <v>0</v>
      </c>
      <c r="AE215">
        <v>35.630000000000003</v>
      </c>
      <c r="AF215">
        <v>0</v>
      </c>
      <c r="AG215">
        <v>0</v>
      </c>
      <c r="AH215">
        <v>0</v>
      </c>
      <c r="AI215">
        <v>6.53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0</v>
      </c>
      <c r="AQ215">
        <v>0</v>
      </c>
      <c r="AR215">
        <v>0</v>
      </c>
      <c r="AS215" t="s">
        <v>3</v>
      </c>
      <c r="AT215">
        <v>8.9999999999999993E-3</v>
      </c>
      <c r="AU215" t="s">
        <v>3</v>
      </c>
      <c r="AV215">
        <v>0</v>
      </c>
      <c r="AW215">
        <v>2</v>
      </c>
      <c r="AX215">
        <v>39492036</v>
      </c>
      <c r="AY215">
        <v>1</v>
      </c>
      <c r="AZ215">
        <v>0</v>
      </c>
      <c r="BA215">
        <v>214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Y215*Source!I164</f>
        <v>8.9999999999999993E-3</v>
      </c>
      <c r="CY215">
        <f t="shared" si="9"/>
        <v>232.66</v>
      </c>
      <c r="CZ215">
        <f t="shared" si="10"/>
        <v>35.630000000000003</v>
      </c>
      <c r="DA215">
        <f t="shared" si="11"/>
        <v>6.53</v>
      </c>
      <c r="DB215">
        <v>0</v>
      </c>
    </row>
    <row r="216" spans="1:106" x14ac:dyDescent="0.2">
      <c r="A216">
        <f>ROW(Source!A164)</f>
        <v>164</v>
      </c>
      <c r="B216">
        <v>39099382</v>
      </c>
      <c r="C216">
        <v>39492008</v>
      </c>
      <c r="D216">
        <v>36851945</v>
      </c>
      <c r="E216">
        <v>1</v>
      </c>
      <c r="F216">
        <v>1</v>
      </c>
      <c r="G216">
        <v>1</v>
      </c>
      <c r="H216">
        <v>3</v>
      </c>
      <c r="I216" t="s">
        <v>844</v>
      </c>
      <c r="J216" t="s">
        <v>845</v>
      </c>
      <c r="K216" t="s">
        <v>846</v>
      </c>
      <c r="L216">
        <v>1358</v>
      </c>
      <c r="N216">
        <v>1010</v>
      </c>
      <c r="O216" t="s">
        <v>417</v>
      </c>
      <c r="P216" t="s">
        <v>417</v>
      </c>
      <c r="Q216">
        <v>10</v>
      </c>
      <c r="W216">
        <v>0</v>
      </c>
      <c r="X216">
        <v>1386890308</v>
      </c>
      <c r="Y216">
        <v>0.1</v>
      </c>
      <c r="AA216">
        <v>254.67</v>
      </c>
      <c r="AB216">
        <v>0</v>
      </c>
      <c r="AC216">
        <v>0</v>
      </c>
      <c r="AD216">
        <v>0</v>
      </c>
      <c r="AE216">
        <v>39</v>
      </c>
      <c r="AF216">
        <v>0</v>
      </c>
      <c r="AG216">
        <v>0</v>
      </c>
      <c r="AH216">
        <v>0</v>
      </c>
      <c r="AI216">
        <v>6.53</v>
      </c>
      <c r="AJ216">
        <v>1</v>
      </c>
      <c r="AK216">
        <v>1</v>
      </c>
      <c r="AL216">
        <v>1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3</v>
      </c>
      <c r="AT216">
        <v>0.1</v>
      </c>
      <c r="AU216" t="s">
        <v>3</v>
      </c>
      <c r="AV216">
        <v>0</v>
      </c>
      <c r="AW216">
        <v>2</v>
      </c>
      <c r="AX216">
        <v>39492037</v>
      </c>
      <c r="AY216">
        <v>1</v>
      </c>
      <c r="AZ216">
        <v>0</v>
      </c>
      <c r="BA216">
        <v>215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Y216*Source!I164</f>
        <v>0.1</v>
      </c>
      <c r="CY216">
        <f t="shared" si="9"/>
        <v>254.67</v>
      </c>
      <c r="CZ216">
        <f t="shared" si="10"/>
        <v>39</v>
      </c>
      <c r="DA216">
        <f t="shared" si="11"/>
        <v>6.53</v>
      </c>
      <c r="DB216">
        <v>0</v>
      </c>
    </row>
    <row r="217" spans="1:106" x14ac:dyDescent="0.2">
      <c r="A217">
        <f>ROW(Source!A164)</f>
        <v>164</v>
      </c>
      <c r="B217">
        <v>39099382</v>
      </c>
      <c r="C217">
        <v>39492008</v>
      </c>
      <c r="D217">
        <v>36799065</v>
      </c>
      <c r="E217">
        <v>17</v>
      </c>
      <c r="F217">
        <v>1</v>
      </c>
      <c r="G217">
        <v>1</v>
      </c>
      <c r="H217">
        <v>3</v>
      </c>
      <c r="I217" t="s">
        <v>801</v>
      </c>
      <c r="J217" t="s">
        <v>3</v>
      </c>
      <c r="K217" t="s">
        <v>802</v>
      </c>
      <c r="L217">
        <v>1374</v>
      </c>
      <c r="N217">
        <v>1013</v>
      </c>
      <c r="O217" t="s">
        <v>803</v>
      </c>
      <c r="P217" t="s">
        <v>803</v>
      </c>
      <c r="Q217">
        <v>1</v>
      </c>
      <c r="W217">
        <v>0</v>
      </c>
      <c r="X217">
        <v>-1731369543</v>
      </c>
      <c r="Y217">
        <v>0.43</v>
      </c>
      <c r="AA217">
        <v>1</v>
      </c>
      <c r="AB217">
        <v>0</v>
      </c>
      <c r="AC217">
        <v>0</v>
      </c>
      <c r="AD217">
        <v>0</v>
      </c>
      <c r="AE217">
        <v>1</v>
      </c>
      <c r="AF217">
        <v>0</v>
      </c>
      <c r="AG217">
        <v>0</v>
      </c>
      <c r="AH217">
        <v>0</v>
      </c>
      <c r="AI217">
        <v>1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0</v>
      </c>
      <c r="AQ217">
        <v>0</v>
      </c>
      <c r="AR217">
        <v>0</v>
      </c>
      <c r="AS217" t="s">
        <v>3</v>
      </c>
      <c r="AT217">
        <v>0.43</v>
      </c>
      <c r="AU217" t="s">
        <v>3</v>
      </c>
      <c r="AV217">
        <v>0</v>
      </c>
      <c r="AW217">
        <v>2</v>
      </c>
      <c r="AX217">
        <v>39492038</v>
      </c>
      <c r="AY217">
        <v>1</v>
      </c>
      <c r="AZ217">
        <v>0</v>
      </c>
      <c r="BA217">
        <v>216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Y217*Source!I164</f>
        <v>0.43</v>
      </c>
      <c r="CY217">
        <f t="shared" si="9"/>
        <v>1</v>
      </c>
      <c r="CZ217">
        <f t="shared" si="10"/>
        <v>1</v>
      </c>
      <c r="DA217">
        <f t="shared" si="11"/>
        <v>1</v>
      </c>
      <c r="DB217">
        <v>0</v>
      </c>
    </row>
    <row r="218" spans="1:106" x14ac:dyDescent="0.2">
      <c r="A218">
        <f>ROW(Source!A166)</f>
        <v>166</v>
      </c>
      <c r="B218">
        <v>39099382</v>
      </c>
      <c r="C218">
        <v>39099726</v>
      </c>
      <c r="D218">
        <v>37064998</v>
      </c>
      <c r="E218">
        <v>1</v>
      </c>
      <c r="F218">
        <v>1</v>
      </c>
      <c r="G218">
        <v>1</v>
      </c>
      <c r="H218">
        <v>1</v>
      </c>
      <c r="I218" t="s">
        <v>639</v>
      </c>
      <c r="J218" t="s">
        <v>3</v>
      </c>
      <c r="K218" t="s">
        <v>640</v>
      </c>
      <c r="L218">
        <v>1191</v>
      </c>
      <c r="N218">
        <v>1013</v>
      </c>
      <c r="O218" t="s">
        <v>641</v>
      </c>
      <c r="P218" t="s">
        <v>641</v>
      </c>
      <c r="Q218">
        <v>1</v>
      </c>
      <c r="W218">
        <v>0</v>
      </c>
      <c r="X218">
        <v>735429535</v>
      </c>
      <c r="Y218">
        <v>85.5</v>
      </c>
      <c r="AA218">
        <v>0</v>
      </c>
      <c r="AB218">
        <v>0</v>
      </c>
      <c r="AC218">
        <v>0</v>
      </c>
      <c r="AD218">
        <v>50.93</v>
      </c>
      <c r="AE218">
        <v>0</v>
      </c>
      <c r="AF218">
        <v>0</v>
      </c>
      <c r="AG218">
        <v>0</v>
      </c>
      <c r="AH218">
        <v>7.8</v>
      </c>
      <c r="AI218">
        <v>1</v>
      </c>
      <c r="AJ218">
        <v>1</v>
      </c>
      <c r="AK218">
        <v>1</v>
      </c>
      <c r="AL218">
        <v>6.53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3</v>
      </c>
      <c r="AT218">
        <v>85.5</v>
      </c>
      <c r="AU218" t="s">
        <v>3</v>
      </c>
      <c r="AV218">
        <v>1</v>
      </c>
      <c r="AW218">
        <v>2</v>
      </c>
      <c r="AX218">
        <v>39099728</v>
      </c>
      <c r="AY218">
        <v>1</v>
      </c>
      <c r="AZ218">
        <v>0</v>
      </c>
      <c r="BA218">
        <v>217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Y218*Source!I166</f>
        <v>11.97</v>
      </c>
      <c r="CY218">
        <f>AD218</f>
        <v>50.93</v>
      </c>
      <c r="CZ218">
        <f>AH218</f>
        <v>7.8</v>
      </c>
      <c r="DA218">
        <f>AL218</f>
        <v>6.53</v>
      </c>
      <c r="DB218">
        <v>0</v>
      </c>
    </row>
    <row r="219" spans="1:106" x14ac:dyDescent="0.2">
      <c r="A219">
        <f>ROW(Source!A167)</f>
        <v>167</v>
      </c>
      <c r="B219">
        <v>39099382</v>
      </c>
      <c r="C219">
        <v>39491357</v>
      </c>
      <c r="D219">
        <v>37064878</v>
      </c>
      <c r="E219">
        <v>1</v>
      </c>
      <c r="F219">
        <v>1</v>
      </c>
      <c r="G219">
        <v>1</v>
      </c>
      <c r="H219">
        <v>1</v>
      </c>
      <c r="I219" t="s">
        <v>693</v>
      </c>
      <c r="J219" t="s">
        <v>3</v>
      </c>
      <c r="K219" t="s">
        <v>694</v>
      </c>
      <c r="L219">
        <v>1191</v>
      </c>
      <c r="N219">
        <v>1013</v>
      </c>
      <c r="O219" t="s">
        <v>641</v>
      </c>
      <c r="P219" t="s">
        <v>641</v>
      </c>
      <c r="Q219">
        <v>1</v>
      </c>
      <c r="W219">
        <v>0</v>
      </c>
      <c r="X219">
        <v>-1081351934</v>
      </c>
      <c r="Y219">
        <v>15.28</v>
      </c>
      <c r="AA219">
        <v>0</v>
      </c>
      <c r="AB219">
        <v>0</v>
      </c>
      <c r="AC219">
        <v>0</v>
      </c>
      <c r="AD219">
        <v>61.38</v>
      </c>
      <c r="AE219">
        <v>0</v>
      </c>
      <c r="AF219">
        <v>0</v>
      </c>
      <c r="AG219">
        <v>0</v>
      </c>
      <c r="AH219">
        <v>9.4</v>
      </c>
      <c r="AI219">
        <v>1</v>
      </c>
      <c r="AJ219">
        <v>1</v>
      </c>
      <c r="AK219">
        <v>1</v>
      </c>
      <c r="AL219">
        <v>6.53</v>
      </c>
      <c r="AN219">
        <v>0</v>
      </c>
      <c r="AO219">
        <v>1</v>
      </c>
      <c r="AP219">
        <v>0</v>
      </c>
      <c r="AQ219">
        <v>0</v>
      </c>
      <c r="AR219">
        <v>0</v>
      </c>
      <c r="AS219" t="s">
        <v>3</v>
      </c>
      <c r="AT219">
        <v>15.28</v>
      </c>
      <c r="AU219" t="s">
        <v>3</v>
      </c>
      <c r="AV219">
        <v>1</v>
      </c>
      <c r="AW219">
        <v>2</v>
      </c>
      <c r="AX219">
        <v>39491369</v>
      </c>
      <c r="AY219">
        <v>1</v>
      </c>
      <c r="AZ219">
        <v>0</v>
      </c>
      <c r="BA219">
        <v>219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Y219*Source!I167</f>
        <v>1.4974400000000001</v>
      </c>
      <c r="CY219">
        <f>AD219</f>
        <v>61.38</v>
      </c>
      <c r="CZ219">
        <f>AH219</f>
        <v>9.4</v>
      </c>
      <c r="DA219">
        <f>AL219</f>
        <v>6.53</v>
      </c>
      <c r="DB219">
        <v>0</v>
      </c>
    </row>
    <row r="220" spans="1:106" x14ac:dyDescent="0.2">
      <c r="A220">
        <f>ROW(Source!A167)</f>
        <v>167</v>
      </c>
      <c r="B220">
        <v>39099382</v>
      </c>
      <c r="C220">
        <v>39491357</v>
      </c>
      <c r="D220">
        <v>37064876</v>
      </c>
      <c r="E220">
        <v>1</v>
      </c>
      <c r="F220">
        <v>1</v>
      </c>
      <c r="G220">
        <v>1</v>
      </c>
      <c r="H220">
        <v>1</v>
      </c>
      <c r="I220" t="s">
        <v>642</v>
      </c>
      <c r="J220" t="s">
        <v>3</v>
      </c>
      <c r="K220" t="s">
        <v>643</v>
      </c>
      <c r="L220">
        <v>1191</v>
      </c>
      <c r="N220">
        <v>1013</v>
      </c>
      <c r="O220" t="s">
        <v>641</v>
      </c>
      <c r="P220" t="s">
        <v>641</v>
      </c>
      <c r="Q220">
        <v>1</v>
      </c>
      <c r="W220">
        <v>0</v>
      </c>
      <c r="X220">
        <v>-1417349443</v>
      </c>
      <c r="Y220">
        <v>0.22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1</v>
      </c>
      <c r="AJ220">
        <v>1</v>
      </c>
      <c r="AK220">
        <v>6.53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3</v>
      </c>
      <c r="AT220">
        <v>0.22</v>
      </c>
      <c r="AU220" t="s">
        <v>3</v>
      </c>
      <c r="AV220">
        <v>2</v>
      </c>
      <c r="AW220">
        <v>2</v>
      </c>
      <c r="AX220">
        <v>39491370</v>
      </c>
      <c r="AY220">
        <v>1</v>
      </c>
      <c r="AZ220">
        <v>0</v>
      </c>
      <c r="BA220">
        <v>220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Y220*Source!I167</f>
        <v>2.1559999999999999E-2</v>
      </c>
      <c r="CY220">
        <f>AD220</f>
        <v>0</v>
      </c>
      <c r="CZ220">
        <f>AH220</f>
        <v>0</v>
      </c>
      <c r="DA220">
        <f>AL220</f>
        <v>1</v>
      </c>
      <c r="DB220">
        <v>0</v>
      </c>
    </row>
    <row r="221" spans="1:106" x14ac:dyDescent="0.2">
      <c r="A221">
        <f>ROW(Source!A167)</f>
        <v>167</v>
      </c>
      <c r="B221">
        <v>39099382</v>
      </c>
      <c r="C221">
        <v>39491357</v>
      </c>
      <c r="D221">
        <v>36882159</v>
      </c>
      <c r="E221">
        <v>1</v>
      </c>
      <c r="F221">
        <v>1</v>
      </c>
      <c r="G221">
        <v>1</v>
      </c>
      <c r="H221">
        <v>2</v>
      </c>
      <c r="I221" t="s">
        <v>765</v>
      </c>
      <c r="J221" t="s">
        <v>766</v>
      </c>
      <c r="K221" t="s">
        <v>767</v>
      </c>
      <c r="L221">
        <v>1368</v>
      </c>
      <c r="N221">
        <v>1011</v>
      </c>
      <c r="O221" t="s">
        <v>647</v>
      </c>
      <c r="P221" t="s">
        <v>647</v>
      </c>
      <c r="Q221">
        <v>1</v>
      </c>
      <c r="W221">
        <v>0</v>
      </c>
      <c r="X221">
        <v>-1718674368</v>
      </c>
      <c r="Y221">
        <v>0.11</v>
      </c>
      <c r="AA221">
        <v>0</v>
      </c>
      <c r="AB221">
        <v>731.29</v>
      </c>
      <c r="AC221">
        <v>13.5</v>
      </c>
      <c r="AD221">
        <v>0</v>
      </c>
      <c r="AE221">
        <v>0</v>
      </c>
      <c r="AF221">
        <v>111.99</v>
      </c>
      <c r="AG221">
        <v>13.5</v>
      </c>
      <c r="AH221">
        <v>0</v>
      </c>
      <c r="AI221">
        <v>1</v>
      </c>
      <c r="AJ221">
        <v>6.53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3</v>
      </c>
      <c r="AT221">
        <v>0.11</v>
      </c>
      <c r="AU221" t="s">
        <v>3</v>
      </c>
      <c r="AV221">
        <v>0</v>
      </c>
      <c r="AW221">
        <v>2</v>
      </c>
      <c r="AX221">
        <v>39491371</v>
      </c>
      <c r="AY221">
        <v>1</v>
      </c>
      <c r="AZ221">
        <v>0</v>
      </c>
      <c r="BA221">
        <v>221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Y221*Source!I167</f>
        <v>1.078E-2</v>
      </c>
      <c r="CY221">
        <f>AB221</f>
        <v>731.29</v>
      </c>
      <c r="CZ221">
        <f>AF221</f>
        <v>111.99</v>
      </c>
      <c r="DA221">
        <f>AJ221</f>
        <v>6.53</v>
      </c>
      <c r="DB221">
        <v>0</v>
      </c>
    </row>
    <row r="222" spans="1:106" x14ac:dyDescent="0.2">
      <c r="A222">
        <f>ROW(Source!A167)</f>
        <v>167</v>
      </c>
      <c r="B222">
        <v>39099382</v>
      </c>
      <c r="C222">
        <v>39491357</v>
      </c>
      <c r="D222">
        <v>36883554</v>
      </c>
      <c r="E222">
        <v>1</v>
      </c>
      <c r="F222">
        <v>1</v>
      </c>
      <c r="G222">
        <v>1</v>
      </c>
      <c r="H222">
        <v>2</v>
      </c>
      <c r="I222" t="s">
        <v>665</v>
      </c>
      <c r="J222" t="s">
        <v>666</v>
      </c>
      <c r="K222" t="s">
        <v>667</v>
      </c>
      <c r="L222">
        <v>1368</v>
      </c>
      <c r="N222">
        <v>1011</v>
      </c>
      <c r="O222" t="s">
        <v>647</v>
      </c>
      <c r="P222" t="s">
        <v>647</v>
      </c>
      <c r="Q222">
        <v>1</v>
      </c>
      <c r="W222">
        <v>0</v>
      </c>
      <c r="X222">
        <v>1372534845</v>
      </c>
      <c r="Y222">
        <v>0.11</v>
      </c>
      <c r="AA222">
        <v>0</v>
      </c>
      <c r="AB222">
        <v>429.09</v>
      </c>
      <c r="AC222">
        <v>11.6</v>
      </c>
      <c r="AD222">
        <v>0</v>
      </c>
      <c r="AE222">
        <v>0</v>
      </c>
      <c r="AF222">
        <v>65.709999999999994</v>
      </c>
      <c r="AG222">
        <v>11.6</v>
      </c>
      <c r="AH222">
        <v>0</v>
      </c>
      <c r="AI222">
        <v>1</v>
      </c>
      <c r="AJ222">
        <v>6.53</v>
      </c>
      <c r="AK222">
        <v>1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3</v>
      </c>
      <c r="AT222">
        <v>0.11</v>
      </c>
      <c r="AU222" t="s">
        <v>3</v>
      </c>
      <c r="AV222">
        <v>0</v>
      </c>
      <c r="AW222">
        <v>2</v>
      </c>
      <c r="AX222">
        <v>39491372</v>
      </c>
      <c r="AY222">
        <v>1</v>
      </c>
      <c r="AZ222">
        <v>0</v>
      </c>
      <c r="BA222">
        <v>222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Y222*Source!I167</f>
        <v>1.078E-2</v>
      </c>
      <c r="CY222">
        <f>AB222</f>
        <v>429.09</v>
      </c>
      <c r="CZ222">
        <f>AF222</f>
        <v>65.709999999999994</v>
      </c>
      <c r="DA222">
        <f>AJ222</f>
        <v>6.53</v>
      </c>
      <c r="DB222">
        <v>0</v>
      </c>
    </row>
    <row r="223" spans="1:106" x14ac:dyDescent="0.2">
      <c r="A223">
        <f>ROW(Source!A167)</f>
        <v>167</v>
      </c>
      <c r="B223">
        <v>39099382</v>
      </c>
      <c r="C223">
        <v>39491357</v>
      </c>
      <c r="D223">
        <v>36807344</v>
      </c>
      <c r="E223">
        <v>1</v>
      </c>
      <c r="F223">
        <v>1</v>
      </c>
      <c r="G223">
        <v>1</v>
      </c>
      <c r="H223">
        <v>3</v>
      </c>
      <c r="I223" t="s">
        <v>847</v>
      </c>
      <c r="J223" t="s">
        <v>848</v>
      </c>
      <c r="K223" t="s">
        <v>849</v>
      </c>
      <c r="L223">
        <v>1339</v>
      </c>
      <c r="N223">
        <v>1007</v>
      </c>
      <c r="O223" t="s">
        <v>56</v>
      </c>
      <c r="P223" t="s">
        <v>56</v>
      </c>
      <c r="Q223">
        <v>1</v>
      </c>
      <c r="W223">
        <v>0</v>
      </c>
      <c r="X223">
        <v>536744769</v>
      </c>
      <c r="Y223">
        <v>2.1000000000000001E-2</v>
      </c>
      <c r="AA223">
        <v>3918</v>
      </c>
      <c r="AB223">
        <v>0</v>
      </c>
      <c r="AC223">
        <v>0</v>
      </c>
      <c r="AD223">
        <v>0</v>
      </c>
      <c r="AE223">
        <v>600</v>
      </c>
      <c r="AF223">
        <v>0</v>
      </c>
      <c r="AG223">
        <v>0</v>
      </c>
      <c r="AH223">
        <v>0</v>
      </c>
      <c r="AI223">
        <v>6.53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0</v>
      </c>
      <c r="AQ223">
        <v>0</v>
      </c>
      <c r="AR223">
        <v>0</v>
      </c>
      <c r="AS223" t="s">
        <v>3</v>
      </c>
      <c r="AT223">
        <v>2.1000000000000001E-2</v>
      </c>
      <c r="AU223" t="s">
        <v>3</v>
      </c>
      <c r="AV223">
        <v>0</v>
      </c>
      <c r="AW223">
        <v>2</v>
      </c>
      <c r="AX223">
        <v>39491373</v>
      </c>
      <c r="AY223">
        <v>1</v>
      </c>
      <c r="AZ223">
        <v>0</v>
      </c>
      <c r="BA223">
        <v>223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Y223*Source!I167</f>
        <v>2.0580000000000004E-3</v>
      </c>
      <c r="CY223">
        <f t="shared" ref="CY223:CY229" si="12">AA223</f>
        <v>3918</v>
      </c>
      <c r="CZ223">
        <f t="shared" ref="CZ223:CZ229" si="13">AE223</f>
        <v>600</v>
      </c>
      <c r="DA223">
        <f t="shared" ref="DA223:DA229" si="14">AI223</f>
        <v>6.53</v>
      </c>
      <c r="DB223">
        <v>0</v>
      </c>
    </row>
    <row r="224" spans="1:106" x14ac:dyDescent="0.2">
      <c r="A224">
        <f>ROW(Source!A167)</f>
        <v>167</v>
      </c>
      <c r="B224">
        <v>39099382</v>
      </c>
      <c r="C224">
        <v>39491357</v>
      </c>
      <c r="D224">
        <v>36836935</v>
      </c>
      <c r="E224">
        <v>1</v>
      </c>
      <c r="F224">
        <v>1</v>
      </c>
      <c r="G224">
        <v>1</v>
      </c>
      <c r="H224">
        <v>3</v>
      </c>
      <c r="I224" t="s">
        <v>850</v>
      </c>
      <c r="J224" t="s">
        <v>851</v>
      </c>
      <c r="K224" t="s">
        <v>852</v>
      </c>
      <c r="L224">
        <v>1346</v>
      </c>
      <c r="N224">
        <v>1009</v>
      </c>
      <c r="O224" t="s">
        <v>97</v>
      </c>
      <c r="P224" t="s">
        <v>97</v>
      </c>
      <c r="Q224">
        <v>1</v>
      </c>
      <c r="W224">
        <v>0</v>
      </c>
      <c r="X224">
        <v>505519491</v>
      </c>
      <c r="Y224">
        <v>0.4</v>
      </c>
      <c r="AA224">
        <v>168.47</v>
      </c>
      <c r="AB224">
        <v>0</v>
      </c>
      <c r="AC224">
        <v>0</v>
      </c>
      <c r="AD224">
        <v>0</v>
      </c>
      <c r="AE224">
        <v>25.8</v>
      </c>
      <c r="AF224">
        <v>0</v>
      </c>
      <c r="AG224">
        <v>0</v>
      </c>
      <c r="AH224">
        <v>0</v>
      </c>
      <c r="AI224">
        <v>6.53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3</v>
      </c>
      <c r="AT224">
        <v>0.4</v>
      </c>
      <c r="AU224" t="s">
        <v>3</v>
      </c>
      <c r="AV224">
        <v>0</v>
      </c>
      <c r="AW224">
        <v>2</v>
      </c>
      <c r="AX224">
        <v>39491374</v>
      </c>
      <c r="AY224">
        <v>1</v>
      </c>
      <c r="AZ224">
        <v>0</v>
      </c>
      <c r="BA224">
        <v>224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Y224*Source!I167</f>
        <v>3.9200000000000006E-2</v>
      </c>
      <c r="CY224">
        <f t="shared" si="12"/>
        <v>168.47</v>
      </c>
      <c r="CZ224">
        <f t="shared" si="13"/>
        <v>25.8</v>
      </c>
      <c r="DA224">
        <f t="shared" si="14"/>
        <v>6.53</v>
      </c>
      <c r="DB224">
        <v>0</v>
      </c>
    </row>
    <row r="225" spans="1:106" x14ac:dyDescent="0.2">
      <c r="A225">
        <f>ROW(Source!A167)</f>
        <v>167</v>
      </c>
      <c r="B225">
        <v>39099382</v>
      </c>
      <c r="C225">
        <v>39491357</v>
      </c>
      <c r="D225">
        <v>36852067</v>
      </c>
      <c r="E225">
        <v>1</v>
      </c>
      <c r="F225">
        <v>1</v>
      </c>
      <c r="G225">
        <v>1</v>
      </c>
      <c r="H225">
        <v>3</v>
      </c>
      <c r="I225" t="s">
        <v>853</v>
      </c>
      <c r="J225" t="s">
        <v>854</v>
      </c>
      <c r="K225" t="s">
        <v>855</v>
      </c>
      <c r="L225">
        <v>1356</v>
      </c>
      <c r="N225">
        <v>1010</v>
      </c>
      <c r="O225" t="s">
        <v>690</v>
      </c>
      <c r="P225" t="s">
        <v>690</v>
      </c>
      <c r="Q225">
        <v>1000</v>
      </c>
      <c r="W225">
        <v>0</v>
      </c>
      <c r="X225">
        <v>40709342</v>
      </c>
      <c r="Y225">
        <v>3.2000000000000001E-2</v>
      </c>
      <c r="AA225">
        <v>1763.1</v>
      </c>
      <c r="AB225">
        <v>0</v>
      </c>
      <c r="AC225">
        <v>0</v>
      </c>
      <c r="AD225">
        <v>0</v>
      </c>
      <c r="AE225">
        <v>270</v>
      </c>
      <c r="AF225">
        <v>0</v>
      </c>
      <c r="AG225">
        <v>0</v>
      </c>
      <c r="AH225">
        <v>0</v>
      </c>
      <c r="AI225">
        <v>6.53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3</v>
      </c>
      <c r="AT225">
        <v>3.2000000000000001E-2</v>
      </c>
      <c r="AU225" t="s">
        <v>3</v>
      </c>
      <c r="AV225">
        <v>0</v>
      </c>
      <c r="AW225">
        <v>2</v>
      </c>
      <c r="AX225">
        <v>39491375</v>
      </c>
      <c r="AY225">
        <v>1</v>
      </c>
      <c r="AZ225">
        <v>0</v>
      </c>
      <c r="BA225">
        <v>225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Y225*Source!I167</f>
        <v>3.1360000000000003E-3</v>
      </c>
      <c r="CY225">
        <f t="shared" si="12"/>
        <v>1763.1</v>
      </c>
      <c r="CZ225">
        <f t="shared" si="13"/>
        <v>270</v>
      </c>
      <c r="DA225">
        <f t="shared" si="14"/>
        <v>6.53</v>
      </c>
      <c r="DB225">
        <v>0</v>
      </c>
    </row>
    <row r="226" spans="1:106" x14ac:dyDescent="0.2">
      <c r="A226">
        <f>ROW(Source!A167)</f>
        <v>167</v>
      </c>
      <c r="B226">
        <v>39099382</v>
      </c>
      <c r="C226">
        <v>39491357</v>
      </c>
      <c r="D226">
        <v>36852075</v>
      </c>
      <c r="E226">
        <v>1</v>
      </c>
      <c r="F226">
        <v>1</v>
      </c>
      <c r="G226">
        <v>1</v>
      </c>
      <c r="H226">
        <v>3</v>
      </c>
      <c r="I226" t="s">
        <v>856</v>
      </c>
      <c r="J226" t="s">
        <v>857</v>
      </c>
      <c r="K226" t="s">
        <v>858</v>
      </c>
      <c r="L226">
        <v>1358</v>
      </c>
      <c r="N226">
        <v>1010</v>
      </c>
      <c r="O226" t="s">
        <v>417</v>
      </c>
      <c r="P226" t="s">
        <v>417</v>
      </c>
      <c r="Q226">
        <v>10</v>
      </c>
      <c r="W226">
        <v>0</v>
      </c>
      <c r="X226">
        <v>-1110089157</v>
      </c>
      <c r="Y226">
        <v>1</v>
      </c>
      <c r="AA226">
        <v>129.94999999999999</v>
      </c>
      <c r="AB226">
        <v>0</v>
      </c>
      <c r="AC226">
        <v>0</v>
      </c>
      <c r="AD226">
        <v>0</v>
      </c>
      <c r="AE226">
        <v>19.899999999999999</v>
      </c>
      <c r="AF226">
        <v>0</v>
      </c>
      <c r="AG226">
        <v>0</v>
      </c>
      <c r="AH226">
        <v>0</v>
      </c>
      <c r="AI226">
        <v>6.53</v>
      </c>
      <c r="AJ226">
        <v>1</v>
      </c>
      <c r="AK226">
        <v>1</v>
      </c>
      <c r="AL226">
        <v>1</v>
      </c>
      <c r="AN226">
        <v>0</v>
      </c>
      <c r="AO226">
        <v>1</v>
      </c>
      <c r="AP226">
        <v>0</v>
      </c>
      <c r="AQ226">
        <v>0</v>
      </c>
      <c r="AR226">
        <v>0</v>
      </c>
      <c r="AS226" t="s">
        <v>3</v>
      </c>
      <c r="AT226">
        <v>1</v>
      </c>
      <c r="AU226" t="s">
        <v>3</v>
      </c>
      <c r="AV226">
        <v>0</v>
      </c>
      <c r="AW226">
        <v>2</v>
      </c>
      <c r="AX226">
        <v>39491376</v>
      </c>
      <c r="AY226">
        <v>1</v>
      </c>
      <c r="AZ226">
        <v>0</v>
      </c>
      <c r="BA226">
        <v>226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Y226*Source!I167</f>
        <v>9.8000000000000004E-2</v>
      </c>
      <c r="CY226">
        <f t="shared" si="12"/>
        <v>129.94999999999999</v>
      </c>
      <c r="CZ226">
        <f t="shared" si="13"/>
        <v>19.899999999999999</v>
      </c>
      <c r="DA226">
        <f t="shared" si="14"/>
        <v>6.53</v>
      </c>
      <c r="DB226">
        <v>0</v>
      </c>
    </row>
    <row r="227" spans="1:106" x14ac:dyDescent="0.2">
      <c r="A227">
        <f>ROW(Source!A167)</f>
        <v>167</v>
      </c>
      <c r="B227">
        <v>39099382</v>
      </c>
      <c r="C227">
        <v>39491357</v>
      </c>
      <c r="D227">
        <v>36853421</v>
      </c>
      <c r="E227">
        <v>1</v>
      </c>
      <c r="F227">
        <v>1</v>
      </c>
      <c r="G227">
        <v>1</v>
      </c>
      <c r="H227">
        <v>3</v>
      </c>
      <c r="I227" t="s">
        <v>859</v>
      </c>
      <c r="J227" t="s">
        <v>860</v>
      </c>
      <c r="K227" t="s">
        <v>861</v>
      </c>
      <c r="L227">
        <v>1354</v>
      </c>
      <c r="N227">
        <v>1010</v>
      </c>
      <c r="O227" t="s">
        <v>37</v>
      </c>
      <c r="P227" t="s">
        <v>37</v>
      </c>
      <c r="Q227">
        <v>1</v>
      </c>
      <c r="W227">
        <v>0</v>
      </c>
      <c r="X227">
        <v>-1308137011</v>
      </c>
      <c r="Y227">
        <v>0.5</v>
      </c>
      <c r="AA227">
        <v>436.33</v>
      </c>
      <c r="AB227">
        <v>0</v>
      </c>
      <c r="AC227">
        <v>0</v>
      </c>
      <c r="AD227">
        <v>0</v>
      </c>
      <c r="AE227">
        <v>66.819999999999993</v>
      </c>
      <c r="AF227">
        <v>0</v>
      </c>
      <c r="AG227">
        <v>0</v>
      </c>
      <c r="AH227">
        <v>0</v>
      </c>
      <c r="AI227">
        <v>6.53</v>
      </c>
      <c r="AJ227">
        <v>1</v>
      </c>
      <c r="AK227">
        <v>1</v>
      </c>
      <c r="AL227">
        <v>1</v>
      </c>
      <c r="AN227">
        <v>0</v>
      </c>
      <c r="AO227">
        <v>1</v>
      </c>
      <c r="AP227">
        <v>0</v>
      </c>
      <c r="AQ227">
        <v>0</v>
      </c>
      <c r="AR227">
        <v>0</v>
      </c>
      <c r="AS227" t="s">
        <v>3</v>
      </c>
      <c r="AT227">
        <v>0.5</v>
      </c>
      <c r="AU227" t="s">
        <v>3</v>
      </c>
      <c r="AV227">
        <v>0</v>
      </c>
      <c r="AW227">
        <v>2</v>
      </c>
      <c r="AX227">
        <v>39491377</v>
      </c>
      <c r="AY227">
        <v>1</v>
      </c>
      <c r="AZ227">
        <v>0</v>
      </c>
      <c r="BA227">
        <v>227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Y227*Source!I167</f>
        <v>4.9000000000000002E-2</v>
      </c>
      <c r="CY227">
        <f t="shared" si="12"/>
        <v>436.33</v>
      </c>
      <c r="CZ227">
        <f t="shared" si="13"/>
        <v>66.819999999999993</v>
      </c>
      <c r="DA227">
        <f t="shared" si="14"/>
        <v>6.53</v>
      </c>
      <c r="DB227">
        <v>0</v>
      </c>
    </row>
    <row r="228" spans="1:106" x14ac:dyDescent="0.2">
      <c r="A228">
        <f>ROW(Source!A167)</f>
        <v>167</v>
      </c>
      <c r="B228">
        <v>39099382</v>
      </c>
      <c r="C228">
        <v>39491357</v>
      </c>
      <c r="D228">
        <v>36868749</v>
      </c>
      <c r="E228">
        <v>1</v>
      </c>
      <c r="F228">
        <v>1</v>
      </c>
      <c r="G228">
        <v>1</v>
      </c>
      <c r="H228">
        <v>3</v>
      </c>
      <c r="I228" t="s">
        <v>404</v>
      </c>
      <c r="J228" t="s">
        <v>407</v>
      </c>
      <c r="K228" t="s">
        <v>405</v>
      </c>
      <c r="L228">
        <v>1302</v>
      </c>
      <c r="N228">
        <v>1003</v>
      </c>
      <c r="O228" t="s">
        <v>406</v>
      </c>
      <c r="P228" t="s">
        <v>406</v>
      </c>
      <c r="Q228">
        <v>10</v>
      </c>
      <c r="W228">
        <v>0</v>
      </c>
      <c r="X228">
        <v>-835976676</v>
      </c>
      <c r="Y228">
        <v>10</v>
      </c>
      <c r="AA228">
        <v>649.21</v>
      </c>
      <c r="AB228">
        <v>0</v>
      </c>
      <c r="AC228">
        <v>0</v>
      </c>
      <c r="AD228">
        <v>0</v>
      </c>
      <c r="AE228">
        <v>99.42</v>
      </c>
      <c r="AF228">
        <v>0</v>
      </c>
      <c r="AG228">
        <v>0</v>
      </c>
      <c r="AH228">
        <v>0</v>
      </c>
      <c r="AI228">
        <v>6.53</v>
      </c>
      <c r="AJ228">
        <v>1</v>
      </c>
      <c r="AK228">
        <v>1</v>
      </c>
      <c r="AL228">
        <v>1</v>
      </c>
      <c r="AN228">
        <v>0</v>
      </c>
      <c r="AO228">
        <v>0</v>
      </c>
      <c r="AP228">
        <v>0</v>
      </c>
      <c r="AQ228">
        <v>0</v>
      </c>
      <c r="AR228">
        <v>0</v>
      </c>
      <c r="AS228" t="s">
        <v>3</v>
      </c>
      <c r="AT228">
        <v>10</v>
      </c>
      <c r="AU228" t="s">
        <v>3</v>
      </c>
      <c r="AV228">
        <v>0</v>
      </c>
      <c r="AW228">
        <v>1</v>
      </c>
      <c r="AX228">
        <v>-1</v>
      </c>
      <c r="AY228">
        <v>0</v>
      </c>
      <c r="AZ228">
        <v>0</v>
      </c>
      <c r="BA228" t="s">
        <v>3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Y228*Source!I167</f>
        <v>0.98</v>
      </c>
      <c r="CY228">
        <f t="shared" si="12"/>
        <v>649.21</v>
      </c>
      <c r="CZ228">
        <f t="shared" si="13"/>
        <v>99.42</v>
      </c>
      <c r="DA228">
        <f t="shared" si="14"/>
        <v>6.53</v>
      </c>
      <c r="DB228">
        <v>0</v>
      </c>
    </row>
    <row r="229" spans="1:106" x14ac:dyDescent="0.2">
      <c r="A229">
        <f>ROW(Source!A167)</f>
        <v>167</v>
      </c>
      <c r="B229">
        <v>39099382</v>
      </c>
      <c r="C229">
        <v>39491357</v>
      </c>
      <c r="D229">
        <v>36799065</v>
      </c>
      <c r="E229">
        <v>17</v>
      </c>
      <c r="F229">
        <v>1</v>
      </c>
      <c r="G229">
        <v>1</v>
      </c>
      <c r="H229">
        <v>3</v>
      </c>
      <c r="I229" t="s">
        <v>801</v>
      </c>
      <c r="J229" t="s">
        <v>3</v>
      </c>
      <c r="K229" t="s">
        <v>802</v>
      </c>
      <c r="L229">
        <v>1374</v>
      </c>
      <c r="N229">
        <v>1013</v>
      </c>
      <c r="O229" t="s">
        <v>803</v>
      </c>
      <c r="P229" t="s">
        <v>803</v>
      </c>
      <c r="Q229">
        <v>1</v>
      </c>
      <c r="W229">
        <v>0</v>
      </c>
      <c r="X229">
        <v>-1731369543</v>
      </c>
      <c r="Y229">
        <v>2.87</v>
      </c>
      <c r="AA229">
        <v>1</v>
      </c>
      <c r="AB229">
        <v>0</v>
      </c>
      <c r="AC229">
        <v>0</v>
      </c>
      <c r="AD229">
        <v>0</v>
      </c>
      <c r="AE229">
        <v>1</v>
      </c>
      <c r="AF229">
        <v>0</v>
      </c>
      <c r="AG229">
        <v>0</v>
      </c>
      <c r="AH229">
        <v>0</v>
      </c>
      <c r="AI229">
        <v>1</v>
      </c>
      <c r="AJ229">
        <v>1</v>
      </c>
      <c r="AK229">
        <v>1</v>
      </c>
      <c r="AL229">
        <v>1</v>
      </c>
      <c r="AN229">
        <v>0</v>
      </c>
      <c r="AO229">
        <v>1</v>
      </c>
      <c r="AP229">
        <v>0</v>
      </c>
      <c r="AQ229">
        <v>0</v>
      </c>
      <c r="AR229">
        <v>0</v>
      </c>
      <c r="AS229" t="s">
        <v>3</v>
      </c>
      <c r="AT229">
        <v>2.87</v>
      </c>
      <c r="AU229" t="s">
        <v>3</v>
      </c>
      <c r="AV229">
        <v>0</v>
      </c>
      <c r="AW229">
        <v>2</v>
      </c>
      <c r="AX229">
        <v>39491378</v>
      </c>
      <c r="AY229">
        <v>1</v>
      </c>
      <c r="AZ229">
        <v>0</v>
      </c>
      <c r="BA229">
        <v>228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Y229*Source!I167</f>
        <v>0.28126000000000001</v>
      </c>
      <c r="CY229">
        <f t="shared" si="12"/>
        <v>1</v>
      </c>
      <c r="CZ229">
        <f t="shared" si="13"/>
        <v>1</v>
      </c>
      <c r="DA229">
        <f t="shared" si="14"/>
        <v>1</v>
      </c>
      <c r="DB229">
        <v>0</v>
      </c>
    </row>
    <row r="230" spans="1:106" x14ac:dyDescent="0.2">
      <c r="A230">
        <f>ROW(Source!A169)</f>
        <v>169</v>
      </c>
      <c r="B230">
        <v>39099382</v>
      </c>
      <c r="C230">
        <v>39491380</v>
      </c>
      <c r="D230">
        <v>37082223</v>
      </c>
      <c r="E230">
        <v>1</v>
      </c>
      <c r="F230">
        <v>1</v>
      </c>
      <c r="G230">
        <v>1</v>
      </c>
      <c r="H230">
        <v>1</v>
      </c>
      <c r="I230" t="s">
        <v>862</v>
      </c>
      <c r="J230" t="s">
        <v>3</v>
      </c>
      <c r="K230" t="s">
        <v>863</v>
      </c>
      <c r="L230">
        <v>1191</v>
      </c>
      <c r="N230">
        <v>1013</v>
      </c>
      <c r="O230" t="s">
        <v>641</v>
      </c>
      <c r="P230" t="s">
        <v>641</v>
      </c>
      <c r="Q230">
        <v>1</v>
      </c>
      <c r="W230">
        <v>0</v>
      </c>
      <c r="X230">
        <v>-2143564933</v>
      </c>
      <c r="Y230">
        <v>0.5</v>
      </c>
      <c r="AA230">
        <v>0</v>
      </c>
      <c r="AB230">
        <v>0</v>
      </c>
      <c r="AC230">
        <v>0</v>
      </c>
      <c r="AD230">
        <v>63.73</v>
      </c>
      <c r="AE230">
        <v>0</v>
      </c>
      <c r="AF230">
        <v>0</v>
      </c>
      <c r="AG230">
        <v>0</v>
      </c>
      <c r="AH230">
        <v>9.76</v>
      </c>
      <c r="AI230">
        <v>1</v>
      </c>
      <c r="AJ230">
        <v>1</v>
      </c>
      <c r="AK230">
        <v>1</v>
      </c>
      <c r="AL230">
        <v>6.53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3</v>
      </c>
      <c r="AT230">
        <v>0.5</v>
      </c>
      <c r="AU230" t="s">
        <v>3</v>
      </c>
      <c r="AV230">
        <v>1</v>
      </c>
      <c r="AW230">
        <v>2</v>
      </c>
      <c r="AX230">
        <v>39491387</v>
      </c>
      <c r="AY230">
        <v>1</v>
      </c>
      <c r="AZ230">
        <v>0</v>
      </c>
      <c r="BA230">
        <v>229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Y230*Source!I169</f>
        <v>55</v>
      </c>
      <c r="CY230">
        <f>AD230</f>
        <v>63.73</v>
      </c>
      <c r="CZ230">
        <f>AH230</f>
        <v>9.76</v>
      </c>
      <c r="DA230">
        <f>AL230</f>
        <v>6.53</v>
      </c>
      <c r="DB230">
        <v>0</v>
      </c>
    </row>
    <row r="231" spans="1:106" x14ac:dyDescent="0.2">
      <c r="A231">
        <f>ROW(Source!A169)</f>
        <v>169</v>
      </c>
      <c r="B231">
        <v>39099382</v>
      </c>
      <c r="C231">
        <v>39491380</v>
      </c>
      <c r="D231">
        <v>36804944</v>
      </c>
      <c r="E231">
        <v>1</v>
      </c>
      <c r="F231">
        <v>1</v>
      </c>
      <c r="G231">
        <v>1</v>
      </c>
      <c r="H231">
        <v>3</v>
      </c>
      <c r="I231" t="s">
        <v>798</v>
      </c>
      <c r="J231" t="s">
        <v>799</v>
      </c>
      <c r="K231" t="s">
        <v>800</v>
      </c>
      <c r="L231">
        <v>1348</v>
      </c>
      <c r="N231">
        <v>1009</v>
      </c>
      <c r="O231" t="s">
        <v>189</v>
      </c>
      <c r="P231" t="s">
        <v>189</v>
      </c>
      <c r="Q231">
        <v>1000</v>
      </c>
      <c r="W231">
        <v>0</v>
      </c>
      <c r="X231">
        <v>-1755229539</v>
      </c>
      <c r="Y231">
        <v>1.0000000000000001E-5</v>
      </c>
      <c r="AA231">
        <v>81167.899999999994</v>
      </c>
      <c r="AB231">
        <v>0</v>
      </c>
      <c r="AC231">
        <v>0</v>
      </c>
      <c r="AD231">
        <v>0</v>
      </c>
      <c r="AE231">
        <v>12430</v>
      </c>
      <c r="AF231">
        <v>0</v>
      </c>
      <c r="AG231">
        <v>0</v>
      </c>
      <c r="AH231">
        <v>0</v>
      </c>
      <c r="AI231">
        <v>6.53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3</v>
      </c>
      <c r="AT231">
        <v>1.0000000000000001E-5</v>
      </c>
      <c r="AU231" t="s">
        <v>3</v>
      </c>
      <c r="AV231">
        <v>0</v>
      </c>
      <c r="AW231">
        <v>2</v>
      </c>
      <c r="AX231">
        <v>39491388</v>
      </c>
      <c r="AY231">
        <v>1</v>
      </c>
      <c r="AZ231">
        <v>0</v>
      </c>
      <c r="BA231">
        <v>230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Y231*Source!I169</f>
        <v>1.1000000000000001E-3</v>
      </c>
      <c r="CY231">
        <f>AA231</f>
        <v>81167.899999999994</v>
      </c>
      <c r="CZ231">
        <f>AE231</f>
        <v>12430</v>
      </c>
      <c r="DA231">
        <f>AI231</f>
        <v>6.53</v>
      </c>
      <c r="DB231">
        <v>0</v>
      </c>
    </row>
    <row r="232" spans="1:106" x14ac:dyDescent="0.2">
      <c r="A232">
        <f>ROW(Source!A169)</f>
        <v>169</v>
      </c>
      <c r="B232">
        <v>39099382</v>
      </c>
      <c r="C232">
        <v>39491380</v>
      </c>
      <c r="D232">
        <v>36806488</v>
      </c>
      <c r="E232">
        <v>1</v>
      </c>
      <c r="F232">
        <v>1</v>
      </c>
      <c r="G232">
        <v>1</v>
      </c>
      <c r="H232">
        <v>3</v>
      </c>
      <c r="I232" t="s">
        <v>653</v>
      </c>
      <c r="J232" t="s">
        <v>654</v>
      </c>
      <c r="K232" t="s">
        <v>655</v>
      </c>
      <c r="L232">
        <v>1348</v>
      </c>
      <c r="N232">
        <v>1009</v>
      </c>
      <c r="O232" t="s">
        <v>189</v>
      </c>
      <c r="P232" t="s">
        <v>189</v>
      </c>
      <c r="Q232">
        <v>1000</v>
      </c>
      <c r="W232">
        <v>0</v>
      </c>
      <c r="X232">
        <v>-1421715385</v>
      </c>
      <c r="Y232">
        <v>5.0000000000000002E-5</v>
      </c>
      <c r="AA232">
        <v>4766.7700000000004</v>
      </c>
      <c r="AB232">
        <v>0</v>
      </c>
      <c r="AC232">
        <v>0</v>
      </c>
      <c r="AD232">
        <v>0</v>
      </c>
      <c r="AE232">
        <v>729.98</v>
      </c>
      <c r="AF232">
        <v>0</v>
      </c>
      <c r="AG232">
        <v>0</v>
      </c>
      <c r="AH232">
        <v>0</v>
      </c>
      <c r="AI232">
        <v>6.53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3</v>
      </c>
      <c r="AT232">
        <v>5.0000000000000002E-5</v>
      </c>
      <c r="AU232" t="s">
        <v>3</v>
      </c>
      <c r="AV232">
        <v>0</v>
      </c>
      <c r="AW232">
        <v>2</v>
      </c>
      <c r="AX232">
        <v>39491389</v>
      </c>
      <c r="AY232">
        <v>1</v>
      </c>
      <c r="AZ232">
        <v>0</v>
      </c>
      <c r="BA232">
        <v>231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Y232*Source!I169</f>
        <v>5.5000000000000005E-3</v>
      </c>
      <c r="CY232">
        <f>AA232</f>
        <v>4766.7700000000004</v>
      </c>
      <c r="CZ232">
        <f>AE232</f>
        <v>729.98</v>
      </c>
      <c r="DA232">
        <f>AI232</f>
        <v>6.53</v>
      </c>
      <c r="DB232">
        <v>0</v>
      </c>
    </row>
    <row r="233" spans="1:106" x14ac:dyDescent="0.2">
      <c r="A233">
        <f>ROW(Source!A169)</f>
        <v>169</v>
      </c>
      <c r="B233">
        <v>39099382</v>
      </c>
      <c r="C233">
        <v>39491380</v>
      </c>
      <c r="D233">
        <v>36825637</v>
      </c>
      <c r="E233">
        <v>1</v>
      </c>
      <c r="F233">
        <v>1</v>
      </c>
      <c r="G233">
        <v>1</v>
      </c>
      <c r="H233">
        <v>3</v>
      </c>
      <c r="I233" t="s">
        <v>864</v>
      </c>
      <c r="J233" t="s">
        <v>865</v>
      </c>
      <c r="K233" t="s">
        <v>866</v>
      </c>
      <c r="L233">
        <v>1348</v>
      </c>
      <c r="N233">
        <v>1009</v>
      </c>
      <c r="O233" t="s">
        <v>189</v>
      </c>
      <c r="P233" t="s">
        <v>189</v>
      </c>
      <c r="Q233">
        <v>1000</v>
      </c>
      <c r="W233">
        <v>0</v>
      </c>
      <c r="X233">
        <v>-1328921133</v>
      </c>
      <c r="Y233">
        <v>1.0000000000000001E-5</v>
      </c>
      <c r="AA233">
        <v>95925.7</v>
      </c>
      <c r="AB233">
        <v>0</v>
      </c>
      <c r="AC233">
        <v>0</v>
      </c>
      <c r="AD233">
        <v>0</v>
      </c>
      <c r="AE233">
        <v>14690</v>
      </c>
      <c r="AF233">
        <v>0</v>
      </c>
      <c r="AG233">
        <v>0</v>
      </c>
      <c r="AH233">
        <v>0</v>
      </c>
      <c r="AI233">
        <v>6.53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3</v>
      </c>
      <c r="AT233">
        <v>1.0000000000000001E-5</v>
      </c>
      <c r="AU233" t="s">
        <v>3</v>
      </c>
      <c r="AV233">
        <v>0</v>
      </c>
      <c r="AW233">
        <v>2</v>
      </c>
      <c r="AX233">
        <v>39491390</v>
      </c>
      <c r="AY233">
        <v>1</v>
      </c>
      <c r="AZ233">
        <v>0</v>
      </c>
      <c r="BA233">
        <v>232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Y233*Source!I169</f>
        <v>1.1000000000000001E-3</v>
      </c>
      <c r="CY233">
        <f>AA233</f>
        <v>95925.7</v>
      </c>
      <c r="CZ233">
        <f>AE233</f>
        <v>14690</v>
      </c>
      <c r="DA233">
        <f>AI233</f>
        <v>6.53</v>
      </c>
      <c r="DB233">
        <v>0</v>
      </c>
    </row>
    <row r="234" spans="1:106" x14ac:dyDescent="0.2">
      <c r="A234">
        <f>ROW(Source!A169)</f>
        <v>169</v>
      </c>
      <c r="B234">
        <v>39099382</v>
      </c>
      <c r="C234">
        <v>39491380</v>
      </c>
      <c r="D234">
        <v>36855447</v>
      </c>
      <c r="E234">
        <v>1</v>
      </c>
      <c r="F234">
        <v>1</v>
      </c>
      <c r="G234">
        <v>1</v>
      </c>
      <c r="H234">
        <v>3</v>
      </c>
      <c r="I234" t="s">
        <v>415</v>
      </c>
      <c r="J234" t="s">
        <v>418</v>
      </c>
      <c r="K234" t="s">
        <v>416</v>
      </c>
      <c r="L234">
        <v>1358</v>
      </c>
      <c r="N234">
        <v>1010</v>
      </c>
      <c r="O234" t="s">
        <v>417</v>
      </c>
      <c r="P234" t="s">
        <v>417</v>
      </c>
      <c r="Q234">
        <v>10</v>
      </c>
      <c r="W234">
        <v>0</v>
      </c>
      <c r="X234">
        <v>1303598448</v>
      </c>
      <c r="Y234">
        <v>0.1</v>
      </c>
      <c r="AA234">
        <v>407.47</v>
      </c>
      <c r="AB234">
        <v>0</v>
      </c>
      <c r="AC234">
        <v>0</v>
      </c>
      <c r="AD234">
        <v>0</v>
      </c>
      <c r="AE234">
        <v>62.4</v>
      </c>
      <c r="AF234">
        <v>0</v>
      </c>
      <c r="AG234">
        <v>0</v>
      </c>
      <c r="AH234">
        <v>0</v>
      </c>
      <c r="AI234">
        <v>6.53</v>
      </c>
      <c r="AJ234">
        <v>1</v>
      </c>
      <c r="AK234">
        <v>1</v>
      </c>
      <c r="AL234">
        <v>1</v>
      </c>
      <c r="AN234">
        <v>0</v>
      </c>
      <c r="AO234">
        <v>0</v>
      </c>
      <c r="AP234">
        <v>0</v>
      </c>
      <c r="AQ234">
        <v>0</v>
      </c>
      <c r="AR234">
        <v>0</v>
      </c>
      <c r="AS234" t="s">
        <v>3</v>
      </c>
      <c r="AT234">
        <v>0.1</v>
      </c>
      <c r="AU234" t="s">
        <v>3</v>
      </c>
      <c r="AV234">
        <v>0</v>
      </c>
      <c r="AW234">
        <v>1</v>
      </c>
      <c r="AX234">
        <v>-1</v>
      </c>
      <c r="AY234">
        <v>0</v>
      </c>
      <c r="AZ234">
        <v>0</v>
      </c>
      <c r="BA234" t="s">
        <v>3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Y234*Source!I169</f>
        <v>11</v>
      </c>
      <c r="CY234">
        <f>AA234</f>
        <v>407.47</v>
      </c>
      <c r="CZ234">
        <f>AE234</f>
        <v>62.4</v>
      </c>
      <c r="DA234">
        <f>AI234</f>
        <v>6.53</v>
      </c>
      <c r="DB234">
        <v>0</v>
      </c>
    </row>
    <row r="235" spans="1:106" x14ac:dyDescent="0.2">
      <c r="A235">
        <f>ROW(Source!A169)</f>
        <v>169</v>
      </c>
      <c r="B235">
        <v>39099382</v>
      </c>
      <c r="C235">
        <v>39491380</v>
      </c>
      <c r="D235">
        <v>36799065</v>
      </c>
      <c r="E235">
        <v>17</v>
      </c>
      <c r="F235">
        <v>1</v>
      </c>
      <c r="G235">
        <v>1</v>
      </c>
      <c r="H235">
        <v>3</v>
      </c>
      <c r="I235" t="s">
        <v>801</v>
      </c>
      <c r="J235" t="s">
        <v>3</v>
      </c>
      <c r="K235" t="s">
        <v>802</v>
      </c>
      <c r="L235">
        <v>1374</v>
      </c>
      <c r="N235">
        <v>1013</v>
      </c>
      <c r="O235" t="s">
        <v>803</v>
      </c>
      <c r="P235" t="s">
        <v>803</v>
      </c>
      <c r="Q235">
        <v>1</v>
      </c>
      <c r="W235">
        <v>0</v>
      </c>
      <c r="X235">
        <v>-1731369543</v>
      </c>
      <c r="Y235">
        <v>0.1</v>
      </c>
      <c r="AA235">
        <v>1</v>
      </c>
      <c r="AB235">
        <v>0</v>
      </c>
      <c r="AC235">
        <v>0</v>
      </c>
      <c r="AD235">
        <v>0</v>
      </c>
      <c r="AE235">
        <v>1</v>
      </c>
      <c r="AF235">
        <v>0</v>
      </c>
      <c r="AG235">
        <v>0</v>
      </c>
      <c r="AH235">
        <v>0</v>
      </c>
      <c r="AI235">
        <v>1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0</v>
      </c>
      <c r="AQ235">
        <v>0</v>
      </c>
      <c r="AR235">
        <v>0</v>
      </c>
      <c r="AS235" t="s">
        <v>3</v>
      </c>
      <c r="AT235">
        <v>0.1</v>
      </c>
      <c r="AU235" t="s">
        <v>3</v>
      </c>
      <c r="AV235">
        <v>0</v>
      </c>
      <c r="AW235">
        <v>2</v>
      </c>
      <c r="AX235">
        <v>39491391</v>
      </c>
      <c r="AY235">
        <v>1</v>
      </c>
      <c r="AZ235">
        <v>0</v>
      </c>
      <c r="BA235">
        <v>233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Y235*Source!I169</f>
        <v>11</v>
      </c>
      <c r="CY235">
        <f>AA235</f>
        <v>1</v>
      </c>
      <c r="CZ235">
        <f>AE235</f>
        <v>1</v>
      </c>
      <c r="DA235">
        <f>AI235</f>
        <v>1</v>
      </c>
      <c r="DB235">
        <v>0</v>
      </c>
    </row>
    <row r="236" spans="1:106" x14ac:dyDescent="0.2">
      <c r="A236">
        <f>ROW(Source!A171)</f>
        <v>171</v>
      </c>
      <c r="B236">
        <v>39099382</v>
      </c>
      <c r="C236">
        <v>39491393</v>
      </c>
      <c r="D236">
        <v>37070202</v>
      </c>
      <c r="E236">
        <v>1</v>
      </c>
      <c r="F236">
        <v>1</v>
      </c>
      <c r="G236">
        <v>1</v>
      </c>
      <c r="H236">
        <v>1</v>
      </c>
      <c r="I236" t="s">
        <v>717</v>
      </c>
      <c r="J236" t="s">
        <v>3</v>
      </c>
      <c r="K236" t="s">
        <v>718</v>
      </c>
      <c r="L236">
        <v>1191</v>
      </c>
      <c r="N236">
        <v>1013</v>
      </c>
      <c r="O236" t="s">
        <v>641</v>
      </c>
      <c r="P236" t="s">
        <v>641</v>
      </c>
      <c r="Q236">
        <v>1</v>
      </c>
      <c r="W236">
        <v>0</v>
      </c>
      <c r="X236">
        <v>1983201532</v>
      </c>
      <c r="Y236">
        <v>20.329999999999998</v>
      </c>
      <c r="AA236">
        <v>0</v>
      </c>
      <c r="AB236">
        <v>0</v>
      </c>
      <c r="AC236">
        <v>0</v>
      </c>
      <c r="AD236">
        <v>62.1</v>
      </c>
      <c r="AE236">
        <v>0</v>
      </c>
      <c r="AF236">
        <v>0</v>
      </c>
      <c r="AG236">
        <v>0</v>
      </c>
      <c r="AH236">
        <v>9.51</v>
      </c>
      <c r="AI236">
        <v>1</v>
      </c>
      <c r="AJ236">
        <v>1</v>
      </c>
      <c r="AK236">
        <v>1</v>
      </c>
      <c r="AL236">
        <v>6.53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3</v>
      </c>
      <c r="AT236">
        <v>20.329999999999998</v>
      </c>
      <c r="AU236" t="s">
        <v>3</v>
      </c>
      <c r="AV236">
        <v>1</v>
      </c>
      <c r="AW236">
        <v>2</v>
      </c>
      <c r="AX236">
        <v>39491401</v>
      </c>
      <c r="AY236">
        <v>1</v>
      </c>
      <c r="AZ236">
        <v>0</v>
      </c>
      <c r="BA236">
        <v>234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Y236*Source!I171</f>
        <v>11.689749999999998</v>
      </c>
      <c r="CY236">
        <f>AD236</f>
        <v>62.1</v>
      </c>
      <c r="CZ236">
        <f>AH236</f>
        <v>9.51</v>
      </c>
      <c r="DA236">
        <f>AL236</f>
        <v>6.53</v>
      </c>
      <c r="DB236">
        <v>0</v>
      </c>
    </row>
    <row r="237" spans="1:106" x14ac:dyDescent="0.2">
      <c r="A237">
        <f>ROW(Source!A171)</f>
        <v>171</v>
      </c>
      <c r="B237">
        <v>39099382</v>
      </c>
      <c r="C237">
        <v>39491393</v>
      </c>
      <c r="D237">
        <v>37064876</v>
      </c>
      <c r="E237">
        <v>1</v>
      </c>
      <c r="F237">
        <v>1</v>
      </c>
      <c r="G237">
        <v>1</v>
      </c>
      <c r="H237">
        <v>1</v>
      </c>
      <c r="I237" t="s">
        <v>642</v>
      </c>
      <c r="J237" t="s">
        <v>3</v>
      </c>
      <c r="K237" t="s">
        <v>643</v>
      </c>
      <c r="L237">
        <v>1191</v>
      </c>
      <c r="N237">
        <v>1013</v>
      </c>
      <c r="O237" t="s">
        <v>641</v>
      </c>
      <c r="P237" t="s">
        <v>641</v>
      </c>
      <c r="Q237">
        <v>1</v>
      </c>
      <c r="W237">
        <v>0</v>
      </c>
      <c r="X237">
        <v>-1417349443</v>
      </c>
      <c r="Y237">
        <v>0.01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1</v>
      </c>
      <c r="AJ237">
        <v>1</v>
      </c>
      <c r="AK237">
        <v>6.53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3</v>
      </c>
      <c r="AT237">
        <v>0.01</v>
      </c>
      <c r="AU237" t="s">
        <v>3</v>
      </c>
      <c r="AV237">
        <v>2</v>
      </c>
      <c r="AW237">
        <v>2</v>
      </c>
      <c r="AX237">
        <v>39491402</v>
      </c>
      <c r="AY237">
        <v>1</v>
      </c>
      <c r="AZ237">
        <v>0</v>
      </c>
      <c r="BA237">
        <v>235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Y237*Source!I171</f>
        <v>5.7499999999999999E-3</v>
      </c>
      <c r="CY237">
        <f>AD237</f>
        <v>0</v>
      </c>
      <c r="CZ237">
        <f>AH237</f>
        <v>0</v>
      </c>
      <c r="DA237">
        <f>AL237</f>
        <v>1</v>
      </c>
      <c r="DB237">
        <v>0</v>
      </c>
    </row>
    <row r="238" spans="1:106" x14ac:dyDescent="0.2">
      <c r="A238">
        <f>ROW(Source!A171)</f>
        <v>171</v>
      </c>
      <c r="B238">
        <v>39099382</v>
      </c>
      <c r="C238">
        <v>39491393</v>
      </c>
      <c r="D238">
        <v>36882452</v>
      </c>
      <c r="E238">
        <v>1</v>
      </c>
      <c r="F238">
        <v>1</v>
      </c>
      <c r="G238">
        <v>1</v>
      </c>
      <c r="H238">
        <v>2</v>
      </c>
      <c r="I238" t="s">
        <v>644</v>
      </c>
      <c r="J238" t="s">
        <v>645</v>
      </c>
      <c r="K238" t="s">
        <v>646</v>
      </c>
      <c r="L238">
        <v>1368</v>
      </c>
      <c r="N238">
        <v>1011</v>
      </c>
      <c r="O238" t="s">
        <v>647</v>
      </c>
      <c r="P238" t="s">
        <v>647</v>
      </c>
      <c r="Q238">
        <v>1</v>
      </c>
      <c r="W238">
        <v>0</v>
      </c>
      <c r="X238">
        <v>1188625873</v>
      </c>
      <c r="Y238">
        <v>0.01</v>
      </c>
      <c r="AA238">
        <v>0</v>
      </c>
      <c r="AB238">
        <v>204.13</v>
      </c>
      <c r="AC238">
        <v>13.5</v>
      </c>
      <c r="AD238">
        <v>0</v>
      </c>
      <c r="AE238">
        <v>0</v>
      </c>
      <c r="AF238">
        <v>31.26</v>
      </c>
      <c r="AG238">
        <v>13.5</v>
      </c>
      <c r="AH238">
        <v>0</v>
      </c>
      <c r="AI238">
        <v>1</v>
      </c>
      <c r="AJ238">
        <v>6.53</v>
      </c>
      <c r="AK238">
        <v>1</v>
      </c>
      <c r="AL238">
        <v>1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3</v>
      </c>
      <c r="AT238">
        <v>0.01</v>
      </c>
      <c r="AU238" t="s">
        <v>3</v>
      </c>
      <c r="AV238">
        <v>0</v>
      </c>
      <c r="AW238">
        <v>2</v>
      </c>
      <c r="AX238">
        <v>39491403</v>
      </c>
      <c r="AY238">
        <v>1</v>
      </c>
      <c r="AZ238">
        <v>0</v>
      </c>
      <c r="BA238">
        <v>236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Y238*Source!I171</f>
        <v>5.7499999999999999E-3</v>
      </c>
      <c r="CY238">
        <f>AB238</f>
        <v>204.13</v>
      </c>
      <c r="CZ238">
        <f>AF238</f>
        <v>31.26</v>
      </c>
      <c r="DA238">
        <f>AJ238</f>
        <v>6.53</v>
      </c>
      <c r="DB238">
        <v>0</v>
      </c>
    </row>
    <row r="239" spans="1:106" x14ac:dyDescent="0.2">
      <c r="A239">
        <f>ROW(Source!A171)</f>
        <v>171</v>
      </c>
      <c r="B239">
        <v>39099382</v>
      </c>
      <c r="C239">
        <v>39491393</v>
      </c>
      <c r="D239">
        <v>36804582</v>
      </c>
      <c r="E239">
        <v>1</v>
      </c>
      <c r="F239">
        <v>1</v>
      </c>
      <c r="G239">
        <v>1</v>
      </c>
      <c r="H239">
        <v>3</v>
      </c>
      <c r="I239" t="s">
        <v>795</v>
      </c>
      <c r="J239" t="s">
        <v>796</v>
      </c>
      <c r="K239" t="s">
        <v>797</v>
      </c>
      <c r="L239">
        <v>1356</v>
      </c>
      <c r="N239">
        <v>1010</v>
      </c>
      <c r="O239" t="s">
        <v>690</v>
      </c>
      <c r="P239" t="s">
        <v>690</v>
      </c>
      <c r="Q239">
        <v>1000</v>
      </c>
      <c r="W239">
        <v>0</v>
      </c>
      <c r="X239">
        <v>1975348994</v>
      </c>
      <c r="Y239">
        <v>0.4</v>
      </c>
      <c r="AA239">
        <v>1175.4000000000001</v>
      </c>
      <c r="AB239">
        <v>0</v>
      </c>
      <c r="AC239">
        <v>0</v>
      </c>
      <c r="AD239">
        <v>0</v>
      </c>
      <c r="AE239">
        <v>180</v>
      </c>
      <c r="AF239">
        <v>0</v>
      </c>
      <c r="AG239">
        <v>0</v>
      </c>
      <c r="AH239">
        <v>0</v>
      </c>
      <c r="AI239">
        <v>6.53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3</v>
      </c>
      <c r="AT239">
        <v>0.4</v>
      </c>
      <c r="AU239" t="s">
        <v>3</v>
      </c>
      <c r="AV239">
        <v>0</v>
      </c>
      <c r="AW239">
        <v>2</v>
      </c>
      <c r="AX239">
        <v>39491404</v>
      </c>
      <c r="AY239">
        <v>1</v>
      </c>
      <c r="AZ239">
        <v>0</v>
      </c>
      <c r="BA239">
        <v>237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Y239*Source!I171</f>
        <v>0.22999999999999998</v>
      </c>
      <c r="CY239">
        <f>AA239</f>
        <v>1175.4000000000001</v>
      </c>
      <c r="CZ239">
        <f>AE239</f>
        <v>180</v>
      </c>
      <c r="DA239">
        <f>AI239</f>
        <v>6.53</v>
      </c>
      <c r="DB239">
        <v>0</v>
      </c>
    </row>
    <row r="240" spans="1:106" x14ac:dyDescent="0.2">
      <c r="A240">
        <f>ROW(Source!A171)</f>
        <v>171</v>
      </c>
      <c r="B240">
        <v>39099382</v>
      </c>
      <c r="C240">
        <v>39491393</v>
      </c>
      <c r="D240">
        <v>36804944</v>
      </c>
      <c r="E240">
        <v>1</v>
      </c>
      <c r="F240">
        <v>1</v>
      </c>
      <c r="G240">
        <v>1</v>
      </c>
      <c r="H240">
        <v>3</v>
      </c>
      <c r="I240" t="s">
        <v>798</v>
      </c>
      <c r="J240" t="s">
        <v>799</v>
      </c>
      <c r="K240" t="s">
        <v>800</v>
      </c>
      <c r="L240">
        <v>1348</v>
      </c>
      <c r="N240">
        <v>1009</v>
      </c>
      <c r="O240" t="s">
        <v>189</v>
      </c>
      <c r="P240" t="s">
        <v>189</v>
      </c>
      <c r="Q240">
        <v>1000</v>
      </c>
      <c r="W240">
        <v>0</v>
      </c>
      <c r="X240">
        <v>-1755229539</v>
      </c>
      <c r="Y240">
        <v>1.4E-3</v>
      </c>
      <c r="AA240">
        <v>81167.899999999994</v>
      </c>
      <c r="AB240">
        <v>0</v>
      </c>
      <c r="AC240">
        <v>0</v>
      </c>
      <c r="AD240">
        <v>0</v>
      </c>
      <c r="AE240">
        <v>12430</v>
      </c>
      <c r="AF240">
        <v>0</v>
      </c>
      <c r="AG240">
        <v>0</v>
      </c>
      <c r="AH240">
        <v>0</v>
      </c>
      <c r="AI240">
        <v>6.53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3</v>
      </c>
      <c r="AT240">
        <v>1.4E-3</v>
      </c>
      <c r="AU240" t="s">
        <v>3</v>
      </c>
      <c r="AV240">
        <v>0</v>
      </c>
      <c r="AW240">
        <v>2</v>
      </c>
      <c r="AX240">
        <v>39491405</v>
      </c>
      <c r="AY240">
        <v>1</v>
      </c>
      <c r="AZ240">
        <v>0</v>
      </c>
      <c r="BA240">
        <v>238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Y240*Source!I171</f>
        <v>8.0499999999999994E-4</v>
      </c>
      <c r="CY240">
        <f>AA240</f>
        <v>81167.899999999994</v>
      </c>
      <c r="CZ240">
        <f>AE240</f>
        <v>12430</v>
      </c>
      <c r="DA240">
        <f>AI240</f>
        <v>6.53</v>
      </c>
      <c r="DB240">
        <v>0</v>
      </c>
    </row>
    <row r="241" spans="1:106" x14ac:dyDescent="0.2">
      <c r="A241">
        <f>ROW(Source!A171)</f>
        <v>171</v>
      </c>
      <c r="B241">
        <v>39099382</v>
      </c>
      <c r="C241">
        <v>39491393</v>
      </c>
      <c r="D241">
        <v>0</v>
      </c>
      <c r="E241">
        <v>1</v>
      </c>
      <c r="F241">
        <v>1</v>
      </c>
      <c r="G241">
        <v>1</v>
      </c>
      <c r="H241">
        <v>3</v>
      </c>
      <c r="I241" t="s">
        <v>424</v>
      </c>
      <c r="J241" t="s">
        <v>426</v>
      </c>
      <c r="K241" t="s">
        <v>425</v>
      </c>
      <c r="L241">
        <v>1308</v>
      </c>
      <c r="N241">
        <v>1003</v>
      </c>
      <c r="O241" t="s">
        <v>17</v>
      </c>
      <c r="P241" t="s">
        <v>17</v>
      </c>
      <c r="Q241">
        <v>100</v>
      </c>
      <c r="W241">
        <v>0</v>
      </c>
      <c r="X241">
        <v>866845708</v>
      </c>
      <c r="Y241">
        <v>1</v>
      </c>
      <c r="AA241">
        <v>8880.7999999999993</v>
      </c>
      <c r="AB241">
        <v>0</v>
      </c>
      <c r="AC241">
        <v>0</v>
      </c>
      <c r="AD241">
        <v>0</v>
      </c>
      <c r="AE241">
        <v>1360</v>
      </c>
      <c r="AF241">
        <v>0</v>
      </c>
      <c r="AG241">
        <v>0</v>
      </c>
      <c r="AH241">
        <v>0</v>
      </c>
      <c r="AI241">
        <v>6.53</v>
      </c>
      <c r="AJ241">
        <v>1</v>
      </c>
      <c r="AK241">
        <v>1</v>
      </c>
      <c r="AL241">
        <v>1</v>
      </c>
      <c r="AN241">
        <v>0</v>
      </c>
      <c r="AO241">
        <v>0</v>
      </c>
      <c r="AP241">
        <v>0</v>
      </c>
      <c r="AQ241">
        <v>0</v>
      </c>
      <c r="AR241">
        <v>0</v>
      </c>
      <c r="AS241" t="s">
        <v>3</v>
      </c>
      <c r="AT241">
        <v>1</v>
      </c>
      <c r="AU241" t="s">
        <v>3</v>
      </c>
      <c r="AV241">
        <v>0</v>
      </c>
      <c r="AW241">
        <v>1</v>
      </c>
      <c r="AX241">
        <v>-1</v>
      </c>
      <c r="AY241">
        <v>0</v>
      </c>
      <c r="AZ241">
        <v>0</v>
      </c>
      <c r="BA241" t="s">
        <v>3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Y241*Source!I171</f>
        <v>0.57499999999999996</v>
      </c>
      <c r="CY241">
        <f>AA241</f>
        <v>8880.7999999999993</v>
      </c>
      <c r="CZ241">
        <f>AE241</f>
        <v>1360</v>
      </c>
      <c r="DA241">
        <f>AI241</f>
        <v>6.53</v>
      </c>
      <c r="DB241">
        <v>0</v>
      </c>
    </row>
    <row r="242" spans="1:106" x14ac:dyDescent="0.2">
      <c r="A242">
        <f>ROW(Source!A171)</f>
        <v>171</v>
      </c>
      <c r="B242">
        <v>39099382</v>
      </c>
      <c r="C242">
        <v>39491393</v>
      </c>
      <c r="D242">
        <v>36799065</v>
      </c>
      <c r="E242">
        <v>17</v>
      </c>
      <c r="F242">
        <v>1</v>
      </c>
      <c r="G242">
        <v>1</v>
      </c>
      <c r="H242">
        <v>3</v>
      </c>
      <c r="I242" t="s">
        <v>801</v>
      </c>
      <c r="J242" t="s">
        <v>3</v>
      </c>
      <c r="K242" t="s">
        <v>802</v>
      </c>
      <c r="L242">
        <v>1374</v>
      </c>
      <c r="N242">
        <v>1013</v>
      </c>
      <c r="O242" t="s">
        <v>803</v>
      </c>
      <c r="P242" t="s">
        <v>803</v>
      </c>
      <c r="Q242">
        <v>1</v>
      </c>
      <c r="W242">
        <v>0</v>
      </c>
      <c r="X242">
        <v>-1731369543</v>
      </c>
      <c r="Y242">
        <v>3.87</v>
      </c>
      <c r="AA242">
        <v>1</v>
      </c>
      <c r="AB242">
        <v>0</v>
      </c>
      <c r="AC242">
        <v>0</v>
      </c>
      <c r="AD242">
        <v>0</v>
      </c>
      <c r="AE242">
        <v>1</v>
      </c>
      <c r="AF242">
        <v>0</v>
      </c>
      <c r="AG242">
        <v>0</v>
      </c>
      <c r="AH242">
        <v>0</v>
      </c>
      <c r="AI242">
        <v>1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3</v>
      </c>
      <c r="AT242">
        <v>3.87</v>
      </c>
      <c r="AU242" t="s">
        <v>3</v>
      </c>
      <c r="AV242">
        <v>0</v>
      </c>
      <c r="AW242">
        <v>2</v>
      </c>
      <c r="AX242">
        <v>39491406</v>
      </c>
      <c r="AY242">
        <v>1</v>
      </c>
      <c r="AZ242">
        <v>0</v>
      </c>
      <c r="BA242">
        <v>239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Y242*Source!I171</f>
        <v>2.22525</v>
      </c>
      <c r="CY242">
        <f>AA242</f>
        <v>1</v>
      </c>
      <c r="CZ242">
        <f>AE242</f>
        <v>1</v>
      </c>
      <c r="DA242">
        <f>AI242</f>
        <v>1</v>
      </c>
      <c r="DB242">
        <v>0</v>
      </c>
    </row>
    <row r="243" spans="1:106" x14ac:dyDescent="0.2">
      <c r="A243">
        <f>ROW(Source!A173)</f>
        <v>173</v>
      </c>
      <c r="B243">
        <v>39099382</v>
      </c>
      <c r="C243">
        <v>39099781</v>
      </c>
      <c r="D243">
        <v>37072767</v>
      </c>
      <c r="E243">
        <v>1</v>
      </c>
      <c r="F243">
        <v>1</v>
      </c>
      <c r="G243">
        <v>1</v>
      </c>
      <c r="H243">
        <v>1</v>
      </c>
      <c r="I243" t="s">
        <v>674</v>
      </c>
      <c r="J243" t="s">
        <v>3</v>
      </c>
      <c r="K243" t="s">
        <v>675</v>
      </c>
      <c r="L243">
        <v>1191</v>
      </c>
      <c r="N243">
        <v>1013</v>
      </c>
      <c r="O243" t="s">
        <v>641</v>
      </c>
      <c r="P243" t="s">
        <v>641</v>
      </c>
      <c r="Q243">
        <v>1</v>
      </c>
      <c r="W243">
        <v>0</v>
      </c>
      <c r="X243">
        <v>-1027537862</v>
      </c>
      <c r="Y243">
        <v>15.2</v>
      </c>
      <c r="AA243">
        <v>0</v>
      </c>
      <c r="AB243">
        <v>0</v>
      </c>
      <c r="AC243">
        <v>0</v>
      </c>
      <c r="AD243">
        <v>59.95</v>
      </c>
      <c r="AE243">
        <v>0</v>
      </c>
      <c r="AF243">
        <v>0</v>
      </c>
      <c r="AG243">
        <v>0</v>
      </c>
      <c r="AH243">
        <v>9.18</v>
      </c>
      <c r="AI243">
        <v>1</v>
      </c>
      <c r="AJ243">
        <v>1</v>
      </c>
      <c r="AK243">
        <v>1</v>
      </c>
      <c r="AL243">
        <v>6.53</v>
      </c>
      <c r="AN243">
        <v>0</v>
      </c>
      <c r="AO243">
        <v>1</v>
      </c>
      <c r="AP243">
        <v>0</v>
      </c>
      <c r="AQ243">
        <v>0</v>
      </c>
      <c r="AR243">
        <v>0</v>
      </c>
      <c r="AS243" t="s">
        <v>3</v>
      </c>
      <c r="AT243">
        <v>15.2</v>
      </c>
      <c r="AU243" t="s">
        <v>3</v>
      </c>
      <c r="AV243">
        <v>1</v>
      </c>
      <c r="AW243">
        <v>2</v>
      </c>
      <c r="AX243">
        <v>39099786</v>
      </c>
      <c r="AY243">
        <v>1</v>
      </c>
      <c r="AZ243">
        <v>0</v>
      </c>
      <c r="BA243">
        <v>240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Y243*Source!I173</f>
        <v>57.151999999999994</v>
      </c>
      <c r="CY243">
        <f>AD243</f>
        <v>59.95</v>
      </c>
      <c r="CZ243">
        <f>AH243</f>
        <v>9.18</v>
      </c>
      <c r="DA243">
        <f>AL243</f>
        <v>6.53</v>
      </c>
      <c r="DB243">
        <v>0</v>
      </c>
    </row>
    <row r="244" spans="1:106" x14ac:dyDescent="0.2">
      <c r="A244">
        <f>ROW(Source!A173)</f>
        <v>173</v>
      </c>
      <c r="B244">
        <v>39099382</v>
      </c>
      <c r="C244">
        <v>39099781</v>
      </c>
      <c r="D244">
        <v>36804661</v>
      </c>
      <c r="E244">
        <v>1</v>
      </c>
      <c r="F244">
        <v>1</v>
      </c>
      <c r="G244">
        <v>1</v>
      </c>
      <c r="H244">
        <v>3</v>
      </c>
      <c r="I244" t="s">
        <v>867</v>
      </c>
      <c r="J244" t="s">
        <v>868</v>
      </c>
      <c r="K244" t="s">
        <v>869</v>
      </c>
      <c r="L244">
        <v>1355</v>
      </c>
      <c r="N244">
        <v>1010</v>
      </c>
      <c r="O244" t="s">
        <v>120</v>
      </c>
      <c r="P244" t="s">
        <v>120</v>
      </c>
      <c r="Q244">
        <v>100</v>
      </c>
      <c r="W244">
        <v>0</v>
      </c>
      <c r="X244">
        <v>1135215184</v>
      </c>
      <c r="Y244">
        <v>1.75</v>
      </c>
      <c r="AA244">
        <v>52.24</v>
      </c>
      <c r="AB244">
        <v>0</v>
      </c>
      <c r="AC244">
        <v>0</v>
      </c>
      <c r="AD244">
        <v>0</v>
      </c>
      <c r="AE244">
        <v>8</v>
      </c>
      <c r="AF244">
        <v>0</v>
      </c>
      <c r="AG244">
        <v>0</v>
      </c>
      <c r="AH244">
        <v>0</v>
      </c>
      <c r="AI244">
        <v>6.53</v>
      </c>
      <c r="AJ244">
        <v>1</v>
      </c>
      <c r="AK244">
        <v>1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3</v>
      </c>
      <c r="AT244">
        <v>1.75</v>
      </c>
      <c r="AU244" t="s">
        <v>3</v>
      </c>
      <c r="AV244">
        <v>0</v>
      </c>
      <c r="AW244">
        <v>2</v>
      </c>
      <c r="AX244">
        <v>39099787</v>
      </c>
      <c r="AY244">
        <v>1</v>
      </c>
      <c r="AZ244">
        <v>0</v>
      </c>
      <c r="BA244">
        <v>241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Y244*Source!I173</f>
        <v>6.58</v>
      </c>
      <c r="CY244">
        <f>AA244</f>
        <v>52.24</v>
      </c>
      <c r="CZ244">
        <f>AE244</f>
        <v>8</v>
      </c>
      <c r="DA244">
        <f>AI244</f>
        <v>6.53</v>
      </c>
      <c r="DB244">
        <v>0</v>
      </c>
    </row>
    <row r="245" spans="1:106" x14ac:dyDescent="0.2">
      <c r="A245">
        <f>ROW(Source!A173)</f>
        <v>173</v>
      </c>
      <c r="B245">
        <v>39099382</v>
      </c>
      <c r="C245">
        <v>39099781</v>
      </c>
      <c r="D245">
        <v>36868178</v>
      </c>
      <c r="E245">
        <v>1</v>
      </c>
      <c r="F245">
        <v>1</v>
      </c>
      <c r="G245">
        <v>1</v>
      </c>
      <c r="H245">
        <v>3</v>
      </c>
      <c r="I245" t="s">
        <v>432</v>
      </c>
      <c r="J245" t="s">
        <v>434</v>
      </c>
      <c r="K245" t="s">
        <v>433</v>
      </c>
      <c r="L245">
        <v>1302</v>
      </c>
      <c r="N245">
        <v>1003</v>
      </c>
      <c r="O245" t="s">
        <v>406</v>
      </c>
      <c r="P245" t="s">
        <v>406</v>
      </c>
      <c r="Q245">
        <v>10</v>
      </c>
      <c r="W245">
        <v>0</v>
      </c>
      <c r="X245">
        <v>1745554190</v>
      </c>
      <c r="Y245">
        <v>10</v>
      </c>
      <c r="AA245">
        <v>206.35</v>
      </c>
      <c r="AB245">
        <v>0</v>
      </c>
      <c r="AC245">
        <v>0</v>
      </c>
      <c r="AD245">
        <v>0</v>
      </c>
      <c r="AE245">
        <v>31.6</v>
      </c>
      <c r="AF245">
        <v>0</v>
      </c>
      <c r="AG245">
        <v>0</v>
      </c>
      <c r="AH245">
        <v>0</v>
      </c>
      <c r="AI245">
        <v>6.53</v>
      </c>
      <c r="AJ245">
        <v>1</v>
      </c>
      <c r="AK245">
        <v>1</v>
      </c>
      <c r="AL245">
        <v>1</v>
      </c>
      <c r="AN245">
        <v>0</v>
      </c>
      <c r="AO245">
        <v>0</v>
      </c>
      <c r="AP245">
        <v>0</v>
      </c>
      <c r="AQ245">
        <v>0</v>
      </c>
      <c r="AR245">
        <v>0</v>
      </c>
      <c r="AS245" t="s">
        <v>3</v>
      </c>
      <c r="AT245">
        <v>10</v>
      </c>
      <c r="AU245" t="s">
        <v>3</v>
      </c>
      <c r="AV245">
        <v>0</v>
      </c>
      <c r="AW245">
        <v>1</v>
      </c>
      <c r="AX245">
        <v>-1</v>
      </c>
      <c r="AY245">
        <v>0</v>
      </c>
      <c r="AZ245">
        <v>0</v>
      </c>
      <c r="BA245" t="s">
        <v>3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Y245*Source!I173</f>
        <v>37.599999999999994</v>
      </c>
      <c r="CY245">
        <f>AA245</f>
        <v>206.35</v>
      </c>
      <c r="CZ245">
        <f>AE245</f>
        <v>31.6</v>
      </c>
      <c r="DA245">
        <f>AI245</f>
        <v>6.53</v>
      </c>
      <c r="DB245">
        <v>0</v>
      </c>
    </row>
    <row r="246" spans="1:106" x14ac:dyDescent="0.2">
      <c r="A246">
        <f>ROW(Source!A173)</f>
        <v>173</v>
      </c>
      <c r="B246">
        <v>39099382</v>
      </c>
      <c r="C246">
        <v>39099781</v>
      </c>
      <c r="D246">
        <v>36799065</v>
      </c>
      <c r="E246">
        <v>17</v>
      </c>
      <c r="F246">
        <v>1</v>
      </c>
      <c r="G246">
        <v>1</v>
      </c>
      <c r="H246">
        <v>3</v>
      </c>
      <c r="I246" t="s">
        <v>801</v>
      </c>
      <c r="J246" t="s">
        <v>3</v>
      </c>
      <c r="K246" t="s">
        <v>802</v>
      </c>
      <c r="L246">
        <v>1374</v>
      </c>
      <c r="N246">
        <v>1013</v>
      </c>
      <c r="O246" t="s">
        <v>803</v>
      </c>
      <c r="P246" t="s">
        <v>803</v>
      </c>
      <c r="Q246">
        <v>1</v>
      </c>
      <c r="W246">
        <v>0</v>
      </c>
      <c r="X246">
        <v>-1731369543</v>
      </c>
      <c r="Y246">
        <v>2.79</v>
      </c>
      <c r="AA246">
        <v>1</v>
      </c>
      <c r="AB246">
        <v>0</v>
      </c>
      <c r="AC246">
        <v>0</v>
      </c>
      <c r="AD246">
        <v>0</v>
      </c>
      <c r="AE246">
        <v>1</v>
      </c>
      <c r="AF246">
        <v>0</v>
      </c>
      <c r="AG246">
        <v>0</v>
      </c>
      <c r="AH246">
        <v>0</v>
      </c>
      <c r="AI246">
        <v>1</v>
      </c>
      <c r="AJ246">
        <v>1</v>
      </c>
      <c r="AK246">
        <v>1</v>
      </c>
      <c r="AL246">
        <v>1</v>
      </c>
      <c r="AN246">
        <v>0</v>
      </c>
      <c r="AO246">
        <v>1</v>
      </c>
      <c r="AP246">
        <v>0</v>
      </c>
      <c r="AQ246">
        <v>0</v>
      </c>
      <c r="AR246">
        <v>0</v>
      </c>
      <c r="AS246" t="s">
        <v>3</v>
      </c>
      <c r="AT246">
        <v>2.79</v>
      </c>
      <c r="AU246" t="s">
        <v>3</v>
      </c>
      <c r="AV246">
        <v>0</v>
      </c>
      <c r="AW246">
        <v>2</v>
      </c>
      <c r="AX246">
        <v>39099788</v>
      </c>
      <c r="AY246">
        <v>1</v>
      </c>
      <c r="AZ246">
        <v>0</v>
      </c>
      <c r="BA246">
        <v>242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Y246*Source!I173</f>
        <v>10.490399999999999</v>
      </c>
      <c r="CY246">
        <f>AA246</f>
        <v>1</v>
      </c>
      <c r="CZ246">
        <f>AE246</f>
        <v>1</v>
      </c>
      <c r="DA246">
        <f>AI246</f>
        <v>1</v>
      </c>
      <c r="DB246">
        <v>0</v>
      </c>
    </row>
    <row r="247" spans="1:106" x14ac:dyDescent="0.2">
      <c r="A247">
        <f>ROW(Source!A175)</f>
        <v>175</v>
      </c>
      <c r="B247">
        <v>39099382</v>
      </c>
      <c r="C247">
        <v>39099790</v>
      </c>
      <c r="D247">
        <v>37064878</v>
      </c>
      <c r="E247">
        <v>1</v>
      </c>
      <c r="F247">
        <v>1</v>
      </c>
      <c r="G247">
        <v>1</v>
      </c>
      <c r="H247">
        <v>1</v>
      </c>
      <c r="I247" t="s">
        <v>693</v>
      </c>
      <c r="J247" t="s">
        <v>3</v>
      </c>
      <c r="K247" t="s">
        <v>694</v>
      </c>
      <c r="L247">
        <v>1191</v>
      </c>
      <c r="N247">
        <v>1013</v>
      </c>
      <c r="O247" t="s">
        <v>641</v>
      </c>
      <c r="P247" t="s">
        <v>641</v>
      </c>
      <c r="Q247">
        <v>1</v>
      </c>
      <c r="W247">
        <v>0</v>
      </c>
      <c r="X247">
        <v>-1081351934</v>
      </c>
      <c r="Y247">
        <v>3.76</v>
      </c>
      <c r="AA247">
        <v>0</v>
      </c>
      <c r="AB247">
        <v>0</v>
      </c>
      <c r="AC247">
        <v>0</v>
      </c>
      <c r="AD247">
        <v>61.38</v>
      </c>
      <c r="AE247">
        <v>0</v>
      </c>
      <c r="AF247">
        <v>0</v>
      </c>
      <c r="AG247">
        <v>0</v>
      </c>
      <c r="AH247">
        <v>9.4</v>
      </c>
      <c r="AI247">
        <v>1</v>
      </c>
      <c r="AJ247">
        <v>1</v>
      </c>
      <c r="AK247">
        <v>1</v>
      </c>
      <c r="AL247">
        <v>6.53</v>
      </c>
      <c r="AN247">
        <v>0</v>
      </c>
      <c r="AO247">
        <v>1</v>
      </c>
      <c r="AP247">
        <v>0</v>
      </c>
      <c r="AQ247">
        <v>0</v>
      </c>
      <c r="AR247">
        <v>0</v>
      </c>
      <c r="AS247" t="s">
        <v>3</v>
      </c>
      <c r="AT247">
        <v>3.76</v>
      </c>
      <c r="AU247" t="s">
        <v>3</v>
      </c>
      <c r="AV247">
        <v>1</v>
      </c>
      <c r="AW247">
        <v>2</v>
      </c>
      <c r="AX247">
        <v>39099800</v>
      </c>
      <c r="AY247">
        <v>1</v>
      </c>
      <c r="AZ247">
        <v>0</v>
      </c>
      <c r="BA247">
        <v>243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Y247*Source!I175</f>
        <v>3.008</v>
      </c>
      <c r="CY247">
        <f>AD247</f>
        <v>61.38</v>
      </c>
      <c r="CZ247">
        <f>AH247</f>
        <v>9.4</v>
      </c>
      <c r="DA247">
        <f>AL247</f>
        <v>6.53</v>
      </c>
      <c r="DB247">
        <v>0</v>
      </c>
    </row>
    <row r="248" spans="1:106" x14ac:dyDescent="0.2">
      <c r="A248">
        <f>ROW(Source!A175)</f>
        <v>175</v>
      </c>
      <c r="B248">
        <v>39099382</v>
      </c>
      <c r="C248">
        <v>39099790</v>
      </c>
      <c r="D248">
        <v>37064876</v>
      </c>
      <c r="E248">
        <v>1</v>
      </c>
      <c r="F248">
        <v>1</v>
      </c>
      <c r="G248">
        <v>1</v>
      </c>
      <c r="H248">
        <v>1</v>
      </c>
      <c r="I248" t="s">
        <v>642</v>
      </c>
      <c r="J248" t="s">
        <v>3</v>
      </c>
      <c r="K248" t="s">
        <v>643</v>
      </c>
      <c r="L248">
        <v>1191</v>
      </c>
      <c r="N248">
        <v>1013</v>
      </c>
      <c r="O248" t="s">
        <v>641</v>
      </c>
      <c r="P248" t="s">
        <v>641</v>
      </c>
      <c r="Q248">
        <v>1</v>
      </c>
      <c r="W248">
        <v>0</v>
      </c>
      <c r="X248">
        <v>-1417349443</v>
      </c>
      <c r="Y248">
        <v>0.02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1</v>
      </c>
      <c r="AJ248">
        <v>1</v>
      </c>
      <c r="AK248">
        <v>6.53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3</v>
      </c>
      <c r="AT248">
        <v>0.02</v>
      </c>
      <c r="AU248" t="s">
        <v>3</v>
      </c>
      <c r="AV248">
        <v>2</v>
      </c>
      <c r="AW248">
        <v>2</v>
      </c>
      <c r="AX248">
        <v>39099801</v>
      </c>
      <c r="AY248">
        <v>1</v>
      </c>
      <c r="AZ248">
        <v>0</v>
      </c>
      <c r="BA248">
        <v>244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Y248*Source!I175</f>
        <v>1.6E-2</v>
      </c>
      <c r="CY248">
        <f>AD248</f>
        <v>0</v>
      </c>
      <c r="CZ248">
        <f>AH248</f>
        <v>0</v>
      </c>
      <c r="DA248">
        <f>AL248</f>
        <v>1</v>
      </c>
      <c r="DB248">
        <v>0</v>
      </c>
    </row>
    <row r="249" spans="1:106" x14ac:dyDescent="0.2">
      <c r="A249">
        <f>ROW(Source!A175)</f>
        <v>175</v>
      </c>
      <c r="B249">
        <v>39099382</v>
      </c>
      <c r="C249">
        <v>39099790</v>
      </c>
      <c r="D249">
        <v>36882159</v>
      </c>
      <c r="E249">
        <v>1</v>
      </c>
      <c r="F249">
        <v>1</v>
      </c>
      <c r="G249">
        <v>1</v>
      </c>
      <c r="H249">
        <v>2</v>
      </c>
      <c r="I249" t="s">
        <v>765</v>
      </c>
      <c r="J249" t="s">
        <v>766</v>
      </c>
      <c r="K249" t="s">
        <v>767</v>
      </c>
      <c r="L249">
        <v>1368</v>
      </c>
      <c r="N249">
        <v>1011</v>
      </c>
      <c r="O249" t="s">
        <v>647</v>
      </c>
      <c r="P249" t="s">
        <v>647</v>
      </c>
      <c r="Q249">
        <v>1</v>
      </c>
      <c r="W249">
        <v>0</v>
      </c>
      <c r="X249">
        <v>-1718674368</v>
      </c>
      <c r="Y249">
        <v>0.01</v>
      </c>
      <c r="AA249">
        <v>0</v>
      </c>
      <c r="AB249">
        <v>731.29</v>
      </c>
      <c r="AC249">
        <v>13.5</v>
      </c>
      <c r="AD249">
        <v>0</v>
      </c>
      <c r="AE249">
        <v>0</v>
      </c>
      <c r="AF249">
        <v>111.99</v>
      </c>
      <c r="AG249">
        <v>13.5</v>
      </c>
      <c r="AH249">
        <v>0</v>
      </c>
      <c r="AI249">
        <v>1</v>
      </c>
      <c r="AJ249">
        <v>6.53</v>
      </c>
      <c r="AK249">
        <v>1</v>
      </c>
      <c r="AL249">
        <v>1</v>
      </c>
      <c r="AN249">
        <v>0</v>
      </c>
      <c r="AO249">
        <v>1</v>
      </c>
      <c r="AP249">
        <v>0</v>
      </c>
      <c r="AQ249">
        <v>0</v>
      </c>
      <c r="AR249">
        <v>0</v>
      </c>
      <c r="AS249" t="s">
        <v>3</v>
      </c>
      <c r="AT249">
        <v>0.01</v>
      </c>
      <c r="AU249" t="s">
        <v>3</v>
      </c>
      <c r="AV249">
        <v>0</v>
      </c>
      <c r="AW249">
        <v>2</v>
      </c>
      <c r="AX249">
        <v>39099802</v>
      </c>
      <c r="AY249">
        <v>1</v>
      </c>
      <c r="AZ249">
        <v>0</v>
      </c>
      <c r="BA249">
        <v>245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Y249*Source!I175</f>
        <v>8.0000000000000002E-3</v>
      </c>
      <c r="CY249">
        <f>AB249</f>
        <v>731.29</v>
      </c>
      <c r="CZ249">
        <f>AF249</f>
        <v>111.99</v>
      </c>
      <c r="DA249">
        <f>AJ249</f>
        <v>6.53</v>
      </c>
      <c r="DB249">
        <v>0</v>
      </c>
    </row>
    <row r="250" spans="1:106" x14ac:dyDescent="0.2">
      <c r="A250">
        <f>ROW(Source!A175)</f>
        <v>175</v>
      </c>
      <c r="B250">
        <v>39099382</v>
      </c>
      <c r="C250">
        <v>39099790</v>
      </c>
      <c r="D250">
        <v>36883554</v>
      </c>
      <c r="E250">
        <v>1</v>
      </c>
      <c r="F250">
        <v>1</v>
      </c>
      <c r="G250">
        <v>1</v>
      </c>
      <c r="H250">
        <v>2</v>
      </c>
      <c r="I250" t="s">
        <v>665</v>
      </c>
      <c r="J250" t="s">
        <v>666</v>
      </c>
      <c r="K250" t="s">
        <v>667</v>
      </c>
      <c r="L250">
        <v>1368</v>
      </c>
      <c r="N250">
        <v>1011</v>
      </c>
      <c r="O250" t="s">
        <v>647</v>
      </c>
      <c r="P250" t="s">
        <v>647</v>
      </c>
      <c r="Q250">
        <v>1</v>
      </c>
      <c r="W250">
        <v>0</v>
      </c>
      <c r="X250">
        <v>1372534845</v>
      </c>
      <c r="Y250">
        <v>0.01</v>
      </c>
      <c r="AA250">
        <v>0</v>
      </c>
      <c r="AB250">
        <v>429.09</v>
      </c>
      <c r="AC250">
        <v>11.6</v>
      </c>
      <c r="AD250">
        <v>0</v>
      </c>
      <c r="AE250">
        <v>0</v>
      </c>
      <c r="AF250">
        <v>65.709999999999994</v>
      </c>
      <c r="AG250">
        <v>11.6</v>
      </c>
      <c r="AH250">
        <v>0</v>
      </c>
      <c r="AI250">
        <v>1</v>
      </c>
      <c r="AJ250">
        <v>6.53</v>
      </c>
      <c r="AK250">
        <v>1</v>
      </c>
      <c r="AL250">
        <v>1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3</v>
      </c>
      <c r="AT250">
        <v>0.01</v>
      </c>
      <c r="AU250" t="s">
        <v>3</v>
      </c>
      <c r="AV250">
        <v>0</v>
      </c>
      <c r="AW250">
        <v>2</v>
      </c>
      <c r="AX250">
        <v>39099803</v>
      </c>
      <c r="AY250">
        <v>1</v>
      </c>
      <c r="AZ250">
        <v>0</v>
      </c>
      <c r="BA250">
        <v>246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Y250*Source!I175</f>
        <v>8.0000000000000002E-3</v>
      </c>
      <c r="CY250">
        <f>AB250</f>
        <v>429.09</v>
      </c>
      <c r="CZ250">
        <f>AF250</f>
        <v>65.709999999999994</v>
      </c>
      <c r="DA250">
        <f>AJ250</f>
        <v>6.53</v>
      </c>
      <c r="DB250">
        <v>0</v>
      </c>
    </row>
    <row r="251" spans="1:106" x14ac:dyDescent="0.2">
      <c r="A251">
        <f>ROW(Source!A175)</f>
        <v>175</v>
      </c>
      <c r="B251">
        <v>39099382</v>
      </c>
      <c r="C251">
        <v>39099790</v>
      </c>
      <c r="D251">
        <v>36802094</v>
      </c>
      <c r="E251">
        <v>1</v>
      </c>
      <c r="F251">
        <v>1</v>
      </c>
      <c r="G251">
        <v>1</v>
      </c>
      <c r="H251">
        <v>3</v>
      </c>
      <c r="I251" t="s">
        <v>820</v>
      </c>
      <c r="J251" t="s">
        <v>821</v>
      </c>
      <c r="K251" t="s">
        <v>822</v>
      </c>
      <c r="L251">
        <v>1346</v>
      </c>
      <c r="N251">
        <v>1009</v>
      </c>
      <c r="O251" t="s">
        <v>97</v>
      </c>
      <c r="P251" t="s">
        <v>97</v>
      </c>
      <c r="Q251">
        <v>1</v>
      </c>
      <c r="W251">
        <v>0</v>
      </c>
      <c r="X251">
        <v>-1088866022</v>
      </c>
      <c r="Y251">
        <v>0.16</v>
      </c>
      <c r="AA251">
        <v>198.51</v>
      </c>
      <c r="AB251">
        <v>0</v>
      </c>
      <c r="AC251">
        <v>0</v>
      </c>
      <c r="AD251">
        <v>0</v>
      </c>
      <c r="AE251">
        <v>30.4</v>
      </c>
      <c r="AF251">
        <v>0</v>
      </c>
      <c r="AG251">
        <v>0</v>
      </c>
      <c r="AH251">
        <v>0</v>
      </c>
      <c r="AI251">
        <v>6.53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0</v>
      </c>
      <c r="AQ251">
        <v>0</v>
      </c>
      <c r="AR251">
        <v>0</v>
      </c>
      <c r="AS251" t="s">
        <v>3</v>
      </c>
      <c r="AT251">
        <v>0.16</v>
      </c>
      <c r="AU251" t="s">
        <v>3</v>
      </c>
      <c r="AV251">
        <v>0</v>
      </c>
      <c r="AW251">
        <v>2</v>
      </c>
      <c r="AX251">
        <v>39099804</v>
      </c>
      <c r="AY251">
        <v>1</v>
      </c>
      <c r="AZ251">
        <v>0</v>
      </c>
      <c r="BA251">
        <v>247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Y251*Source!I175</f>
        <v>0.128</v>
      </c>
      <c r="CY251">
        <f>AA251</f>
        <v>198.51</v>
      </c>
      <c r="CZ251">
        <f>AE251</f>
        <v>30.4</v>
      </c>
      <c r="DA251">
        <f>AI251</f>
        <v>6.53</v>
      </c>
      <c r="DB251">
        <v>0</v>
      </c>
    </row>
    <row r="252" spans="1:106" x14ac:dyDescent="0.2">
      <c r="A252">
        <f>ROW(Source!A175)</f>
        <v>175</v>
      </c>
      <c r="B252">
        <v>39099382</v>
      </c>
      <c r="C252">
        <v>39099790</v>
      </c>
      <c r="D252">
        <v>36802106</v>
      </c>
      <c r="E252">
        <v>1</v>
      </c>
      <c r="F252">
        <v>1</v>
      </c>
      <c r="G252">
        <v>1</v>
      </c>
      <c r="H252">
        <v>3</v>
      </c>
      <c r="I252" t="s">
        <v>870</v>
      </c>
      <c r="J252" t="s">
        <v>871</v>
      </c>
      <c r="K252" t="s">
        <v>872</v>
      </c>
      <c r="L252">
        <v>1308</v>
      </c>
      <c r="N252">
        <v>1003</v>
      </c>
      <c r="O252" t="s">
        <v>17</v>
      </c>
      <c r="P252" t="s">
        <v>17</v>
      </c>
      <c r="Q252">
        <v>100</v>
      </c>
      <c r="W252">
        <v>0</v>
      </c>
      <c r="X252">
        <v>568244124</v>
      </c>
      <c r="Y252">
        <v>5.5E-2</v>
      </c>
      <c r="AA252">
        <v>783.6</v>
      </c>
      <c r="AB252">
        <v>0</v>
      </c>
      <c r="AC252">
        <v>0</v>
      </c>
      <c r="AD252">
        <v>0</v>
      </c>
      <c r="AE252">
        <v>120</v>
      </c>
      <c r="AF252">
        <v>0</v>
      </c>
      <c r="AG252">
        <v>0</v>
      </c>
      <c r="AH252">
        <v>0</v>
      </c>
      <c r="AI252">
        <v>6.53</v>
      </c>
      <c r="AJ252">
        <v>1</v>
      </c>
      <c r="AK252">
        <v>1</v>
      </c>
      <c r="AL252">
        <v>1</v>
      </c>
      <c r="AN252">
        <v>0</v>
      </c>
      <c r="AO252">
        <v>1</v>
      </c>
      <c r="AP252">
        <v>0</v>
      </c>
      <c r="AQ252">
        <v>0</v>
      </c>
      <c r="AR252">
        <v>0</v>
      </c>
      <c r="AS252" t="s">
        <v>3</v>
      </c>
      <c r="AT252">
        <v>5.5E-2</v>
      </c>
      <c r="AU252" t="s">
        <v>3</v>
      </c>
      <c r="AV252">
        <v>0</v>
      </c>
      <c r="AW252">
        <v>2</v>
      </c>
      <c r="AX252">
        <v>39099805</v>
      </c>
      <c r="AY252">
        <v>1</v>
      </c>
      <c r="AZ252">
        <v>0</v>
      </c>
      <c r="BA252">
        <v>248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Y252*Source!I175</f>
        <v>4.4000000000000004E-2</v>
      </c>
      <c r="CY252">
        <f>AA252</f>
        <v>783.6</v>
      </c>
      <c r="CZ252">
        <f>AE252</f>
        <v>120</v>
      </c>
      <c r="DA252">
        <f>AI252</f>
        <v>6.53</v>
      </c>
      <c r="DB252">
        <v>0</v>
      </c>
    </row>
    <row r="253" spans="1:106" x14ac:dyDescent="0.2">
      <c r="A253">
        <f>ROW(Source!A175)</f>
        <v>175</v>
      </c>
      <c r="B253">
        <v>39099382</v>
      </c>
      <c r="C253">
        <v>39099790</v>
      </c>
      <c r="D253">
        <v>36838317</v>
      </c>
      <c r="E253">
        <v>1</v>
      </c>
      <c r="F253">
        <v>1</v>
      </c>
      <c r="G253">
        <v>1</v>
      </c>
      <c r="H253">
        <v>3</v>
      </c>
      <c r="I253" t="s">
        <v>838</v>
      </c>
      <c r="J253" t="s">
        <v>839</v>
      </c>
      <c r="K253" t="s">
        <v>840</v>
      </c>
      <c r="L253">
        <v>1346</v>
      </c>
      <c r="N253">
        <v>1009</v>
      </c>
      <c r="O253" t="s">
        <v>97</v>
      </c>
      <c r="P253" t="s">
        <v>97</v>
      </c>
      <c r="Q253">
        <v>1</v>
      </c>
      <c r="W253">
        <v>0</v>
      </c>
      <c r="X253">
        <v>210558753</v>
      </c>
      <c r="Y253">
        <v>0.05</v>
      </c>
      <c r="AA253">
        <v>186.76</v>
      </c>
      <c r="AB253">
        <v>0</v>
      </c>
      <c r="AC253">
        <v>0</v>
      </c>
      <c r="AD253">
        <v>0</v>
      </c>
      <c r="AE253">
        <v>28.6</v>
      </c>
      <c r="AF253">
        <v>0</v>
      </c>
      <c r="AG253">
        <v>0</v>
      </c>
      <c r="AH253">
        <v>0</v>
      </c>
      <c r="AI253">
        <v>6.53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0</v>
      </c>
      <c r="AQ253">
        <v>0</v>
      </c>
      <c r="AR253">
        <v>0</v>
      </c>
      <c r="AS253" t="s">
        <v>3</v>
      </c>
      <c r="AT253">
        <v>0.05</v>
      </c>
      <c r="AU253" t="s">
        <v>3</v>
      </c>
      <c r="AV253">
        <v>0</v>
      </c>
      <c r="AW253">
        <v>2</v>
      </c>
      <c r="AX253">
        <v>39099806</v>
      </c>
      <c r="AY253">
        <v>1</v>
      </c>
      <c r="AZ253">
        <v>0</v>
      </c>
      <c r="BA253">
        <v>249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Y253*Source!I175</f>
        <v>4.0000000000000008E-2</v>
      </c>
      <c r="CY253">
        <f>AA253</f>
        <v>186.76</v>
      </c>
      <c r="CZ253">
        <f>AE253</f>
        <v>28.6</v>
      </c>
      <c r="DA253">
        <f>AI253</f>
        <v>6.53</v>
      </c>
      <c r="DB253">
        <v>0</v>
      </c>
    </row>
    <row r="254" spans="1:106" x14ac:dyDescent="0.2">
      <c r="A254">
        <f>ROW(Source!A175)</f>
        <v>175</v>
      </c>
      <c r="B254">
        <v>39099382</v>
      </c>
      <c r="C254">
        <v>39099790</v>
      </c>
      <c r="D254">
        <v>36857511</v>
      </c>
      <c r="E254">
        <v>1</v>
      </c>
      <c r="F254">
        <v>1</v>
      </c>
      <c r="G254">
        <v>1</v>
      </c>
      <c r="H254">
        <v>3</v>
      </c>
      <c r="I254" t="s">
        <v>440</v>
      </c>
      <c r="J254" t="s">
        <v>443</v>
      </c>
      <c r="K254" t="s">
        <v>441</v>
      </c>
      <c r="L254">
        <v>1477</v>
      </c>
      <c r="N254">
        <v>1013</v>
      </c>
      <c r="O254" t="s">
        <v>442</v>
      </c>
      <c r="P254" t="s">
        <v>444</v>
      </c>
      <c r="Q254">
        <v>1</v>
      </c>
      <c r="W254">
        <v>0</v>
      </c>
      <c r="X254">
        <v>559331636</v>
      </c>
      <c r="Y254">
        <v>0.1</v>
      </c>
      <c r="AA254">
        <v>45190.28</v>
      </c>
      <c r="AB254">
        <v>0</v>
      </c>
      <c r="AC254">
        <v>0</v>
      </c>
      <c r="AD254">
        <v>0</v>
      </c>
      <c r="AE254">
        <v>6920.41</v>
      </c>
      <c r="AF254">
        <v>0</v>
      </c>
      <c r="AG254">
        <v>0</v>
      </c>
      <c r="AH254">
        <v>0</v>
      </c>
      <c r="AI254">
        <v>6.53</v>
      </c>
      <c r="AJ254">
        <v>1</v>
      </c>
      <c r="AK254">
        <v>1</v>
      </c>
      <c r="AL254">
        <v>1</v>
      </c>
      <c r="AN254">
        <v>0</v>
      </c>
      <c r="AO254">
        <v>0</v>
      </c>
      <c r="AP254">
        <v>0</v>
      </c>
      <c r="AQ254">
        <v>0</v>
      </c>
      <c r="AR254">
        <v>0</v>
      </c>
      <c r="AS254" t="s">
        <v>3</v>
      </c>
      <c r="AT254">
        <v>0.1</v>
      </c>
      <c r="AU254" t="s">
        <v>3</v>
      </c>
      <c r="AV254">
        <v>0</v>
      </c>
      <c r="AW254">
        <v>1</v>
      </c>
      <c r="AX254">
        <v>-1</v>
      </c>
      <c r="AY254">
        <v>0</v>
      </c>
      <c r="AZ254">
        <v>0</v>
      </c>
      <c r="BA254" t="s">
        <v>3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Y254*Source!I175</f>
        <v>8.0000000000000016E-2</v>
      </c>
      <c r="CY254">
        <f>AA254</f>
        <v>45190.28</v>
      </c>
      <c r="CZ254">
        <f>AE254</f>
        <v>6920.41</v>
      </c>
      <c r="DA254">
        <f>AI254</f>
        <v>6.53</v>
      </c>
      <c r="DB254">
        <v>0</v>
      </c>
    </row>
    <row r="255" spans="1:106" x14ac:dyDescent="0.2">
      <c r="A255">
        <f>ROW(Source!A175)</f>
        <v>175</v>
      </c>
      <c r="B255">
        <v>39099382</v>
      </c>
      <c r="C255">
        <v>39099790</v>
      </c>
      <c r="D255">
        <v>36799065</v>
      </c>
      <c r="E255">
        <v>17</v>
      </c>
      <c r="F255">
        <v>1</v>
      </c>
      <c r="G255">
        <v>1</v>
      </c>
      <c r="H255">
        <v>3</v>
      </c>
      <c r="I255" t="s">
        <v>801</v>
      </c>
      <c r="J255" t="s">
        <v>3</v>
      </c>
      <c r="K255" t="s">
        <v>802</v>
      </c>
      <c r="L255">
        <v>1374</v>
      </c>
      <c r="N255">
        <v>1013</v>
      </c>
      <c r="O255" t="s">
        <v>803</v>
      </c>
      <c r="P255" t="s">
        <v>803</v>
      </c>
      <c r="Q255">
        <v>1</v>
      </c>
      <c r="W255">
        <v>0</v>
      </c>
      <c r="X255">
        <v>-1731369543</v>
      </c>
      <c r="Y255">
        <v>0.71</v>
      </c>
      <c r="AA255">
        <v>1</v>
      </c>
      <c r="AB255">
        <v>0</v>
      </c>
      <c r="AC255">
        <v>0</v>
      </c>
      <c r="AD255">
        <v>0</v>
      </c>
      <c r="AE255">
        <v>1</v>
      </c>
      <c r="AF255">
        <v>0</v>
      </c>
      <c r="AG255">
        <v>0</v>
      </c>
      <c r="AH255">
        <v>0</v>
      </c>
      <c r="AI255">
        <v>1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3</v>
      </c>
      <c r="AT255">
        <v>0.71</v>
      </c>
      <c r="AU255" t="s">
        <v>3</v>
      </c>
      <c r="AV255">
        <v>0</v>
      </c>
      <c r="AW255">
        <v>2</v>
      </c>
      <c r="AX255">
        <v>39099807</v>
      </c>
      <c r="AY255">
        <v>1</v>
      </c>
      <c r="AZ255">
        <v>0</v>
      </c>
      <c r="BA255">
        <v>250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Y255*Source!I175</f>
        <v>0.56799999999999995</v>
      </c>
      <c r="CY255">
        <f>AA255</f>
        <v>1</v>
      </c>
      <c r="CZ255">
        <f>AE255</f>
        <v>1</v>
      </c>
      <c r="DA255">
        <f>AI255</f>
        <v>1</v>
      </c>
      <c r="DB255">
        <v>0</v>
      </c>
    </row>
    <row r="256" spans="1:106" x14ac:dyDescent="0.2">
      <c r="A256">
        <f>ROW(Source!A177)</f>
        <v>177</v>
      </c>
      <c r="B256">
        <v>39099382</v>
      </c>
      <c r="C256">
        <v>39099809</v>
      </c>
      <c r="D256">
        <v>37064878</v>
      </c>
      <c r="E256">
        <v>1</v>
      </c>
      <c r="F256">
        <v>1</v>
      </c>
      <c r="G256">
        <v>1</v>
      </c>
      <c r="H256">
        <v>1</v>
      </c>
      <c r="I256" t="s">
        <v>693</v>
      </c>
      <c r="J256" t="s">
        <v>3</v>
      </c>
      <c r="K256" t="s">
        <v>694</v>
      </c>
      <c r="L256">
        <v>1191</v>
      </c>
      <c r="N256">
        <v>1013</v>
      </c>
      <c r="O256" t="s">
        <v>641</v>
      </c>
      <c r="P256" t="s">
        <v>641</v>
      </c>
      <c r="Q256">
        <v>1</v>
      </c>
      <c r="W256">
        <v>0</v>
      </c>
      <c r="X256">
        <v>-1081351934</v>
      </c>
      <c r="Y256">
        <v>6.29</v>
      </c>
      <c r="AA256">
        <v>0</v>
      </c>
      <c r="AB256">
        <v>0</v>
      </c>
      <c r="AC256">
        <v>0</v>
      </c>
      <c r="AD256">
        <v>61.38</v>
      </c>
      <c r="AE256">
        <v>0</v>
      </c>
      <c r="AF256">
        <v>0</v>
      </c>
      <c r="AG256">
        <v>0</v>
      </c>
      <c r="AH256">
        <v>9.4</v>
      </c>
      <c r="AI256">
        <v>1</v>
      </c>
      <c r="AJ256">
        <v>1</v>
      </c>
      <c r="AK256">
        <v>1</v>
      </c>
      <c r="AL256">
        <v>6.53</v>
      </c>
      <c r="AN256">
        <v>0</v>
      </c>
      <c r="AO256">
        <v>1</v>
      </c>
      <c r="AP256">
        <v>0</v>
      </c>
      <c r="AQ256">
        <v>0</v>
      </c>
      <c r="AR256">
        <v>0</v>
      </c>
      <c r="AS256" t="s">
        <v>3</v>
      </c>
      <c r="AT256">
        <v>6.29</v>
      </c>
      <c r="AU256" t="s">
        <v>3</v>
      </c>
      <c r="AV256">
        <v>1</v>
      </c>
      <c r="AW256">
        <v>2</v>
      </c>
      <c r="AX256">
        <v>39099821</v>
      </c>
      <c r="AY256">
        <v>1</v>
      </c>
      <c r="AZ256">
        <v>0</v>
      </c>
      <c r="BA256">
        <v>251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Y256*Source!I177</f>
        <v>44.407399999999996</v>
      </c>
      <c r="CY256">
        <f>AD256</f>
        <v>61.38</v>
      </c>
      <c r="CZ256">
        <f>AH256</f>
        <v>9.4</v>
      </c>
      <c r="DA256">
        <f>AL256</f>
        <v>6.53</v>
      </c>
      <c r="DB256">
        <v>0</v>
      </c>
    </row>
    <row r="257" spans="1:106" x14ac:dyDescent="0.2">
      <c r="A257">
        <f>ROW(Source!A177)</f>
        <v>177</v>
      </c>
      <c r="B257">
        <v>39099382</v>
      </c>
      <c r="C257">
        <v>39099809</v>
      </c>
      <c r="D257">
        <v>37064876</v>
      </c>
      <c r="E257">
        <v>1</v>
      </c>
      <c r="F257">
        <v>1</v>
      </c>
      <c r="G257">
        <v>1</v>
      </c>
      <c r="H257">
        <v>1</v>
      </c>
      <c r="I257" t="s">
        <v>642</v>
      </c>
      <c r="J257" t="s">
        <v>3</v>
      </c>
      <c r="K257" t="s">
        <v>643</v>
      </c>
      <c r="L257">
        <v>1191</v>
      </c>
      <c r="N257">
        <v>1013</v>
      </c>
      <c r="O257" t="s">
        <v>641</v>
      </c>
      <c r="P257" t="s">
        <v>641</v>
      </c>
      <c r="Q257">
        <v>1</v>
      </c>
      <c r="W257">
        <v>0</v>
      </c>
      <c r="X257">
        <v>-1417349443</v>
      </c>
      <c r="Y257">
        <v>0.06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1</v>
      </c>
      <c r="AJ257">
        <v>1</v>
      </c>
      <c r="AK257">
        <v>6.53</v>
      </c>
      <c r="AL257">
        <v>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3</v>
      </c>
      <c r="AT257">
        <v>0.06</v>
      </c>
      <c r="AU257" t="s">
        <v>3</v>
      </c>
      <c r="AV257">
        <v>2</v>
      </c>
      <c r="AW257">
        <v>2</v>
      </c>
      <c r="AX257">
        <v>39099822</v>
      </c>
      <c r="AY257">
        <v>1</v>
      </c>
      <c r="AZ257">
        <v>0</v>
      </c>
      <c r="BA257">
        <v>252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Y257*Source!I177</f>
        <v>0.42359999999999998</v>
      </c>
      <c r="CY257">
        <f>AD257</f>
        <v>0</v>
      </c>
      <c r="CZ257">
        <f>AH257</f>
        <v>0</v>
      </c>
      <c r="DA257">
        <f>AL257</f>
        <v>1</v>
      </c>
      <c r="DB257">
        <v>0</v>
      </c>
    </row>
    <row r="258" spans="1:106" x14ac:dyDescent="0.2">
      <c r="A258">
        <f>ROW(Source!A177)</f>
        <v>177</v>
      </c>
      <c r="B258">
        <v>39099382</v>
      </c>
      <c r="C258">
        <v>39099809</v>
      </c>
      <c r="D258">
        <v>36882159</v>
      </c>
      <c r="E258">
        <v>1</v>
      </c>
      <c r="F258">
        <v>1</v>
      </c>
      <c r="G258">
        <v>1</v>
      </c>
      <c r="H258">
        <v>2</v>
      </c>
      <c r="I258" t="s">
        <v>765</v>
      </c>
      <c r="J258" t="s">
        <v>766</v>
      </c>
      <c r="K258" t="s">
        <v>767</v>
      </c>
      <c r="L258">
        <v>1368</v>
      </c>
      <c r="N258">
        <v>1011</v>
      </c>
      <c r="O258" t="s">
        <v>647</v>
      </c>
      <c r="P258" t="s">
        <v>647</v>
      </c>
      <c r="Q258">
        <v>1</v>
      </c>
      <c r="W258">
        <v>0</v>
      </c>
      <c r="X258">
        <v>-1718674368</v>
      </c>
      <c r="Y258">
        <v>0.03</v>
      </c>
      <c r="AA258">
        <v>0</v>
      </c>
      <c r="AB258">
        <v>731.29</v>
      </c>
      <c r="AC258">
        <v>13.5</v>
      </c>
      <c r="AD258">
        <v>0</v>
      </c>
      <c r="AE258">
        <v>0</v>
      </c>
      <c r="AF258">
        <v>111.99</v>
      </c>
      <c r="AG258">
        <v>13.5</v>
      </c>
      <c r="AH258">
        <v>0</v>
      </c>
      <c r="AI258">
        <v>1</v>
      </c>
      <c r="AJ258">
        <v>6.53</v>
      </c>
      <c r="AK258">
        <v>1</v>
      </c>
      <c r="AL258">
        <v>1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3</v>
      </c>
      <c r="AT258">
        <v>0.03</v>
      </c>
      <c r="AU258" t="s">
        <v>3</v>
      </c>
      <c r="AV258">
        <v>0</v>
      </c>
      <c r="AW258">
        <v>2</v>
      </c>
      <c r="AX258">
        <v>39099823</v>
      </c>
      <c r="AY258">
        <v>1</v>
      </c>
      <c r="AZ258">
        <v>0</v>
      </c>
      <c r="BA258">
        <v>253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Y258*Source!I177</f>
        <v>0.21179999999999999</v>
      </c>
      <c r="CY258">
        <f>AB258</f>
        <v>731.29</v>
      </c>
      <c r="CZ258">
        <f>AF258</f>
        <v>111.99</v>
      </c>
      <c r="DA258">
        <f>AJ258</f>
        <v>6.53</v>
      </c>
      <c r="DB258">
        <v>0</v>
      </c>
    </row>
    <row r="259" spans="1:106" x14ac:dyDescent="0.2">
      <c r="A259">
        <f>ROW(Source!A177)</f>
        <v>177</v>
      </c>
      <c r="B259">
        <v>39099382</v>
      </c>
      <c r="C259">
        <v>39099809</v>
      </c>
      <c r="D259">
        <v>36883554</v>
      </c>
      <c r="E259">
        <v>1</v>
      </c>
      <c r="F259">
        <v>1</v>
      </c>
      <c r="G259">
        <v>1</v>
      </c>
      <c r="H259">
        <v>2</v>
      </c>
      <c r="I259" t="s">
        <v>665</v>
      </c>
      <c r="J259" t="s">
        <v>666</v>
      </c>
      <c r="K259" t="s">
        <v>667</v>
      </c>
      <c r="L259">
        <v>1368</v>
      </c>
      <c r="N259">
        <v>1011</v>
      </c>
      <c r="O259" t="s">
        <v>647</v>
      </c>
      <c r="P259" t="s">
        <v>647</v>
      </c>
      <c r="Q259">
        <v>1</v>
      </c>
      <c r="W259">
        <v>0</v>
      </c>
      <c r="X259">
        <v>1372534845</v>
      </c>
      <c r="Y259">
        <v>0.03</v>
      </c>
      <c r="AA259">
        <v>0</v>
      </c>
      <c r="AB259">
        <v>429.09</v>
      </c>
      <c r="AC259">
        <v>11.6</v>
      </c>
      <c r="AD259">
        <v>0</v>
      </c>
      <c r="AE259">
        <v>0</v>
      </c>
      <c r="AF259">
        <v>65.709999999999994</v>
      </c>
      <c r="AG259">
        <v>11.6</v>
      </c>
      <c r="AH259">
        <v>0</v>
      </c>
      <c r="AI259">
        <v>1</v>
      </c>
      <c r="AJ259">
        <v>6.53</v>
      </c>
      <c r="AK259">
        <v>1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3</v>
      </c>
      <c r="AT259">
        <v>0.03</v>
      </c>
      <c r="AU259" t="s">
        <v>3</v>
      </c>
      <c r="AV259">
        <v>0</v>
      </c>
      <c r="AW259">
        <v>2</v>
      </c>
      <c r="AX259">
        <v>39099824</v>
      </c>
      <c r="AY259">
        <v>1</v>
      </c>
      <c r="AZ259">
        <v>0</v>
      </c>
      <c r="BA259">
        <v>254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Y259*Source!I177</f>
        <v>0.21179999999999999</v>
      </c>
      <c r="CY259">
        <f>AB259</f>
        <v>429.09</v>
      </c>
      <c r="CZ259">
        <f>AF259</f>
        <v>65.709999999999994</v>
      </c>
      <c r="DA259">
        <f>AJ259</f>
        <v>6.53</v>
      </c>
      <c r="DB259">
        <v>0</v>
      </c>
    </row>
    <row r="260" spans="1:106" x14ac:dyDescent="0.2">
      <c r="A260">
        <f>ROW(Source!A177)</f>
        <v>177</v>
      </c>
      <c r="B260">
        <v>39099382</v>
      </c>
      <c r="C260">
        <v>39099809</v>
      </c>
      <c r="D260">
        <v>36802094</v>
      </c>
      <c r="E260">
        <v>1</v>
      </c>
      <c r="F260">
        <v>1</v>
      </c>
      <c r="G260">
        <v>1</v>
      </c>
      <c r="H260">
        <v>3</v>
      </c>
      <c r="I260" t="s">
        <v>820</v>
      </c>
      <c r="J260" t="s">
        <v>821</v>
      </c>
      <c r="K260" t="s">
        <v>822</v>
      </c>
      <c r="L260">
        <v>1346</v>
      </c>
      <c r="N260">
        <v>1009</v>
      </c>
      <c r="O260" t="s">
        <v>97</v>
      </c>
      <c r="P260" t="s">
        <v>97</v>
      </c>
      <c r="Q260">
        <v>1</v>
      </c>
      <c r="W260">
        <v>0</v>
      </c>
      <c r="X260">
        <v>-1088866022</v>
      </c>
      <c r="Y260">
        <v>0.32</v>
      </c>
      <c r="AA260">
        <v>198.51</v>
      </c>
      <c r="AB260">
        <v>0</v>
      </c>
      <c r="AC260">
        <v>0</v>
      </c>
      <c r="AD260">
        <v>0</v>
      </c>
      <c r="AE260">
        <v>30.4</v>
      </c>
      <c r="AF260">
        <v>0</v>
      </c>
      <c r="AG260">
        <v>0</v>
      </c>
      <c r="AH260">
        <v>0</v>
      </c>
      <c r="AI260">
        <v>6.53</v>
      </c>
      <c r="AJ260">
        <v>1</v>
      </c>
      <c r="AK260">
        <v>1</v>
      </c>
      <c r="AL260">
        <v>1</v>
      </c>
      <c r="AN260">
        <v>0</v>
      </c>
      <c r="AO260">
        <v>1</v>
      </c>
      <c r="AP260">
        <v>0</v>
      </c>
      <c r="AQ260">
        <v>0</v>
      </c>
      <c r="AR260">
        <v>0</v>
      </c>
      <c r="AS260" t="s">
        <v>3</v>
      </c>
      <c r="AT260">
        <v>0.32</v>
      </c>
      <c r="AU260" t="s">
        <v>3</v>
      </c>
      <c r="AV260">
        <v>0</v>
      </c>
      <c r="AW260">
        <v>2</v>
      </c>
      <c r="AX260">
        <v>39099825</v>
      </c>
      <c r="AY260">
        <v>1</v>
      </c>
      <c r="AZ260">
        <v>0</v>
      </c>
      <c r="BA260">
        <v>255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Y260*Source!I177</f>
        <v>2.2591999999999999</v>
      </c>
      <c r="CY260">
        <f t="shared" ref="CY260:CY266" si="15">AA260</f>
        <v>198.51</v>
      </c>
      <c r="CZ260">
        <f t="shared" ref="CZ260:CZ266" si="16">AE260</f>
        <v>30.4</v>
      </c>
      <c r="DA260">
        <f t="shared" ref="DA260:DA266" si="17">AI260</f>
        <v>6.53</v>
      </c>
      <c r="DB260">
        <v>0</v>
      </c>
    </row>
    <row r="261" spans="1:106" x14ac:dyDescent="0.2">
      <c r="A261">
        <f>ROW(Source!A177)</f>
        <v>177</v>
      </c>
      <c r="B261">
        <v>39099382</v>
      </c>
      <c r="C261">
        <v>39099809</v>
      </c>
      <c r="D261">
        <v>36802373</v>
      </c>
      <c r="E261">
        <v>1</v>
      </c>
      <c r="F261">
        <v>1</v>
      </c>
      <c r="G261">
        <v>1</v>
      </c>
      <c r="H261">
        <v>3</v>
      </c>
      <c r="I261" t="s">
        <v>873</v>
      </c>
      <c r="J261" t="s">
        <v>874</v>
      </c>
      <c r="K261" t="s">
        <v>875</v>
      </c>
      <c r="L261">
        <v>1348</v>
      </c>
      <c r="N261">
        <v>1009</v>
      </c>
      <c r="O261" t="s">
        <v>189</v>
      </c>
      <c r="P261" t="s">
        <v>189</v>
      </c>
      <c r="Q261">
        <v>1000</v>
      </c>
      <c r="W261">
        <v>0</v>
      </c>
      <c r="X261">
        <v>1012095217</v>
      </c>
      <c r="Y261">
        <v>1.0499999999999999E-3</v>
      </c>
      <c r="AA261">
        <v>11884.6</v>
      </c>
      <c r="AB261">
        <v>0</v>
      </c>
      <c r="AC261">
        <v>0</v>
      </c>
      <c r="AD261">
        <v>0</v>
      </c>
      <c r="AE261">
        <v>1820</v>
      </c>
      <c r="AF261">
        <v>0</v>
      </c>
      <c r="AG261">
        <v>0</v>
      </c>
      <c r="AH261">
        <v>0</v>
      </c>
      <c r="AI261">
        <v>6.53</v>
      </c>
      <c r="AJ261">
        <v>1</v>
      </c>
      <c r="AK261">
        <v>1</v>
      </c>
      <c r="AL261">
        <v>1</v>
      </c>
      <c r="AN261">
        <v>0</v>
      </c>
      <c r="AO261">
        <v>1</v>
      </c>
      <c r="AP261">
        <v>0</v>
      </c>
      <c r="AQ261">
        <v>0</v>
      </c>
      <c r="AR261">
        <v>0</v>
      </c>
      <c r="AS261" t="s">
        <v>3</v>
      </c>
      <c r="AT261">
        <v>1.0499999999999999E-3</v>
      </c>
      <c r="AU261" t="s">
        <v>3</v>
      </c>
      <c r="AV261">
        <v>0</v>
      </c>
      <c r="AW261">
        <v>2</v>
      </c>
      <c r="AX261">
        <v>39099826</v>
      </c>
      <c r="AY261">
        <v>1</v>
      </c>
      <c r="AZ261">
        <v>0</v>
      </c>
      <c r="BA261">
        <v>256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Y261*Source!I177</f>
        <v>7.4129999999999995E-3</v>
      </c>
      <c r="CY261">
        <f t="shared" si="15"/>
        <v>11884.6</v>
      </c>
      <c r="CZ261">
        <f t="shared" si="16"/>
        <v>1820</v>
      </c>
      <c r="DA261">
        <f t="shared" si="17"/>
        <v>6.53</v>
      </c>
      <c r="DB261">
        <v>0</v>
      </c>
    </row>
    <row r="262" spans="1:106" x14ac:dyDescent="0.2">
      <c r="A262">
        <f>ROW(Source!A177)</f>
        <v>177</v>
      </c>
      <c r="B262">
        <v>39099382</v>
      </c>
      <c r="C262">
        <v>39099809</v>
      </c>
      <c r="D262">
        <v>36838317</v>
      </c>
      <c r="E262">
        <v>1</v>
      </c>
      <c r="F262">
        <v>1</v>
      </c>
      <c r="G262">
        <v>1</v>
      </c>
      <c r="H262">
        <v>3</v>
      </c>
      <c r="I262" t="s">
        <v>838</v>
      </c>
      <c r="J262" t="s">
        <v>839</v>
      </c>
      <c r="K262" t="s">
        <v>840</v>
      </c>
      <c r="L262">
        <v>1346</v>
      </c>
      <c r="N262">
        <v>1009</v>
      </c>
      <c r="O262" t="s">
        <v>97</v>
      </c>
      <c r="P262" t="s">
        <v>97</v>
      </c>
      <c r="Q262">
        <v>1</v>
      </c>
      <c r="W262">
        <v>0</v>
      </c>
      <c r="X262">
        <v>210558753</v>
      </c>
      <c r="Y262">
        <v>0.02</v>
      </c>
      <c r="AA262">
        <v>186.76</v>
      </c>
      <c r="AB262">
        <v>0</v>
      </c>
      <c r="AC262">
        <v>0</v>
      </c>
      <c r="AD262">
        <v>0</v>
      </c>
      <c r="AE262">
        <v>28.6</v>
      </c>
      <c r="AF262">
        <v>0</v>
      </c>
      <c r="AG262">
        <v>0</v>
      </c>
      <c r="AH262">
        <v>0</v>
      </c>
      <c r="AI262">
        <v>6.53</v>
      </c>
      <c r="AJ262">
        <v>1</v>
      </c>
      <c r="AK262">
        <v>1</v>
      </c>
      <c r="AL262">
        <v>1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3</v>
      </c>
      <c r="AT262">
        <v>0.02</v>
      </c>
      <c r="AU262" t="s">
        <v>3</v>
      </c>
      <c r="AV262">
        <v>0</v>
      </c>
      <c r="AW262">
        <v>2</v>
      </c>
      <c r="AX262">
        <v>39099827</v>
      </c>
      <c r="AY262">
        <v>1</v>
      </c>
      <c r="AZ262">
        <v>0</v>
      </c>
      <c r="BA262">
        <v>257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Y262*Source!I177</f>
        <v>0.14119999999999999</v>
      </c>
      <c r="CY262">
        <f t="shared" si="15"/>
        <v>186.76</v>
      </c>
      <c r="CZ262">
        <f t="shared" si="16"/>
        <v>28.6</v>
      </c>
      <c r="DA262">
        <f t="shared" si="17"/>
        <v>6.53</v>
      </c>
      <c r="DB262">
        <v>0</v>
      </c>
    </row>
    <row r="263" spans="1:106" x14ac:dyDescent="0.2">
      <c r="A263">
        <f>ROW(Source!A177)</f>
        <v>177</v>
      </c>
      <c r="B263">
        <v>39099382</v>
      </c>
      <c r="C263">
        <v>39099809</v>
      </c>
      <c r="D263">
        <v>36852011</v>
      </c>
      <c r="E263">
        <v>1</v>
      </c>
      <c r="F263">
        <v>1</v>
      </c>
      <c r="G263">
        <v>1</v>
      </c>
      <c r="H263">
        <v>3</v>
      </c>
      <c r="I263" t="s">
        <v>876</v>
      </c>
      <c r="J263" t="s">
        <v>877</v>
      </c>
      <c r="K263" t="s">
        <v>878</v>
      </c>
      <c r="L263">
        <v>1355</v>
      </c>
      <c r="N263">
        <v>1010</v>
      </c>
      <c r="O263" t="s">
        <v>120</v>
      </c>
      <c r="P263" t="s">
        <v>120</v>
      </c>
      <c r="Q263">
        <v>100</v>
      </c>
      <c r="W263">
        <v>0</v>
      </c>
      <c r="X263">
        <v>-1427219203</v>
      </c>
      <c r="Y263">
        <v>0.05</v>
      </c>
      <c r="AA263">
        <v>933.79</v>
      </c>
      <c r="AB263">
        <v>0</v>
      </c>
      <c r="AC263">
        <v>0</v>
      </c>
      <c r="AD263">
        <v>0</v>
      </c>
      <c r="AE263">
        <v>143</v>
      </c>
      <c r="AF263">
        <v>0</v>
      </c>
      <c r="AG263">
        <v>0</v>
      </c>
      <c r="AH263">
        <v>0</v>
      </c>
      <c r="AI263">
        <v>6.53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3</v>
      </c>
      <c r="AT263">
        <v>0.05</v>
      </c>
      <c r="AU263" t="s">
        <v>3</v>
      </c>
      <c r="AV263">
        <v>0</v>
      </c>
      <c r="AW263">
        <v>2</v>
      </c>
      <c r="AX263">
        <v>39099828</v>
      </c>
      <c r="AY263">
        <v>1</v>
      </c>
      <c r="AZ263">
        <v>0</v>
      </c>
      <c r="BA263">
        <v>258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Y263*Source!I177</f>
        <v>0.35299999999999998</v>
      </c>
      <c r="CY263">
        <f t="shared" si="15"/>
        <v>933.79</v>
      </c>
      <c r="CZ263">
        <f t="shared" si="16"/>
        <v>143</v>
      </c>
      <c r="DA263">
        <f t="shared" si="17"/>
        <v>6.53</v>
      </c>
      <c r="DB263">
        <v>0</v>
      </c>
    </row>
    <row r="264" spans="1:106" x14ac:dyDescent="0.2">
      <c r="A264">
        <f>ROW(Source!A177)</f>
        <v>177</v>
      </c>
      <c r="B264">
        <v>39099382</v>
      </c>
      <c r="C264">
        <v>39099809</v>
      </c>
      <c r="D264">
        <v>36852061</v>
      </c>
      <c r="E264">
        <v>1</v>
      </c>
      <c r="F264">
        <v>1</v>
      </c>
      <c r="G264">
        <v>1</v>
      </c>
      <c r="H264">
        <v>3</v>
      </c>
      <c r="I264" t="s">
        <v>879</v>
      </c>
      <c r="J264" t="s">
        <v>880</v>
      </c>
      <c r="K264" t="s">
        <v>881</v>
      </c>
      <c r="L264">
        <v>1356</v>
      </c>
      <c r="N264">
        <v>1010</v>
      </c>
      <c r="O264" t="s">
        <v>690</v>
      </c>
      <c r="P264" t="s">
        <v>690</v>
      </c>
      <c r="Q264">
        <v>1000</v>
      </c>
      <c r="W264">
        <v>0</v>
      </c>
      <c r="X264">
        <v>2033598199</v>
      </c>
      <c r="Y264">
        <v>1.2200000000000001E-2</v>
      </c>
      <c r="AA264">
        <v>1150.6500000000001</v>
      </c>
      <c r="AB264">
        <v>0</v>
      </c>
      <c r="AC264">
        <v>0</v>
      </c>
      <c r="AD264">
        <v>0</v>
      </c>
      <c r="AE264">
        <v>176.21</v>
      </c>
      <c r="AF264">
        <v>0</v>
      </c>
      <c r="AG264">
        <v>0</v>
      </c>
      <c r="AH264">
        <v>0</v>
      </c>
      <c r="AI264">
        <v>6.53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3</v>
      </c>
      <c r="AT264">
        <v>1.2200000000000001E-2</v>
      </c>
      <c r="AU264" t="s">
        <v>3</v>
      </c>
      <c r="AV264">
        <v>0</v>
      </c>
      <c r="AW264">
        <v>2</v>
      </c>
      <c r="AX264">
        <v>39099829</v>
      </c>
      <c r="AY264">
        <v>1</v>
      </c>
      <c r="AZ264">
        <v>0</v>
      </c>
      <c r="BA264">
        <v>259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Y264*Source!I177</f>
        <v>8.6132E-2</v>
      </c>
      <c r="CY264">
        <f t="shared" si="15"/>
        <v>1150.6500000000001</v>
      </c>
      <c r="CZ264">
        <f t="shared" si="16"/>
        <v>176.21</v>
      </c>
      <c r="DA264">
        <f t="shared" si="17"/>
        <v>6.53</v>
      </c>
      <c r="DB264">
        <v>0</v>
      </c>
    </row>
    <row r="265" spans="1:106" x14ac:dyDescent="0.2">
      <c r="A265">
        <f>ROW(Source!A177)</f>
        <v>177</v>
      </c>
      <c r="B265">
        <v>39099382</v>
      </c>
      <c r="C265">
        <v>39099809</v>
      </c>
      <c r="D265">
        <v>36857511</v>
      </c>
      <c r="E265">
        <v>1</v>
      </c>
      <c r="F265">
        <v>1</v>
      </c>
      <c r="G265">
        <v>1</v>
      </c>
      <c r="H265">
        <v>3</v>
      </c>
      <c r="I265" t="s">
        <v>440</v>
      </c>
      <c r="J265" t="s">
        <v>443</v>
      </c>
      <c r="K265" t="s">
        <v>441</v>
      </c>
      <c r="L265">
        <v>1477</v>
      </c>
      <c r="N265">
        <v>1013</v>
      </c>
      <c r="O265" t="s">
        <v>442</v>
      </c>
      <c r="P265" t="s">
        <v>444</v>
      </c>
      <c r="Q265">
        <v>1</v>
      </c>
      <c r="W265">
        <v>0</v>
      </c>
      <c r="X265">
        <v>559331636</v>
      </c>
      <c r="Y265">
        <v>0.1</v>
      </c>
      <c r="AA265">
        <v>45190.28</v>
      </c>
      <c r="AB265">
        <v>0</v>
      </c>
      <c r="AC265">
        <v>0</v>
      </c>
      <c r="AD265">
        <v>0</v>
      </c>
      <c r="AE265">
        <v>6920.41</v>
      </c>
      <c r="AF265">
        <v>0</v>
      </c>
      <c r="AG265">
        <v>0</v>
      </c>
      <c r="AH265">
        <v>0</v>
      </c>
      <c r="AI265">
        <v>6.53</v>
      </c>
      <c r="AJ265">
        <v>1</v>
      </c>
      <c r="AK265">
        <v>1</v>
      </c>
      <c r="AL265">
        <v>1</v>
      </c>
      <c r="AN265">
        <v>0</v>
      </c>
      <c r="AO265">
        <v>0</v>
      </c>
      <c r="AP265">
        <v>0</v>
      </c>
      <c r="AQ265">
        <v>0</v>
      </c>
      <c r="AR265">
        <v>0</v>
      </c>
      <c r="AS265" t="s">
        <v>3</v>
      </c>
      <c r="AT265">
        <v>0.1</v>
      </c>
      <c r="AU265" t="s">
        <v>3</v>
      </c>
      <c r="AV265">
        <v>0</v>
      </c>
      <c r="AW265">
        <v>1</v>
      </c>
      <c r="AX265">
        <v>-1</v>
      </c>
      <c r="AY265">
        <v>0</v>
      </c>
      <c r="AZ265">
        <v>0</v>
      </c>
      <c r="BA265" t="s">
        <v>3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Y265*Source!I177</f>
        <v>0.70599999999999996</v>
      </c>
      <c r="CY265">
        <f t="shared" si="15"/>
        <v>45190.28</v>
      </c>
      <c r="CZ265">
        <f t="shared" si="16"/>
        <v>6920.41</v>
      </c>
      <c r="DA265">
        <f t="shared" si="17"/>
        <v>6.53</v>
      </c>
      <c r="DB265">
        <v>0</v>
      </c>
    </row>
    <row r="266" spans="1:106" x14ac:dyDescent="0.2">
      <c r="A266">
        <f>ROW(Source!A177)</f>
        <v>177</v>
      </c>
      <c r="B266">
        <v>39099382</v>
      </c>
      <c r="C266">
        <v>39099809</v>
      </c>
      <c r="D266">
        <v>36799065</v>
      </c>
      <c r="E266">
        <v>17</v>
      </c>
      <c r="F266">
        <v>1</v>
      </c>
      <c r="G266">
        <v>1</v>
      </c>
      <c r="H266">
        <v>3</v>
      </c>
      <c r="I266" t="s">
        <v>801</v>
      </c>
      <c r="J266" t="s">
        <v>3</v>
      </c>
      <c r="K266" t="s">
        <v>802</v>
      </c>
      <c r="L266">
        <v>1374</v>
      </c>
      <c r="N266">
        <v>1013</v>
      </c>
      <c r="O266" t="s">
        <v>803</v>
      </c>
      <c r="P266" t="s">
        <v>803</v>
      </c>
      <c r="Q266">
        <v>1</v>
      </c>
      <c r="W266">
        <v>0</v>
      </c>
      <c r="X266">
        <v>-1731369543</v>
      </c>
      <c r="Y266">
        <v>1.18</v>
      </c>
      <c r="AA266">
        <v>1</v>
      </c>
      <c r="AB266">
        <v>0</v>
      </c>
      <c r="AC266">
        <v>0</v>
      </c>
      <c r="AD266">
        <v>0</v>
      </c>
      <c r="AE266">
        <v>1</v>
      </c>
      <c r="AF266">
        <v>0</v>
      </c>
      <c r="AG266">
        <v>0</v>
      </c>
      <c r="AH266">
        <v>0</v>
      </c>
      <c r="AI266">
        <v>1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0</v>
      </c>
      <c r="AQ266">
        <v>0</v>
      </c>
      <c r="AR266">
        <v>0</v>
      </c>
      <c r="AS266" t="s">
        <v>3</v>
      </c>
      <c r="AT266">
        <v>1.18</v>
      </c>
      <c r="AU266" t="s">
        <v>3</v>
      </c>
      <c r="AV266">
        <v>0</v>
      </c>
      <c r="AW266">
        <v>2</v>
      </c>
      <c r="AX266">
        <v>39099830</v>
      </c>
      <c r="AY266">
        <v>1</v>
      </c>
      <c r="AZ266">
        <v>0</v>
      </c>
      <c r="BA266">
        <v>260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Y266*Source!I177</f>
        <v>8.3308</v>
      </c>
      <c r="CY266">
        <f t="shared" si="15"/>
        <v>1</v>
      </c>
      <c r="CZ266">
        <f t="shared" si="16"/>
        <v>1</v>
      </c>
      <c r="DA266">
        <f t="shared" si="17"/>
        <v>1</v>
      </c>
      <c r="DB266">
        <v>0</v>
      </c>
    </row>
    <row r="267" spans="1:106" x14ac:dyDescent="0.2">
      <c r="A267">
        <f>ROW(Source!A179)</f>
        <v>179</v>
      </c>
      <c r="B267">
        <v>39099382</v>
      </c>
      <c r="C267">
        <v>39491408</v>
      </c>
      <c r="D267">
        <v>37080781</v>
      </c>
      <c r="E267">
        <v>1</v>
      </c>
      <c r="F267">
        <v>1</v>
      </c>
      <c r="G267">
        <v>1</v>
      </c>
      <c r="H267">
        <v>1</v>
      </c>
      <c r="I267" t="s">
        <v>804</v>
      </c>
      <c r="J267" t="s">
        <v>3</v>
      </c>
      <c r="K267" t="s">
        <v>805</v>
      </c>
      <c r="L267">
        <v>1191</v>
      </c>
      <c r="N267">
        <v>1013</v>
      </c>
      <c r="O267" t="s">
        <v>641</v>
      </c>
      <c r="P267" t="s">
        <v>641</v>
      </c>
      <c r="Q267">
        <v>1</v>
      </c>
      <c r="W267">
        <v>0</v>
      </c>
      <c r="X267">
        <v>912892513</v>
      </c>
      <c r="Y267">
        <v>35.130000000000003</v>
      </c>
      <c r="AA267">
        <v>0</v>
      </c>
      <c r="AB267">
        <v>0</v>
      </c>
      <c r="AC267">
        <v>0</v>
      </c>
      <c r="AD267">
        <v>64.78</v>
      </c>
      <c r="AE267">
        <v>0</v>
      </c>
      <c r="AF267">
        <v>0</v>
      </c>
      <c r="AG267">
        <v>0</v>
      </c>
      <c r="AH267">
        <v>9.92</v>
      </c>
      <c r="AI267">
        <v>1</v>
      </c>
      <c r="AJ267">
        <v>1</v>
      </c>
      <c r="AK267">
        <v>1</v>
      </c>
      <c r="AL267">
        <v>6.53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3</v>
      </c>
      <c r="AT267">
        <v>35.130000000000003</v>
      </c>
      <c r="AU267" t="s">
        <v>3</v>
      </c>
      <c r="AV267">
        <v>1</v>
      </c>
      <c r="AW267">
        <v>2</v>
      </c>
      <c r="AX267">
        <v>39491418</v>
      </c>
      <c r="AY267">
        <v>1</v>
      </c>
      <c r="AZ267">
        <v>0</v>
      </c>
      <c r="BA267">
        <v>261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Y267*Source!I179</f>
        <v>2.4591000000000003</v>
      </c>
      <c r="CY267">
        <f>AD267</f>
        <v>64.78</v>
      </c>
      <c r="CZ267">
        <f>AH267</f>
        <v>9.92</v>
      </c>
      <c r="DA267">
        <f>AL267</f>
        <v>6.53</v>
      </c>
      <c r="DB267">
        <v>0</v>
      </c>
    </row>
    <row r="268" spans="1:106" x14ac:dyDescent="0.2">
      <c r="A268">
        <f>ROW(Source!A179)</f>
        <v>179</v>
      </c>
      <c r="B268">
        <v>39099382</v>
      </c>
      <c r="C268">
        <v>39491408</v>
      </c>
      <c r="D268">
        <v>37064876</v>
      </c>
      <c r="E268">
        <v>1</v>
      </c>
      <c r="F268">
        <v>1</v>
      </c>
      <c r="G268">
        <v>1</v>
      </c>
      <c r="H268">
        <v>1</v>
      </c>
      <c r="I268" t="s">
        <v>642</v>
      </c>
      <c r="J268" t="s">
        <v>3</v>
      </c>
      <c r="K268" t="s">
        <v>643</v>
      </c>
      <c r="L268">
        <v>1191</v>
      </c>
      <c r="N268">
        <v>1013</v>
      </c>
      <c r="O268" t="s">
        <v>641</v>
      </c>
      <c r="P268" t="s">
        <v>641</v>
      </c>
      <c r="Q268">
        <v>1</v>
      </c>
      <c r="W268">
        <v>0</v>
      </c>
      <c r="X268">
        <v>-1417349443</v>
      </c>
      <c r="Y268">
        <v>0.05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1</v>
      </c>
      <c r="AJ268">
        <v>1</v>
      </c>
      <c r="AK268">
        <v>6.53</v>
      </c>
      <c r="AL268">
        <v>1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3</v>
      </c>
      <c r="AT268">
        <v>0.05</v>
      </c>
      <c r="AU268" t="s">
        <v>3</v>
      </c>
      <c r="AV268">
        <v>2</v>
      </c>
      <c r="AW268">
        <v>2</v>
      </c>
      <c r="AX268">
        <v>39491419</v>
      </c>
      <c r="AY268">
        <v>1</v>
      </c>
      <c r="AZ268">
        <v>0</v>
      </c>
      <c r="BA268">
        <v>262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Y268*Source!I179</f>
        <v>3.5000000000000005E-3</v>
      </c>
      <c r="CY268">
        <f>AD268</f>
        <v>0</v>
      </c>
      <c r="CZ268">
        <f>AH268</f>
        <v>0</v>
      </c>
      <c r="DA268">
        <f>AL268</f>
        <v>1</v>
      </c>
      <c r="DB268">
        <v>0</v>
      </c>
    </row>
    <row r="269" spans="1:106" x14ac:dyDescent="0.2">
      <c r="A269">
        <f>ROW(Source!A179)</f>
        <v>179</v>
      </c>
      <c r="B269">
        <v>39099382</v>
      </c>
      <c r="C269">
        <v>39491408</v>
      </c>
      <c r="D269">
        <v>36882159</v>
      </c>
      <c r="E269">
        <v>1</v>
      </c>
      <c r="F269">
        <v>1</v>
      </c>
      <c r="G269">
        <v>1</v>
      </c>
      <c r="H269">
        <v>2</v>
      </c>
      <c r="I269" t="s">
        <v>765</v>
      </c>
      <c r="J269" t="s">
        <v>766</v>
      </c>
      <c r="K269" t="s">
        <v>767</v>
      </c>
      <c r="L269">
        <v>1368</v>
      </c>
      <c r="N269">
        <v>1011</v>
      </c>
      <c r="O269" t="s">
        <v>647</v>
      </c>
      <c r="P269" t="s">
        <v>647</v>
      </c>
      <c r="Q269">
        <v>1</v>
      </c>
      <c r="W269">
        <v>0</v>
      </c>
      <c r="X269">
        <v>-1718674368</v>
      </c>
      <c r="Y269">
        <v>0.03</v>
      </c>
      <c r="AA269">
        <v>0</v>
      </c>
      <c r="AB269">
        <v>731.29</v>
      </c>
      <c r="AC269">
        <v>13.5</v>
      </c>
      <c r="AD269">
        <v>0</v>
      </c>
      <c r="AE269">
        <v>0</v>
      </c>
      <c r="AF269">
        <v>111.99</v>
      </c>
      <c r="AG269">
        <v>13.5</v>
      </c>
      <c r="AH269">
        <v>0</v>
      </c>
      <c r="AI269">
        <v>1</v>
      </c>
      <c r="AJ269">
        <v>6.53</v>
      </c>
      <c r="AK269">
        <v>1</v>
      </c>
      <c r="AL269">
        <v>1</v>
      </c>
      <c r="AN269">
        <v>0</v>
      </c>
      <c r="AO269">
        <v>1</v>
      </c>
      <c r="AP269">
        <v>0</v>
      </c>
      <c r="AQ269">
        <v>0</v>
      </c>
      <c r="AR269">
        <v>0</v>
      </c>
      <c r="AS269" t="s">
        <v>3</v>
      </c>
      <c r="AT269">
        <v>0.03</v>
      </c>
      <c r="AU269" t="s">
        <v>3</v>
      </c>
      <c r="AV269">
        <v>0</v>
      </c>
      <c r="AW269">
        <v>2</v>
      </c>
      <c r="AX269">
        <v>39491420</v>
      </c>
      <c r="AY269">
        <v>1</v>
      </c>
      <c r="AZ269">
        <v>0</v>
      </c>
      <c r="BA269">
        <v>263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Y269*Source!I179</f>
        <v>2.1000000000000003E-3</v>
      </c>
      <c r="CY269">
        <f>AB269</f>
        <v>731.29</v>
      </c>
      <c r="CZ269">
        <f>AF269</f>
        <v>111.99</v>
      </c>
      <c r="DA269">
        <f>AJ269</f>
        <v>6.53</v>
      </c>
      <c r="DB269">
        <v>0</v>
      </c>
    </row>
    <row r="270" spans="1:106" x14ac:dyDescent="0.2">
      <c r="A270">
        <f>ROW(Source!A179)</f>
        <v>179</v>
      </c>
      <c r="B270">
        <v>39099382</v>
      </c>
      <c r="C270">
        <v>39491408</v>
      </c>
      <c r="D270">
        <v>36883554</v>
      </c>
      <c r="E270">
        <v>1</v>
      </c>
      <c r="F270">
        <v>1</v>
      </c>
      <c r="G270">
        <v>1</v>
      </c>
      <c r="H270">
        <v>2</v>
      </c>
      <c r="I270" t="s">
        <v>665</v>
      </c>
      <c r="J270" t="s">
        <v>666</v>
      </c>
      <c r="K270" t="s">
        <v>667</v>
      </c>
      <c r="L270">
        <v>1368</v>
      </c>
      <c r="N270">
        <v>1011</v>
      </c>
      <c r="O270" t="s">
        <v>647</v>
      </c>
      <c r="P270" t="s">
        <v>647</v>
      </c>
      <c r="Q270">
        <v>1</v>
      </c>
      <c r="W270">
        <v>0</v>
      </c>
      <c r="X270">
        <v>1372534845</v>
      </c>
      <c r="Y270">
        <v>0.02</v>
      </c>
      <c r="AA270">
        <v>0</v>
      </c>
      <c r="AB270">
        <v>429.09</v>
      </c>
      <c r="AC270">
        <v>11.6</v>
      </c>
      <c r="AD270">
        <v>0</v>
      </c>
      <c r="AE270">
        <v>0</v>
      </c>
      <c r="AF270">
        <v>65.709999999999994</v>
      </c>
      <c r="AG270">
        <v>11.6</v>
      </c>
      <c r="AH270">
        <v>0</v>
      </c>
      <c r="AI270">
        <v>1</v>
      </c>
      <c r="AJ270">
        <v>6.53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3</v>
      </c>
      <c r="AT270">
        <v>0.02</v>
      </c>
      <c r="AU270" t="s">
        <v>3</v>
      </c>
      <c r="AV270">
        <v>0</v>
      </c>
      <c r="AW270">
        <v>2</v>
      </c>
      <c r="AX270">
        <v>39491421</v>
      </c>
      <c r="AY270">
        <v>1</v>
      </c>
      <c r="AZ270">
        <v>0</v>
      </c>
      <c r="BA270">
        <v>264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Y270*Source!I179</f>
        <v>1.4000000000000002E-3</v>
      </c>
      <c r="CY270">
        <f>AB270</f>
        <v>429.09</v>
      </c>
      <c r="CZ270">
        <f>AF270</f>
        <v>65.709999999999994</v>
      </c>
      <c r="DA270">
        <f>AJ270</f>
        <v>6.53</v>
      </c>
      <c r="DB270">
        <v>0</v>
      </c>
    </row>
    <row r="271" spans="1:106" x14ac:dyDescent="0.2">
      <c r="A271">
        <f>ROW(Source!A179)</f>
        <v>179</v>
      </c>
      <c r="B271">
        <v>39099382</v>
      </c>
      <c r="C271">
        <v>39491408</v>
      </c>
      <c r="D271">
        <v>36804580</v>
      </c>
      <c r="E271">
        <v>1</v>
      </c>
      <c r="F271">
        <v>1</v>
      </c>
      <c r="G271">
        <v>1</v>
      </c>
      <c r="H271">
        <v>3</v>
      </c>
      <c r="I271" t="s">
        <v>829</v>
      </c>
      <c r="J271" t="s">
        <v>830</v>
      </c>
      <c r="K271" t="s">
        <v>831</v>
      </c>
      <c r="L271">
        <v>1355</v>
      </c>
      <c r="N271">
        <v>1010</v>
      </c>
      <c r="O271" t="s">
        <v>120</v>
      </c>
      <c r="P271" t="s">
        <v>120</v>
      </c>
      <c r="Q271">
        <v>100</v>
      </c>
      <c r="W271">
        <v>0</v>
      </c>
      <c r="X271">
        <v>1794244060</v>
      </c>
      <c r="Y271">
        <v>1.02</v>
      </c>
      <c r="AA271">
        <v>561.58000000000004</v>
      </c>
      <c r="AB271">
        <v>0</v>
      </c>
      <c r="AC271">
        <v>0</v>
      </c>
      <c r="AD271">
        <v>0</v>
      </c>
      <c r="AE271">
        <v>86</v>
      </c>
      <c r="AF271">
        <v>0</v>
      </c>
      <c r="AG271">
        <v>0</v>
      </c>
      <c r="AH271">
        <v>0</v>
      </c>
      <c r="AI271">
        <v>6.53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3</v>
      </c>
      <c r="AT271">
        <v>1.02</v>
      </c>
      <c r="AU271" t="s">
        <v>3</v>
      </c>
      <c r="AV271">
        <v>0</v>
      </c>
      <c r="AW271">
        <v>2</v>
      </c>
      <c r="AX271">
        <v>39491422</v>
      </c>
      <c r="AY271">
        <v>1</v>
      </c>
      <c r="AZ271">
        <v>0</v>
      </c>
      <c r="BA271">
        <v>265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Y271*Source!I179</f>
        <v>7.1400000000000005E-2</v>
      </c>
      <c r="CY271">
        <f>AA271</f>
        <v>561.58000000000004</v>
      </c>
      <c r="CZ271">
        <f>AE271</f>
        <v>86</v>
      </c>
      <c r="DA271">
        <f>AI271</f>
        <v>6.53</v>
      </c>
      <c r="DB271">
        <v>0</v>
      </c>
    </row>
    <row r="272" spans="1:106" x14ac:dyDescent="0.2">
      <c r="A272">
        <f>ROW(Source!A179)</f>
        <v>179</v>
      </c>
      <c r="B272">
        <v>39099382</v>
      </c>
      <c r="C272">
        <v>39491408</v>
      </c>
      <c r="D272">
        <v>36804940</v>
      </c>
      <c r="E272">
        <v>1</v>
      </c>
      <c r="F272">
        <v>1</v>
      </c>
      <c r="G272">
        <v>1</v>
      </c>
      <c r="H272">
        <v>3</v>
      </c>
      <c r="I272" t="s">
        <v>882</v>
      </c>
      <c r="J272" t="s">
        <v>883</v>
      </c>
      <c r="K272" t="s">
        <v>884</v>
      </c>
      <c r="L272">
        <v>1348</v>
      </c>
      <c r="N272">
        <v>1009</v>
      </c>
      <c r="O272" t="s">
        <v>189</v>
      </c>
      <c r="P272" t="s">
        <v>189</v>
      </c>
      <c r="Q272">
        <v>1000</v>
      </c>
      <c r="W272">
        <v>0</v>
      </c>
      <c r="X272">
        <v>797358079</v>
      </c>
      <c r="Y272">
        <v>1.6000000000000001E-4</v>
      </c>
      <c r="AA272">
        <v>194594</v>
      </c>
      <c r="AB272">
        <v>0</v>
      </c>
      <c r="AC272">
        <v>0</v>
      </c>
      <c r="AD272">
        <v>0</v>
      </c>
      <c r="AE272">
        <v>29800</v>
      </c>
      <c r="AF272">
        <v>0</v>
      </c>
      <c r="AG272">
        <v>0</v>
      </c>
      <c r="AH272">
        <v>0</v>
      </c>
      <c r="AI272">
        <v>6.53</v>
      </c>
      <c r="AJ272">
        <v>1</v>
      </c>
      <c r="AK272">
        <v>1</v>
      </c>
      <c r="AL272">
        <v>1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3</v>
      </c>
      <c r="AT272">
        <v>1.6000000000000001E-4</v>
      </c>
      <c r="AU272" t="s">
        <v>3</v>
      </c>
      <c r="AV272">
        <v>0</v>
      </c>
      <c r="AW272">
        <v>2</v>
      </c>
      <c r="AX272">
        <v>39491423</v>
      </c>
      <c r="AY272">
        <v>1</v>
      </c>
      <c r="AZ272">
        <v>0</v>
      </c>
      <c r="BA272">
        <v>266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Y272*Source!I179</f>
        <v>1.1200000000000001E-5</v>
      </c>
      <c r="CY272">
        <f>AA272</f>
        <v>194594</v>
      </c>
      <c r="CZ272">
        <f>AE272</f>
        <v>29800</v>
      </c>
      <c r="DA272">
        <f>AI272</f>
        <v>6.53</v>
      </c>
      <c r="DB272">
        <v>0</v>
      </c>
    </row>
    <row r="273" spans="1:106" x14ac:dyDescent="0.2">
      <c r="A273">
        <f>ROW(Source!A179)</f>
        <v>179</v>
      </c>
      <c r="B273">
        <v>39099382</v>
      </c>
      <c r="C273">
        <v>39491408</v>
      </c>
      <c r="D273">
        <v>36804944</v>
      </c>
      <c r="E273">
        <v>1</v>
      </c>
      <c r="F273">
        <v>1</v>
      </c>
      <c r="G273">
        <v>1</v>
      </c>
      <c r="H273">
        <v>3</v>
      </c>
      <c r="I273" t="s">
        <v>798</v>
      </c>
      <c r="J273" t="s">
        <v>799</v>
      </c>
      <c r="K273" t="s">
        <v>800</v>
      </c>
      <c r="L273">
        <v>1348</v>
      </c>
      <c r="N273">
        <v>1009</v>
      </c>
      <c r="O273" t="s">
        <v>189</v>
      </c>
      <c r="P273" t="s">
        <v>189</v>
      </c>
      <c r="Q273">
        <v>1000</v>
      </c>
      <c r="W273">
        <v>0</v>
      </c>
      <c r="X273">
        <v>-1755229539</v>
      </c>
      <c r="Y273">
        <v>2.9999999999999997E-4</v>
      </c>
      <c r="AA273">
        <v>81167.899999999994</v>
      </c>
      <c r="AB273">
        <v>0</v>
      </c>
      <c r="AC273">
        <v>0</v>
      </c>
      <c r="AD273">
        <v>0</v>
      </c>
      <c r="AE273">
        <v>12430</v>
      </c>
      <c r="AF273">
        <v>0</v>
      </c>
      <c r="AG273">
        <v>0</v>
      </c>
      <c r="AH273">
        <v>0</v>
      </c>
      <c r="AI273">
        <v>6.53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0</v>
      </c>
      <c r="AQ273">
        <v>0</v>
      </c>
      <c r="AR273">
        <v>0</v>
      </c>
      <c r="AS273" t="s">
        <v>3</v>
      </c>
      <c r="AT273">
        <v>2.9999999999999997E-4</v>
      </c>
      <c r="AU273" t="s">
        <v>3</v>
      </c>
      <c r="AV273">
        <v>0</v>
      </c>
      <c r="AW273">
        <v>2</v>
      </c>
      <c r="AX273">
        <v>39491424</v>
      </c>
      <c r="AY273">
        <v>1</v>
      </c>
      <c r="AZ273">
        <v>0</v>
      </c>
      <c r="BA273">
        <v>267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Y273*Source!I179</f>
        <v>2.0999999999999999E-5</v>
      </c>
      <c r="CY273">
        <f>AA273</f>
        <v>81167.899999999994</v>
      </c>
      <c r="CZ273">
        <f>AE273</f>
        <v>12430</v>
      </c>
      <c r="DA273">
        <f>AI273</f>
        <v>6.53</v>
      </c>
      <c r="DB273">
        <v>0</v>
      </c>
    </row>
    <row r="274" spans="1:106" x14ac:dyDescent="0.2">
      <c r="A274">
        <f>ROW(Source!A179)</f>
        <v>179</v>
      </c>
      <c r="B274">
        <v>39099382</v>
      </c>
      <c r="C274">
        <v>39491408</v>
      </c>
      <c r="D274">
        <v>36855048</v>
      </c>
      <c r="E274">
        <v>1</v>
      </c>
      <c r="F274">
        <v>1</v>
      </c>
      <c r="G274">
        <v>1</v>
      </c>
      <c r="H274">
        <v>3</v>
      </c>
      <c r="I274" t="s">
        <v>455</v>
      </c>
      <c r="J274" t="s">
        <v>457</v>
      </c>
      <c r="K274" t="s">
        <v>456</v>
      </c>
      <c r="L274">
        <v>1358</v>
      </c>
      <c r="N274">
        <v>1010</v>
      </c>
      <c r="O274" t="s">
        <v>417</v>
      </c>
      <c r="P274" t="s">
        <v>417</v>
      </c>
      <c r="Q274">
        <v>10</v>
      </c>
      <c r="W274">
        <v>0</v>
      </c>
      <c r="X274">
        <v>-265205787</v>
      </c>
      <c r="Y274">
        <v>10</v>
      </c>
      <c r="AA274">
        <v>558.97</v>
      </c>
      <c r="AB274">
        <v>0</v>
      </c>
      <c r="AC274">
        <v>0</v>
      </c>
      <c r="AD274">
        <v>0</v>
      </c>
      <c r="AE274">
        <v>85.6</v>
      </c>
      <c r="AF274">
        <v>0</v>
      </c>
      <c r="AG274">
        <v>0</v>
      </c>
      <c r="AH274">
        <v>0</v>
      </c>
      <c r="AI274">
        <v>6.53</v>
      </c>
      <c r="AJ274">
        <v>1</v>
      </c>
      <c r="AK274">
        <v>1</v>
      </c>
      <c r="AL274">
        <v>1</v>
      </c>
      <c r="AN274">
        <v>0</v>
      </c>
      <c r="AO274">
        <v>0</v>
      </c>
      <c r="AP274">
        <v>0</v>
      </c>
      <c r="AQ274">
        <v>0</v>
      </c>
      <c r="AR274">
        <v>0</v>
      </c>
      <c r="AS274" t="s">
        <v>3</v>
      </c>
      <c r="AT274">
        <v>10</v>
      </c>
      <c r="AU274" t="s">
        <v>3</v>
      </c>
      <c r="AV274">
        <v>0</v>
      </c>
      <c r="AW274">
        <v>1</v>
      </c>
      <c r="AX274">
        <v>-1</v>
      </c>
      <c r="AY274">
        <v>0</v>
      </c>
      <c r="AZ274">
        <v>0</v>
      </c>
      <c r="BA274" t="s">
        <v>3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Y274*Source!I179</f>
        <v>0.70000000000000007</v>
      </c>
      <c r="CY274">
        <f>AA274</f>
        <v>558.97</v>
      </c>
      <c r="CZ274">
        <f>AE274</f>
        <v>85.6</v>
      </c>
      <c r="DA274">
        <f>AI274</f>
        <v>6.53</v>
      </c>
      <c r="DB274">
        <v>0</v>
      </c>
    </row>
    <row r="275" spans="1:106" x14ac:dyDescent="0.2">
      <c r="A275">
        <f>ROW(Source!A179)</f>
        <v>179</v>
      </c>
      <c r="B275">
        <v>39099382</v>
      </c>
      <c r="C275">
        <v>39491408</v>
      </c>
      <c r="D275">
        <v>36799065</v>
      </c>
      <c r="E275">
        <v>17</v>
      </c>
      <c r="F275">
        <v>1</v>
      </c>
      <c r="G275">
        <v>1</v>
      </c>
      <c r="H275">
        <v>3</v>
      </c>
      <c r="I275" t="s">
        <v>801</v>
      </c>
      <c r="J275" t="s">
        <v>3</v>
      </c>
      <c r="K275" t="s">
        <v>802</v>
      </c>
      <c r="L275">
        <v>1374</v>
      </c>
      <c r="N275">
        <v>1013</v>
      </c>
      <c r="O275" t="s">
        <v>803</v>
      </c>
      <c r="P275" t="s">
        <v>803</v>
      </c>
      <c r="Q275">
        <v>1</v>
      </c>
      <c r="W275">
        <v>0</v>
      </c>
      <c r="X275">
        <v>-1731369543</v>
      </c>
      <c r="Y275">
        <v>6.97</v>
      </c>
      <c r="AA275">
        <v>1</v>
      </c>
      <c r="AB275">
        <v>0</v>
      </c>
      <c r="AC275">
        <v>0</v>
      </c>
      <c r="AD275">
        <v>0</v>
      </c>
      <c r="AE275">
        <v>1</v>
      </c>
      <c r="AF275">
        <v>0</v>
      </c>
      <c r="AG275">
        <v>0</v>
      </c>
      <c r="AH275">
        <v>0</v>
      </c>
      <c r="AI275">
        <v>1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0</v>
      </c>
      <c r="AQ275">
        <v>0</v>
      </c>
      <c r="AR275">
        <v>0</v>
      </c>
      <c r="AS275" t="s">
        <v>3</v>
      </c>
      <c r="AT275">
        <v>6.97</v>
      </c>
      <c r="AU275" t="s">
        <v>3</v>
      </c>
      <c r="AV275">
        <v>0</v>
      </c>
      <c r="AW275">
        <v>2</v>
      </c>
      <c r="AX275">
        <v>39491425</v>
      </c>
      <c r="AY275">
        <v>1</v>
      </c>
      <c r="AZ275">
        <v>0</v>
      </c>
      <c r="BA275">
        <v>268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Y275*Source!I179</f>
        <v>0.48790000000000006</v>
      </c>
      <c r="CY275">
        <f>AA275</f>
        <v>1</v>
      </c>
      <c r="CZ275">
        <f>AE275</f>
        <v>1</v>
      </c>
      <c r="DA275">
        <f>AI275</f>
        <v>1</v>
      </c>
      <c r="DB275">
        <v>0</v>
      </c>
    </row>
    <row r="276" spans="1:106" x14ac:dyDescent="0.2">
      <c r="A276">
        <f>ROW(Source!A181)</f>
        <v>181</v>
      </c>
      <c r="B276">
        <v>39099382</v>
      </c>
      <c r="C276">
        <v>39491427</v>
      </c>
      <c r="D276">
        <v>37080781</v>
      </c>
      <c r="E276">
        <v>1</v>
      </c>
      <c r="F276">
        <v>1</v>
      </c>
      <c r="G276">
        <v>1</v>
      </c>
      <c r="H276">
        <v>1</v>
      </c>
      <c r="I276" t="s">
        <v>804</v>
      </c>
      <c r="J276" t="s">
        <v>3</v>
      </c>
      <c r="K276" t="s">
        <v>805</v>
      </c>
      <c r="L276">
        <v>1191</v>
      </c>
      <c r="N276">
        <v>1013</v>
      </c>
      <c r="O276" t="s">
        <v>641</v>
      </c>
      <c r="P276" t="s">
        <v>641</v>
      </c>
      <c r="Q276">
        <v>1</v>
      </c>
      <c r="W276">
        <v>0</v>
      </c>
      <c r="X276">
        <v>912892513</v>
      </c>
      <c r="Y276">
        <v>34.56</v>
      </c>
      <c r="AA276">
        <v>0</v>
      </c>
      <c r="AB276">
        <v>0</v>
      </c>
      <c r="AC276">
        <v>0</v>
      </c>
      <c r="AD276">
        <v>64.78</v>
      </c>
      <c r="AE276">
        <v>0</v>
      </c>
      <c r="AF276">
        <v>0</v>
      </c>
      <c r="AG276">
        <v>0</v>
      </c>
      <c r="AH276">
        <v>9.92</v>
      </c>
      <c r="AI276">
        <v>1</v>
      </c>
      <c r="AJ276">
        <v>1</v>
      </c>
      <c r="AK276">
        <v>1</v>
      </c>
      <c r="AL276">
        <v>6.53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3</v>
      </c>
      <c r="AT276">
        <v>34.56</v>
      </c>
      <c r="AU276" t="s">
        <v>3</v>
      </c>
      <c r="AV276">
        <v>1</v>
      </c>
      <c r="AW276">
        <v>2</v>
      </c>
      <c r="AX276">
        <v>39491439</v>
      </c>
      <c r="AY276">
        <v>1</v>
      </c>
      <c r="AZ276">
        <v>0</v>
      </c>
      <c r="BA276">
        <v>269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Y276*Source!I181</f>
        <v>13.478400000000001</v>
      </c>
      <c r="CY276">
        <f>AD276</f>
        <v>64.78</v>
      </c>
      <c r="CZ276">
        <f>AH276</f>
        <v>9.92</v>
      </c>
      <c r="DA276">
        <f>AL276</f>
        <v>6.53</v>
      </c>
      <c r="DB276">
        <v>0</v>
      </c>
    </row>
    <row r="277" spans="1:106" x14ac:dyDescent="0.2">
      <c r="A277">
        <f>ROW(Source!A181)</f>
        <v>181</v>
      </c>
      <c r="B277">
        <v>39099382</v>
      </c>
      <c r="C277">
        <v>39491427</v>
      </c>
      <c r="D277">
        <v>37064876</v>
      </c>
      <c r="E277">
        <v>1</v>
      </c>
      <c r="F277">
        <v>1</v>
      </c>
      <c r="G277">
        <v>1</v>
      </c>
      <c r="H277">
        <v>1</v>
      </c>
      <c r="I277" t="s">
        <v>642</v>
      </c>
      <c r="J277" t="s">
        <v>3</v>
      </c>
      <c r="K277" t="s">
        <v>643</v>
      </c>
      <c r="L277">
        <v>1191</v>
      </c>
      <c r="N277">
        <v>1013</v>
      </c>
      <c r="O277" t="s">
        <v>641</v>
      </c>
      <c r="P277" t="s">
        <v>641</v>
      </c>
      <c r="Q277">
        <v>1</v>
      </c>
      <c r="W277">
        <v>0</v>
      </c>
      <c r="X277">
        <v>-1417349443</v>
      </c>
      <c r="Y277">
        <v>0.05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1</v>
      </c>
      <c r="AJ277">
        <v>1</v>
      </c>
      <c r="AK277">
        <v>6.53</v>
      </c>
      <c r="AL277">
        <v>1</v>
      </c>
      <c r="AN277">
        <v>0</v>
      </c>
      <c r="AO277">
        <v>1</v>
      </c>
      <c r="AP277">
        <v>0</v>
      </c>
      <c r="AQ277">
        <v>0</v>
      </c>
      <c r="AR277">
        <v>0</v>
      </c>
      <c r="AS277" t="s">
        <v>3</v>
      </c>
      <c r="AT277">
        <v>0.05</v>
      </c>
      <c r="AU277" t="s">
        <v>3</v>
      </c>
      <c r="AV277">
        <v>2</v>
      </c>
      <c r="AW277">
        <v>2</v>
      </c>
      <c r="AX277">
        <v>39491440</v>
      </c>
      <c r="AY277">
        <v>1</v>
      </c>
      <c r="AZ277">
        <v>0</v>
      </c>
      <c r="BA277">
        <v>270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Y277*Source!I181</f>
        <v>1.9500000000000003E-2</v>
      </c>
      <c r="CY277">
        <f>AD277</f>
        <v>0</v>
      </c>
      <c r="CZ277">
        <f>AH277</f>
        <v>0</v>
      </c>
      <c r="DA277">
        <f>AL277</f>
        <v>1</v>
      </c>
      <c r="DB277">
        <v>0</v>
      </c>
    </row>
    <row r="278" spans="1:106" x14ac:dyDescent="0.2">
      <c r="A278">
        <f>ROW(Source!A181)</f>
        <v>181</v>
      </c>
      <c r="B278">
        <v>39099382</v>
      </c>
      <c r="C278">
        <v>39491427</v>
      </c>
      <c r="D278">
        <v>36882159</v>
      </c>
      <c r="E278">
        <v>1</v>
      </c>
      <c r="F278">
        <v>1</v>
      </c>
      <c r="G278">
        <v>1</v>
      </c>
      <c r="H278">
        <v>2</v>
      </c>
      <c r="I278" t="s">
        <v>765</v>
      </c>
      <c r="J278" t="s">
        <v>766</v>
      </c>
      <c r="K278" t="s">
        <v>767</v>
      </c>
      <c r="L278">
        <v>1368</v>
      </c>
      <c r="N278">
        <v>1011</v>
      </c>
      <c r="O278" t="s">
        <v>647</v>
      </c>
      <c r="P278" t="s">
        <v>647</v>
      </c>
      <c r="Q278">
        <v>1</v>
      </c>
      <c r="W278">
        <v>0</v>
      </c>
      <c r="X278">
        <v>-1718674368</v>
      </c>
      <c r="Y278">
        <v>0.03</v>
      </c>
      <c r="AA278">
        <v>0</v>
      </c>
      <c r="AB278">
        <v>731.29</v>
      </c>
      <c r="AC278">
        <v>13.5</v>
      </c>
      <c r="AD278">
        <v>0</v>
      </c>
      <c r="AE278">
        <v>0</v>
      </c>
      <c r="AF278">
        <v>111.99</v>
      </c>
      <c r="AG278">
        <v>13.5</v>
      </c>
      <c r="AH278">
        <v>0</v>
      </c>
      <c r="AI278">
        <v>1</v>
      </c>
      <c r="AJ278">
        <v>6.53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3</v>
      </c>
      <c r="AT278">
        <v>0.03</v>
      </c>
      <c r="AU278" t="s">
        <v>3</v>
      </c>
      <c r="AV278">
        <v>0</v>
      </c>
      <c r="AW278">
        <v>2</v>
      </c>
      <c r="AX278">
        <v>39491441</v>
      </c>
      <c r="AY278">
        <v>1</v>
      </c>
      <c r="AZ278">
        <v>0</v>
      </c>
      <c r="BA278">
        <v>271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Y278*Source!I181</f>
        <v>1.17E-2</v>
      </c>
      <c r="CY278">
        <f>AB278</f>
        <v>731.29</v>
      </c>
      <c r="CZ278">
        <f>AF278</f>
        <v>111.99</v>
      </c>
      <c r="DA278">
        <f>AJ278</f>
        <v>6.53</v>
      </c>
      <c r="DB278">
        <v>0</v>
      </c>
    </row>
    <row r="279" spans="1:106" x14ac:dyDescent="0.2">
      <c r="A279">
        <f>ROW(Source!A181)</f>
        <v>181</v>
      </c>
      <c r="B279">
        <v>39099382</v>
      </c>
      <c r="C279">
        <v>39491427</v>
      </c>
      <c r="D279">
        <v>36883554</v>
      </c>
      <c r="E279">
        <v>1</v>
      </c>
      <c r="F279">
        <v>1</v>
      </c>
      <c r="G279">
        <v>1</v>
      </c>
      <c r="H279">
        <v>2</v>
      </c>
      <c r="I279" t="s">
        <v>665</v>
      </c>
      <c r="J279" t="s">
        <v>666</v>
      </c>
      <c r="K279" t="s">
        <v>667</v>
      </c>
      <c r="L279">
        <v>1368</v>
      </c>
      <c r="N279">
        <v>1011</v>
      </c>
      <c r="O279" t="s">
        <v>647</v>
      </c>
      <c r="P279" t="s">
        <v>647</v>
      </c>
      <c r="Q279">
        <v>1</v>
      </c>
      <c r="W279">
        <v>0</v>
      </c>
      <c r="X279">
        <v>1372534845</v>
      </c>
      <c r="Y279">
        <v>0.02</v>
      </c>
      <c r="AA279">
        <v>0</v>
      </c>
      <c r="AB279">
        <v>429.09</v>
      </c>
      <c r="AC279">
        <v>11.6</v>
      </c>
      <c r="AD279">
        <v>0</v>
      </c>
      <c r="AE279">
        <v>0</v>
      </c>
      <c r="AF279">
        <v>65.709999999999994</v>
      </c>
      <c r="AG279">
        <v>11.6</v>
      </c>
      <c r="AH279">
        <v>0</v>
      </c>
      <c r="AI279">
        <v>1</v>
      </c>
      <c r="AJ279">
        <v>6.53</v>
      </c>
      <c r="AK279">
        <v>1</v>
      </c>
      <c r="AL279">
        <v>1</v>
      </c>
      <c r="AN279">
        <v>0</v>
      </c>
      <c r="AO279">
        <v>1</v>
      </c>
      <c r="AP279">
        <v>0</v>
      </c>
      <c r="AQ279">
        <v>0</v>
      </c>
      <c r="AR279">
        <v>0</v>
      </c>
      <c r="AS279" t="s">
        <v>3</v>
      </c>
      <c r="AT279">
        <v>0.02</v>
      </c>
      <c r="AU279" t="s">
        <v>3</v>
      </c>
      <c r="AV279">
        <v>0</v>
      </c>
      <c r="AW279">
        <v>2</v>
      </c>
      <c r="AX279">
        <v>39491442</v>
      </c>
      <c r="AY279">
        <v>1</v>
      </c>
      <c r="AZ279">
        <v>0</v>
      </c>
      <c r="BA279">
        <v>272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Y279*Source!I181</f>
        <v>7.8000000000000005E-3</v>
      </c>
      <c r="CY279">
        <f>AB279</f>
        <v>429.09</v>
      </c>
      <c r="CZ279">
        <f>AF279</f>
        <v>65.709999999999994</v>
      </c>
      <c r="DA279">
        <f>AJ279</f>
        <v>6.53</v>
      </c>
      <c r="DB279">
        <v>0</v>
      </c>
    </row>
    <row r="280" spans="1:106" x14ac:dyDescent="0.2">
      <c r="A280">
        <f>ROW(Source!A181)</f>
        <v>181</v>
      </c>
      <c r="B280">
        <v>39099382</v>
      </c>
      <c r="C280">
        <v>39491427</v>
      </c>
      <c r="D280">
        <v>36802094</v>
      </c>
      <c r="E280">
        <v>1</v>
      </c>
      <c r="F280">
        <v>1</v>
      </c>
      <c r="G280">
        <v>1</v>
      </c>
      <c r="H280">
        <v>3</v>
      </c>
      <c r="I280" t="s">
        <v>820</v>
      </c>
      <c r="J280" t="s">
        <v>821</v>
      </c>
      <c r="K280" t="s">
        <v>822</v>
      </c>
      <c r="L280">
        <v>1346</v>
      </c>
      <c r="N280">
        <v>1009</v>
      </c>
      <c r="O280" t="s">
        <v>97</v>
      </c>
      <c r="P280" t="s">
        <v>97</v>
      </c>
      <c r="Q280">
        <v>1</v>
      </c>
      <c r="W280">
        <v>0</v>
      </c>
      <c r="X280">
        <v>-1088866022</v>
      </c>
      <c r="Y280">
        <v>0.11</v>
      </c>
      <c r="AA280">
        <v>198.51</v>
      </c>
      <c r="AB280">
        <v>0</v>
      </c>
      <c r="AC280">
        <v>0</v>
      </c>
      <c r="AD280">
        <v>0</v>
      </c>
      <c r="AE280">
        <v>30.4</v>
      </c>
      <c r="AF280">
        <v>0</v>
      </c>
      <c r="AG280">
        <v>0</v>
      </c>
      <c r="AH280">
        <v>0</v>
      </c>
      <c r="AI280">
        <v>6.53</v>
      </c>
      <c r="AJ280">
        <v>1</v>
      </c>
      <c r="AK280">
        <v>1</v>
      </c>
      <c r="AL280">
        <v>1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3</v>
      </c>
      <c r="AT280">
        <v>0.11</v>
      </c>
      <c r="AU280" t="s">
        <v>3</v>
      </c>
      <c r="AV280">
        <v>0</v>
      </c>
      <c r="AW280">
        <v>2</v>
      </c>
      <c r="AX280">
        <v>39491443</v>
      </c>
      <c r="AY280">
        <v>1</v>
      </c>
      <c r="AZ280">
        <v>0</v>
      </c>
      <c r="BA280">
        <v>273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Y280*Source!I181</f>
        <v>4.2900000000000001E-2</v>
      </c>
      <c r="CY280">
        <f t="shared" ref="CY280:CY286" si="18">AA280</f>
        <v>198.51</v>
      </c>
      <c r="CZ280">
        <f t="shared" ref="CZ280:CZ286" si="19">AE280</f>
        <v>30.4</v>
      </c>
      <c r="DA280">
        <f t="shared" ref="DA280:DA286" si="20">AI280</f>
        <v>6.53</v>
      </c>
      <c r="DB280">
        <v>0</v>
      </c>
    </row>
    <row r="281" spans="1:106" x14ac:dyDescent="0.2">
      <c r="A281">
        <f>ROW(Source!A181)</f>
        <v>181</v>
      </c>
      <c r="B281">
        <v>39099382</v>
      </c>
      <c r="C281">
        <v>39491427</v>
      </c>
      <c r="D281">
        <v>36804580</v>
      </c>
      <c r="E281">
        <v>1</v>
      </c>
      <c r="F281">
        <v>1</v>
      </c>
      <c r="G281">
        <v>1</v>
      </c>
      <c r="H281">
        <v>3</v>
      </c>
      <c r="I281" t="s">
        <v>829</v>
      </c>
      <c r="J281" t="s">
        <v>830</v>
      </c>
      <c r="K281" t="s">
        <v>831</v>
      </c>
      <c r="L281">
        <v>1355</v>
      </c>
      <c r="N281">
        <v>1010</v>
      </c>
      <c r="O281" t="s">
        <v>120</v>
      </c>
      <c r="P281" t="s">
        <v>120</v>
      </c>
      <c r="Q281">
        <v>100</v>
      </c>
      <c r="W281">
        <v>0</v>
      </c>
      <c r="X281">
        <v>1794244060</v>
      </c>
      <c r="Y281">
        <v>1.02</v>
      </c>
      <c r="AA281">
        <v>561.58000000000004</v>
      </c>
      <c r="AB281">
        <v>0</v>
      </c>
      <c r="AC281">
        <v>0</v>
      </c>
      <c r="AD281">
        <v>0</v>
      </c>
      <c r="AE281">
        <v>86</v>
      </c>
      <c r="AF281">
        <v>0</v>
      </c>
      <c r="AG281">
        <v>0</v>
      </c>
      <c r="AH281">
        <v>0</v>
      </c>
      <c r="AI281">
        <v>6.53</v>
      </c>
      <c r="AJ281">
        <v>1</v>
      </c>
      <c r="AK281">
        <v>1</v>
      </c>
      <c r="AL281">
        <v>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3</v>
      </c>
      <c r="AT281">
        <v>1.02</v>
      </c>
      <c r="AU281" t="s">
        <v>3</v>
      </c>
      <c r="AV281">
        <v>0</v>
      </c>
      <c r="AW281">
        <v>2</v>
      </c>
      <c r="AX281">
        <v>39491444</v>
      </c>
      <c r="AY281">
        <v>1</v>
      </c>
      <c r="AZ281">
        <v>0</v>
      </c>
      <c r="BA281">
        <v>274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Y281*Source!I181</f>
        <v>0.39780000000000004</v>
      </c>
      <c r="CY281">
        <f t="shared" si="18"/>
        <v>561.58000000000004</v>
      </c>
      <c r="CZ281">
        <f t="shared" si="19"/>
        <v>86</v>
      </c>
      <c r="DA281">
        <f t="shared" si="20"/>
        <v>6.53</v>
      </c>
      <c r="DB281">
        <v>0</v>
      </c>
    </row>
    <row r="282" spans="1:106" x14ac:dyDescent="0.2">
      <c r="A282">
        <f>ROW(Source!A181)</f>
        <v>181</v>
      </c>
      <c r="B282">
        <v>39099382</v>
      </c>
      <c r="C282">
        <v>39491427</v>
      </c>
      <c r="D282">
        <v>36804940</v>
      </c>
      <c r="E282">
        <v>1</v>
      </c>
      <c r="F282">
        <v>1</v>
      </c>
      <c r="G282">
        <v>1</v>
      </c>
      <c r="H282">
        <v>3</v>
      </c>
      <c r="I282" t="s">
        <v>882</v>
      </c>
      <c r="J282" t="s">
        <v>883</v>
      </c>
      <c r="K282" t="s">
        <v>884</v>
      </c>
      <c r="L282">
        <v>1348</v>
      </c>
      <c r="N282">
        <v>1009</v>
      </c>
      <c r="O282" t="s">
        <v>189</v>
      </c>
      <c r="P282" t="s">
        <v>189</v>
      </c>
      <c r="Q282">
        <v>1000</v>
      </c>
      <c r="W282">
        <v>0</v>
      </c>
      <c r="X282">
        <v>797358079</v>
      </c>
      <c r="Y282">
        <v>1.6000000000000001E-4</v>
      </c>
      <c r="AA282">
        <v>194594</v>
      </c>
      <c r="AB282">
        <v>0</v>
      </c>
      <c r="AC282">
        <v>0</v>
      </c>
      <c r="AD282">
        <v>0</v>
      </c>
      <c r="AE282">
        <v>29800</v>
      </c>
      <c r="AF282">
        <v>0</v>
      </c>
      <c r="AG282">
        <v>0</v>
      </c>
      <c r="AH282">
        <v>0</v>
      </c>
      <c r="AI282">
        <v>6.53</v>
      </c>
      <c r="AJ282">
        <v>1</v>
      </c>
      <c r="AK282">
        <v>1</v>
      </c>
      <c r="AL282">
        <v>1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3</v>
      </c>
      <c r="AT282">
        <v>1.6000000000000001E-4</v>
      </c>
      <c r="AU282" t="s">
        <v>3</v>
      </c>
      <c r="AV282">
        <v>0</v>
      </c>
      <c r="AW282">
        <v>2</v>
      </c>
      <c r="AX282">
        <v>39491445</v>
      </c>
      <c r="AY282">
        <v>1</v>
      </c>
      <c r="AZ282">
        <v>0</v>
      </c>
      <c r="BA282">
        <v>275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Y282*Source!I181</f>
        <v>6.2400000000000012E-5</v>
      </c>
      <c r="CY282">
        <f t="shared" si="18"/>
        <v>194594</v>
      </c>
      <c r="CZ282">
        <f t="shared" si="19"/>
        <v>29800</v>
      </c>
      <c r="DA282">
        <f t="shared" si="20"/>
        <v>6.53</v>
      </c>
      <c r="DB282">
        <v>0</v>
      </c>
    </row>
    <row r="283" spans="1:106" x14ac:dyDescent="0.2">
      <c r="A283">
        <f>ROW(Source!A181)</f>
        <v>181</v>
      </c>
      <c r="B283">
        <v>39099382</v>
      </c>
      <c r="C283">
        <v>39491427</v>
      </c>
      <c r="D283">
        <v>36804944</v>
      </c>
      <c r="E283">
        <v>1</v>
      </c>
      <c r="F283">
        <v>1</v>
      </c>
      <c r="G283">
        <v>1</v>
      </c>
      <c r="H283">
        <v>3</v>
      </c>
      <c r="I283" t="s">
        <v>798</v>
      </c>
      <c r="J283" t="s">
        <v>799</v>
      </c>
      <c r="K283" t="s">
        <v>800</v>
      </c>
      <c r="L283">
        <v>1348</v>
      </c>
      <c r="N283">
        <v>1009</v>
      </c>
      <c r="O283" t="s">
        <v>189</v>
      </c>
      <c r="P283" t="s">
        <v>189</v>
      </c>
      <c r="Q283">
        <v>1000</v>
      </c>
      <c r="W283">
        <v>0</v>
      </c>
      <c r="X283">
        <v>-1755229539</v>
      </c>
      <c r="Y283">
        <v>2.9999999999999997E-4</v>
      </c>
      <c r="AA283">
        <v>81167.899999999994</v>
      </c>
      <c r="AB283">
        <v>0</v>
      </c>
      <c r="AC283">
        <v>0</v>
      </c>
      <c r="AD283">
        <v>0</v>
      </c>
      <c r="AE283">
        <v>12430</v>
      </c>
      <c r="AF283">
        <v>0</v>
      </c>
      <c r="AG283">
        <v>0</v>
      </c>
      <c r="AH283">
        <v>0</v>
      </c>
      <c r="AI283">
        <v>6.53</v>
      </c>
      <c r="AJ283">
        <v>1</v>
      </c>
      <c r="AK283">
        <v>1</v>
      </c>
      <c r="AL283">
        <v>1</v>
      </c>
      <c r="AN283">
        <v>0</v>
      </c>
      <c r="AO283">
        <v>1</v>
      </c>
      <c r="AP283">
        <v>0</v>
      </c>
      <c r="AQ283">
        <v>0</v>
      </c>
      <c r="AR283">
        <v>0</v>
      </c>
      <c r="AS283" t="s">
        <v>3</v>
      </c>
      <c r="AT283">
        <v>2.9999999999999997E-4</v>
      </c>
      <c r="AU283" t="s">
        <v>3</v>
      </c>
      <c r="AV283">
        <v>0</v>
      </c>
      <c r="AW283">
        <v>2</v>
      </c>
      <c r="AX283">
        <v>39491446</v>
      </c>
      <c r="AY283">
        <v>1</v>
      </c>
      <c r="AZ283">
        <v>0</v>
      </c>
      <c r="BA283">
        <v>276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Y283*Source!I181</f>
        <v>1.17E-4</v>
      </c>
      <c r="CY283">
        <f t="shared" si="18"/>
        <v>81167.899999999994</v>
      </c>
      <c r="CZ283">
        <f t="shared" si="19"/>
        <v>12430</v>
      </c>
      <c r="DA283">
        <f t="shared" si="20"/>
        <v>6.53</v>
      </c>
      <c r="DB283">
        <v>0</v>
      </c>
    </row>
    <row r="284" spans="1:106" x14ac:dyDescent="0.2">
      <c r="A284">
        <f>ROW(Source!A181)</f>
        <v>181</v>
      </c>
      <c r="B284">
        <v>39099382</v>
      </c>
      <c r="C284">
        <v>39491427</v>
      </c>
      <c r="D284">
        <v>36855274</v>
      </c>
      <c r="E284">
        <v>1</v>
      </c>
      <c r="F284">
        <v>1</v>
      </c>
      <c r="G284">
        <v>1</v>
      </c>
      <c r="H284">
        <v>3</v>
      </c>
      <c r="I284" t="s">
        <v>463</v>
      </c>
      <c r="J284" t="s">
        <v>465</v>
      </c>
      <c r="K284" t="s">
        <v>464</v>
      </c>
      <c r="L284">
        <v>1355</v>
      </c>
      <c r="N284">
        <v>1010</v>
      </c>
      <c r="O284" t="s">
        <v>120</v>
      </c>
      <c r="P284" t="s">
        <v>120</v>
      </c>
      <c r="Q284">
        <v>100</v>
      </c>
      <c r="W284">
        <v>0</v>
      </c>
      <c r="X284">
        <v>-2051776460</v>
      </c>
      <c r="Y284">
        <v>0.82051300000000005</v>
      </c>
      <c r="AA284">
        <v>5870.47</v>
      </c>
      <c r="AB284">
        <v>0</v>
      </c>
      <c r="AC284">
        <v>0</v>
      </c>
      <c r="AD284">
        <v>0</v>
      </c>
      <c r="AE284">
        <v>899</v>
      </c>
      <c r="AF284">
        <v>0</v>
      </c>
      <c r="AG284">
        <v>0</v>
      </c>
      <c r="AH284">
        <v>0</v>
      </c>
      <c r="AI284">
        <v>6.53</v>
      </c>
      <c r="AJ284">
        <v>1</v>
      </c>
      <c r="AK284">
        <v>1</v>
      </c>
      <c r="AL284">
        <v>1</v>
      </c>
      <c r="AN284">
        <v>0</v>
      </c>
      <c r="AO284">
        <v>0</v>
      </c>
      <c r="AP284">
        <v>0</v>
      </c>
      <c r="AQ284">
        <v>0</v>
      </c>
      <c r="AR284">
        <v>0</v>
      </c>
      <c r="AS284" t="s">
        <v>3</v>
      </c>
      <c r="AT284">
        <v>0.82051300000000005</v>
      </c>
      <c r="AU284" t="s">
        <v>3</v>
      </c>
      <c r="AV284">
        <v>0</v>
      </c>
      <c r="AW284">
        <v>1</v>
      </c>
      <c r="AX284">
        <v>-1</v>
      </c>
      <c r="AY284">
        <v>0</v>
      </c>
      <c r="AZ284">
        <v>0</v>
      </c>
      <c r="BA284" t="s">
        <v>3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Y284*Source!I181</f>
        <v>0.32000007000000003</v>
      </c>
      <c r="CY284">
        <f t="shared" si="18"/>
        <v>5870.47</v>
      </c>
      <c r="CZ284">
        <f t="shared" si="19"/>
        <v>899</v>
      </c>
      <c r="DA284">
        <f t="shared" si="20"/>
        <v>6.53</v>
      </c>
      <c r="DB284">
        <v>0</v>
      </c>
    </row>
    <row r="285" spans="1:106" x14ac:dyDescent="0.2">
      <c r="A285">
        <f>ROW(Source!A181)</f>
        <v>181</v>
      </c>
      <c r="B285">
        <v>39099382</v>
      </c>
      <c r="C285">
        <v>39491427</v>
      </c>
      <c r="D285">
        <v>36855275</v>
      </c>
      <c r="E285">
        <v>1</v>
      </c>
      <c r="F285">
        <v>1</v>
      </c>
      <c r="G285">
        <v>1</v>
      </c>
      <c r="H285">
        <v>3</v>
      </c>
      <c r="I285" t="s">
        <v>467</v>
      </c>
      <c r="J285" t="s">
        <v>469</v>
      </c>
      <c r="K285" t="s">
        <v>468</v>
      </c>
      <c r="L285">
        <v>1355</v>
      </c>
      <c r="N285">
        <v>1010</v>
      </c>
      <c r="O285" t="s">
        <v>120</v>
      </c>
      <c r="P285" t="s">
        <v>120</v>
      </c>
      <c r="Q285">
        <v>100</v>
      </c>
      <c r="W285">
        <v>0</v>
      </c>
      <c r="X285">
        <v>375004976</v>
      </c>
      <c r="Y285">
        <v>0.17948700000000001</v>
      </c>
      <c r="AA285">
        <v>4793.0200000000004</v>
      </c>
      <c r="AB285">
        <v>0</v>
      </c>
      <c r="AC285">
        <v>0</v>
      </c>
      <c r="AD285">
        <v>0</v>
      </c>
      <c r="AE285">
        <v>734</v>
      </c>
      <c r="AF285">
        <v>0</v>
      </c>
      <c r="AG285">
        <v>0</v>
      </c>
      <c r="AH285">
        <v>0</v>
      </c>
      <c r="AI285">
        <v>6.53</v>
      </c>
      <c r="AJ285">
        <v>1</v>
      </c>
      <c r="AK285">
        <v>1</v>
      </c>
      <c r="AL285">
        <v>1</v>
      </c>
      <c r="AN285">
        <v>0</v>
      </c>
      <c r="AO285">
        <v>0</v>
      </c>
      <c r="AP285">
        <v>0</v>
      </c>
      <c r="AQ285">
        <v>0</v>
      </c>
      <c r="AR285">
        <v>0</v>
      </c>
      <c r="AS285" t="s">
        <v>3</v>
      </c>
      <c r="AT285">
        <v>0.17948700000000001</v>
      </c>
      <c r="AU285" t="s">
        <v>3</v>
      </c>
      <c r="AV285">
        <v>0</v>
      </c>
      <c r="AW285">
        <v>1</v>
      </c>
      <c r="AX285">
        <v>-1</v>
      </c>
      <c r="AY285">
        <v>0</v>
      </c>
      <c r="AZ285">
        <v>0</v>
      </c>
      <c r="BA285" t="s">
        <v>3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Y285*Source!I181</f>
        <v>6.9999930000000002E-2</v>
      </c>
      <c r="CY285">
        <f t="shared" si="18"/>
        <v>4793.0200000000004</v>
      </c>
      <c r="CZ285">
        <f t="shared" si="19"/>
        <v>734</v>
      </c>
      <c r="DA285">
        <f t="shared" si="20"/>
        <v>6.53</v>
      </c>
      <c r="DB285">
        <v>0</v>
      </c>
    </row>
    <row r="286" spans="1:106" x14ac:dyDescent="0.2">
      <c r="A286">
        <f>ROW(Source!A181)</f>
        <v>181</v>
      </c>
      <c r="B286">
        <v>39099382</v>
      </c>
      <c r="C286">
        <v>39491427</v>
      </c>
      <c r="D286">
        <v>36799065</v>
      </c>
      <c r="E286">
        <v>17</v>
      </c>
      <c r="F286">
        <v>1</v>
      </c>
      <c r="G286">
        <v>1</v>
      </c>
      <c r="H286">
        <v>3</v>
      </c>
      <c r="I286" t="s">
        <v>801</v>
      </c>
      <c r="J286" t="s">
        <v>3</v>
      </c>
      <c r="K286" t="s">
        <v>802</v>
      </c>
      <c r="L286">
        <v>1374</v>
      </c>
      <c r="N286">
        <v>1013</v>
      </c>
      <c r="O286" t="s">
        <v>803</v>
      </c>
      <c r="P286" t="s">
        <v>803</v>
      </c>
      <c r="Q286">
        <v>1</v>
      </c>
      <c r="W286">
        <v>0</v>
      </c>
      <c r="X286">
        <v>-1731369543</v>
      </c>
      <c r="Y286">
        <v>6.86</v>
      </c>
      <c r="AA286">
        <v>1</v>
      </c>
      <c r="AB286">
        <v>0</v>
      </c>
      <c r="AC286">
        <v>0</v>
      </c>
      <c r="AD286">
        <v>0</v>
      </c>
      <c r="AE286">
        <v>1</v>
      </c>
      <c r="AF286">
        <v>0</v>
      </c>
      <c r="AG286">
        <v>0</v>
      </c>
      <c r="AH286">
        <v>0</v>
      </c>
      <c r="AI286">
        <v>1</v>
      </c>
      <c r="AJ286">
        <v>1</v>
      </c>
      <c r="AK286">
        <v>1</v>
      </c>
      <c r="AL286">
        <v>1</v>
      </c>
      <c r="AN286">
        <v>0</v>
      </c>
      <c r="AO286">
        <v>1</v>
      </c>
      <c r="AP286">
        <v>0</v>
      </c>
      <c r="AQ286">
        <v>0</v>
      </c>
      <c r="AR286">
        <v>0</v>
      </c>
      <c r="AS286" t="s">
        <v>3</v>
      </c>
      <c r="AT286">
        <v>6.86</v>
      </c>
      <c r="AU286" t="s">
        <v>3</v>
      </c>
      <c r="AV286">
        <v>0</v>
      </c>
      <c r="AW286">
        <v>2</v>
      </c>
      <c r="AX286">
        <v>39491447</v>
      </c>
      <c r="AY286">
        <v>1</v>
      </c>
      <c r="AZ286">
        <v>0</v>
      </c>
      <c r="BA286">
        <v>277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Y286*Source!I181</f>
        <v>2.6754000000000002</v>
      </c>
      <c r="CY286">
        <f t="shared" si="18"/>
        <v>1</v>
      </c>
      <c r="CZ286">
        <f t="shared" si="19"/>
        <v>1</v>
      </c>
      <c r="DA286">
        <f t="shared" si="20"/>
        <v>1</v>
      </c>
      <c r="DB286">
        <v>0</v>
      </c>
    </row>
    <row r="287" spans="1:106" x14ac:dyDescent="0.2">
      <c r="A287">
        <f>ROW(Source!A184)</f>
        <v>184</v>
      </c>
      <c r="B287">
        <v>39099382</v>
      </c>
      <c r="C287">
        <v>39491450</v>
      </c>
      <c r="D287">
        <v>37077359</v>
      </c>
      <c r="E287">
        <v>1</v>
      </c>
      <c r="F287">
        <v>1</v>
      </c>
      <c r="G287">
        <v>1</v>
      </c>
      <c r="H287">
        <v>1</v>
      </c>
      <c r="I287" t="s">
        <v>885</v>
      </c>
      <c r="J287" t="s">
        <v>3</v>
      </c>
      <c r="K287" t="s">
        <v>886</v>
      </c>
      <c r="L287">
        <v>1191</v>
      </c>
      <c r="N287">
        <v>1013</v>
      </c>
      <c r="O287" t="s">
        <v>641</v>
      </c>
      <c r="P287" t="s">
        <v>641</v>
      </c>
      <c r="Q287">
        <v>1</v>
      </c>
      <c r="W287">
        <v>0</v>
      </c>
      <c r="X287">
        <v>-362667798</v>
      </c>
      <c r="Y287">
        <v>0.9</v>
      </c>
      <c r="AA287">
        <v>0</v>
      </c>
      <c r="AB287">
        <v>0</v>
      </c>
      <c r="AC287">
        <v>0</v>
      </c>
      <c r="AD287">
        <v>68.569999999999993</v>
      </c>
      <c r="AE287">
        <v>0</v>
      </c>
      <c r="AF287">
        <v>0</v>
      </c>
      <c r="AG287">
        <v>0</v>
      </c>
      <c r="AH287">
        <v>10.5</v>
      </c>
      <c r="AI287">
        <v>1</v>
      </c>
      <c r="AJ287">
        <v>1</v>
      </c>
      <c r="AK287">
        <v>1</v>
      </c>
      <c r="AL287">
        <v>6.53</v>
      </c>
      <c r="AN287">
        <v>0</v>
      </c>
      <c r="AO287">
        <v>1</v>
      </c>
      <c r="AP287">
        <v>0</v>
      </c>
      <c r="AQ287">
        <v>0</v>
      </c>
      <c r="AR287">
        <v>0</v>
      </c>
      <c r="AS287" t="s">
        <v>3</v>
      </c>
      <c r="AT287">
        <v>0.9</v>
      </c>
      <c r="AU287" t="s">
        <v>3</v>
      </c>
      <c r="AV287">
        <v>1</v>
      </c>
      <c r="AW287">
        <v>2</v>
      </c>
      <c r="AX287">
        <v>39491460</v>
      </c>
      <c r="AY287">
        <v>1</v>
      </c>
      <c r="AZ287">
        <v>0</v>
      </c>
      <c r="BA287">
        <v>278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Y287*Source!I184</f>
        <v>6.3</v>
      </c>
      <c r="CY287">
        <f>AD287</f>
        <v>68.569999999999993</v>
      </c>
      <c r="CZ287">
        <f>AH287</f>
        <v>10.5</v>
      </c>
      <c r="DA287">
        <f>AL287</f>
        <v>6.53</v>
      </c>
      <c r="DB287">
        <v>0</v>
      </c>
    </row>
    <row r="288" spans="1:106" x14ac:dyDescent="0.2">
      <c r="A288">
        <f>ROW(Source!A184)</f>
        <v>184</v>
      </c>
      <c r="B288">
        <v>39099382</v>
      </c>
      <c r="C288">
        <v>39491450</v>
      </c>
      <c r="D288">
        <v>37064876</v>
      </c>
      <c r="E288">
        <v>1</v>
      </c>
      <c r="F288">
        <v>1</v>
      </c>
      <c r="G288">
        <v>1</v>
      </c>
      <c r="H288">
        <v>1</v>
      </c>
      <c r="I288" t="s">
        <v>642</v>
      </c>
      <c r="J288" t="s">
        <v>3</v>
      </c>
      <c r="K288" t="s">
        <v>643</v>
      </c>
      <c r="L288">
        <v>1191</v>
      </c>
      <c r="N288">
        <v>1013</v>
      </c>
      <c r="O288" t="s">
        <v>641</v>
      </c>
      <c r="P288" t="s">
        <v>641</v>
      </c>
      <c r="Q288">
        <v>1</v>
      </c>
      <c r="W288">
        <v>0</v>
      </c>
      <c r="X288">
        <v>-1417349443</v>
      </c>
      <c r="Y288">
        <v>0.2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1</v>
      </c>
      <c r="AJ288">
        <v>1</v>
      </c>
      <c r="AK288">
        <v>6.53</v>
      </c>
      <c r="AL288">
        <v>1</v>
      </c>
      <c r="AN288">
        <v>0</v>
      </c>
      <c r="AO288">
        <v>1</v>
      </c>
      <c r="AP288">
        <v>0</v>
      </c>
      <c r="AQ288">
        <v>0</v>
      </c>
      <c r="AR288">
        <v>0</v>
      </c>
      <c r="AS288" t="s">
        <v>3</v>
      </c>
      <c r="AT288">
        <v>0.2</v>
      </c>
      <c r="AU288" t="s">
        <v>3</v>
      </c>
      <c r="AV288">
        <v>2</v>
      </c>
      <c r="AW288">
        <v>2</v>
      </c>
      <c r="AX288">
        <v>39491461</v>
      </c>
      <c r="AY288">
        <v>1</v>
      </c>
      <c r="AZ288">
        <v>0</v>
      </c>
      <c r="BA288">
        <v>279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Y288*Source!I184</f>
        <v>1.4000000000000001</v>
      </c>
      <c r="CY288">
        <f>AD288</f>
        <v>0</v>
      </c>
      <c r="CZ288">
        <f>AH288</f>
        <v>0</v>
      </c>
      <c r="DA288">
        <f>AL288</f>
        <v>1</v>
      </c>
      <c r="DB288">
        <v>0</v>
      </c>
    </row>
    <row r="289" spans="1:106" x14ac:dyDescent="0.2">
      <c r="A289">
        <f>ROW(Source!A184)</f>
        <v>184</v>
      </c>
      <c r="B289">
        <v>39099382</v>
      </c>
      <c r="C289">
        <v>39491450</v>
      </c>
      <c r="D289">
        <v>36882159</v>
      </c>
      <c r="E289">
        <v>1</v>
      </c>
      <c r="F289">
        <v>1</v>
      </c>
      <c r="G289">
        <v>1</v>
      </c>
      <c r="H289">
        <v>2</v>
      </c>
      <c r="I289" t="s">
        <v>765</v>
      </c>
      <c r="J289" t="s">
        <v>766</v>
      </c>
      <c r="K289" t="s">
        <v>767</v>
      </c>
      <c r="L289">
        <v>1368</v>
      </c>
      <c r="N289">
        <v>1011</v>
      </c>
      <c r="O289" t="s">
        <v>647</v>
      </c>
      <c r="P289" t="s">
        <v>647</v>
      </c>
      <c r="Q289">
        <v>1</v>
      </c>
      <c r="W289">
        <v>0</v>
      </c>
      <c r="X289">
        <v>-1718674368</v>
      </c>
      <c r="Y289">
        <v>0.1</v>
      </c>
      <c r="AA289">
        <v>0</v>
      </c>
      <c r="AB289">
        <v>731.29</v>
      </c>
      <c r="AC289">
        <v>13.5</v>
      </c>
      <c r="AD289">
        <v>0</v>
      </c>
      <c r="AE289">
        <v>0</v>
      </c>
      <c r="AF289">
        <v>111.99</v>
      </c>
      <c r="AG289">
        <v>13.5</v>
      </c>
      <c r="AH289">
        <v>0</v>
      </c>
      <c r="AI289">
        <v>1</v>
      </c>
      <c r="AJ289">
        <v>6.53</v>
      </c>
      <c r="AK289">
        <v>1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3</v>
      </c>
      <c r="AT289">
        <v>0.1</v>
      </c>
      <c r="AU289" t="s">
        <v>3</v>
      </c>
      <c r="AV289">
        <v>0</v>
      </c>
      <c r="AW289">
        <v>2</v>
      </c>
      <c r="AX289">
        <v>39491462</v>
      </c>
      <c r="AY289">
        <v>1</v>
      </c>
      <c r="AZ289">
        <v>0</v>
      </c>
      <c r="BA289">
        <v>280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Y289*Source!I184</f>
        <v>0.70000000000000007</v>
      </c>
      <c r="CY289">
        <f>AB289</f>
        <v>731.29</v>
      </c>
      <c r="CZ289">
        <f>AF289</f>
        <v>111.99</v>
      </c>
      <c r="DA289">
        <f>AJ289</f>
        <v>6.53</v>
      </c>
      <c r="DB289">
        <v>0</v>
      </c>
    </row>
    <row r="290" spans="1:106" x14ac:dyDescent="0.2">
      <c r="A290">
        <f>ROW(Source!A184)</f>
        <v>184</v>
      </c>
      <c r="B290">
        <v>39099382</v>
      </c>
      <c r="C290">
        <v>39491450</v>
      </c>
      <c r="D290">
        <v>36883554</v>
      </c>
      <c r="E290">
        <v>1</v>
      </c>
      <c r="F290">
        <v>1</v>
      </c>
      <c r="G290">
        <v>1</v>
      </c>
      <c r="H290">
        <v>2</v>
      </c>
      <c r="I290" t="s">
        <v>665</v>
      </c>
      <c r="J290" t="s">
        <v>666</v>
      </c>
      <c r="K290" t="s">
        <v>667</v>
      </c>
      <c r="L290">
        <v>1368</v>
      </c>
      <c r="N290">
        <v>1011</v>
      </c>
      <c r="O290" t="s">
        <v>647</v>
      </c>
      <c r="P290" t="s">
        <v>647</v>
      </c>
      <c r="Q290">
        <v>1</v>
      </c>
      <c r="W290">
        <v>0</v>
      </c>
      <c r="X290">
        <v>1372534845</v>
      </c>
      <c r="Y290">
        <v>0.1</v>
      </c>
      <c r="AA290">
        <v>0</v>
      </c>
      <c r="AB290">
        <v>429.09</v>
      </c>
      <c r="AC290">
        <v>11.6</v>
      </c>
      <c r="AD290">
        <v>0</v>
      </c>
      <c r="AE290">
        <v>0</v>
      </c>
      <c r="AF290">
        <v>65.709999999999994</v>
      </c>
      <c r="AG290">
        <v>11.6</v>
      </c>
      <c r="AH290">
        <v>0</v>
      </c>
      <c r="AI290">
        <v>1</v>
      </c>
      <c r="AJ290">
        <v>6.53</v>
      </c>
      <c r="AK290">
        <v>1</v>
      </c>
      <c r="AL290">
        <v>1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3</v>
      </c>
      <c r="AT290">
        <v>0.1</v>
      </c>
      <c r="AU290" t="s">
        <v>3</v>
      </c>
      <c r="AV290">
        <v>0</v>
      </c>
      <c r="AW290">
        <v>2</v>
      </c>
      <c r="AX290">
        <v>39491463</v>
      </c>
      <c r="AY290">
        <v>1</v>
      </c>
      <c r="AZ290">
        <v>0</v>
      </c>
      <c r="BA290">
        <v>281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Y290*Source!I184</f>
        <v>0.70000000000000007</v>
      </c>
      <c r="CY290">
        <f>AB290</f>
        <v>429.09</v>
      </c>
      <c r="CZ290">
        <f>AF290</f>
        <v>65.709999999999994</v>
      </c>
      <c r="DA290">
        <f>AJ290</f>
        <v>6.53</v>
      </c>
      <c r="DB290">
        <v>0</v>
      </c>
    </row>
    <row r="291" spans="1:106" x14ac:dyDescent="0.2">
      <c r="A291">
        <f>ROW(Source!A184)</f>
        <v>184</v>
      </c>
      <c r="B291">
        <v>39099382</v>
      </c>
      <c r="C291">
        <v>39491450</v>
      </c>
      <c r="D291">
        <v>36802094</v>
      </c>
      <c r="E291">
        <v>1</v>
      </c>
      <c r="F291">
        <v>1</v>
      </c>
      <c r="G291">
        <v>1</v>
      </c>
      <c r="H291">
        <v>3</v>
      </c>
      <c r="I291" t="s">
        <v>820</v>
      </c>
      <c r="J291" t="s">
        <v>821</v>
      </c>
      <c r="K291" t="s">
        <v>822</v>
      </c>
      <c r="L291">
        <v>1346</v>
      </c>
      <c r="N291">
        <v>1009</v>
      </c>
      <c r="O291" t="s">
        <v>97</v>
      </c>
      <c r="P291" t="s">
        <v>97</v>
      </c>
      <c r="Q291">
        <v>1</v>
      </c>
      <c r="W291">
        <v>0</v>
      </c>
      <c r="X291">
        <v>-1088866022</v>
      </c>
      <c r="Y291">
        <v>0.01</v>
      </c>
      <c r="AA291">
        <v>198.51</v>
      </c>
      <c r="AB291">
        <v>0</v>
      </c>
      <c r="AC291">
        <v>0</v>
      </c>
      <c r="AD291">
        <v>0</v>
      </c>
      <c r="AE291">
        <v>30.4</v>
      </c>
      <c r="AF291">
        <v>0</v>
      </c>
      <c r="AG291">
        <v>0</v>
      </c>
      <c r="AH291">
        <v>0</v>
      </c>
      <c r="AI291">
        <v>6.53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0</v>
      </c>
      <c r="AQ291">
        <v>0</v>
      </c>
      <c r="AR291">
        <v>0</v>
      </c>
      <c r="AS291" t="s">
        <v>3</v>
      </c>
      <c r="AT291">
        <v>0.01</v>
      </c>
      <c r="AU291" t="s">
        <v>3</v>
      </c>
      <c r="AV291">
        <v>0</v>
      </c>
      <c r="AW291">
        <v>2</v>
      </c>
      <c r="AX291">
        <v>39491464</v>
      </c>
      <c r="AY291">
        <v>1</v>
      </c>
      <c r="AZ291">
        <v>0</v>
      </c>
      <c r="BA291">
        <v>282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Y291*Source!I184</f>
        <v>7.0000000000000007E-2</v>
      </c>
      <c r="CY291">
        <f>AA291</f>
        <v>198.51</v>
      </c>
      <c r="CZ291">
        <f>AE291</f>
        <v>30.4</v>
      </c>
      <c r="DA291">
        <f>AI291</f>
        <v>6.53</v>
      </c>
      <c r="DB291">
        <v>0</v>
      </c>
    </row>
    <row r="292" spans="1:106" x14ac:dyDescent="0.2">
      <c r="A292">
        <f>ROW(Source!A184)</f>
        <v>184</v>
      </c>
      <c r="B292">
        <v>39099382</v>
      </c>
      <c r="C292">
        <v>39491450</v>
      </c>
      <c r="D292">
        <v>36804448</v>
      </c>
      <c r="E292">
        <v>1</v>
      </c>
      <c r="F292">
        <v>1</v>
      </c>
      <c r="G292">
        <v>1</v>
      </c>
      <c r="H292">
        <v>3</v>
      </c>
      <c r="I292" t="s">
        <v>826</v>
      </c>
      <c r="J292" t="s">
        <v>827</v>
      </c>
      <c r="K292" t="s">
        <v>828</v>
      </c>
      <c r="L292">
        <v>1346</v>
      </c>
      <c r="N292">
        <v>1009</v>
      </c>
      <c r="O292" t="s">
        <v>97</v>
      </c>
      <c r="P292" t="s">
        <v>97</v>
      </c>
      <c r="Q292">
        <v>1</v>
      </c>
      <c r="W292">
        <v>0</v>
      </c>
      <c r="X292">
        <v>103900845</v>
      </c>
      <c r="Y292">
        <v>0.3</v>
      </c>
      <c r="AA292">
        <v>59.03</v>
      </c>
      <c r="AB292">
        <v>0</v>
      </c>
      <c r="AC292">
        <v>0</v>
      </c>
      <c r="AD292">
        <v>0</v>
      </c>
      <c r="AE292">
        <v>9.0399999999999991</v>
      </c>
      <c r="AF292">
        <v>0</v>
      </c>
      <c r="AG292">
        <v>0</v>
      </c>
      <c r="AH292">
        <v>0</v>
      </c>
      <c r="AI292">
        <v>6.53</v>
      </c>
      <c r="AJ292">
        <v>1</v>
      </c>
      <c r="AK292">
        <v>1</v>
      </c>
      <c r="AL292">
        <v>1</v>
      </c>
      <c r="AN292">
        <v>0</v>
      </c>
      <c r="AO292">
        <v>1</v>
      </c>
      <c r="AP292">
        <v>0</v>
      </c>
      <c r="AQ292">
        <v>0</v>
      </c>
      <c r="AR292">
        <v>0</v>
      </c>
      <c r="AS292" t="s">
        <v>3</v>
      </c>
      <c r="AT292">
        <v>0.3</v>
      </c>
      <c r="AU292" t="s">
        <v>3</v>
      </c>
      <c r="AV292">
        <v>0</v>
      </c>
      <c r="AW292">
        <v>2</v>
      </c>
      <c r="AX292">
        <v>39491465</v>
      </c>
      <c r="AY292">
        <v>1</v>
      </c>
      <c r="AZ292">
        <v>0</v>
      </c>
      <c r="BA292">
        <v>283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Y292*Source!I184</f>
        <v>2.1</v>
      </c>
      <c r="CY292">
        <f>AA292</f>
        <v>59.03</v>
      </c>
      <c r="CZ292">
        <f>AE292</f>
        <v>9.0399999999999991</v>
      </c>
      <c r="DA292">
        <f>AI292</f>
        <v>6.53</v>
      </c>
      <c r="DB292">
        <v>0</v>
      </c>
    </row>
    <row r="293" spans="1:106" x14ac:dyDescent="0.2">
      <c r="A293">
        <f>ROW(Source!A184)</f>
        <v>184</v>
      </c>
      <c r="B293">
        <v>39099382</v>
      </c>
      <c r="C293">
        <v>39491450</v>
      </c>
      <c r="D293">
        <v>36825981</v>
      </c>
      <c r="E293">
        <v>1</v>
      </c>
      <c r="F293">
        <v>1</v>
      </c>
      <c r="G293">
        <v>1</v>
      </c>
      <c r="H293">
        <v>3</v>
      </c>
      <c r="I293" t="s">
        <v>887</v>
      </c>
      <c r="J293" t="s">
        <v>888</v>
      </c>
      <c r="K293" t="s">
        <v>889</v>
      </c>
      <c r="L293">
        <v>1348</v>
      </c>
      <c r="N293">
        <v>1009</v>
      </c>
      <c r="O293" t="s">
        <v>189</v>
      </c>
      <c r="P293" t="s">
        <v>189</v>
      </c>
      <c r="Q293">
        <v>1000</v>
      </c>
      <c r="W293">
        <v>0</v>
      </c>
      <c r="X293">
        <v>-1598896989</v>
      </c>
      <c r="Y293">
        <v>5.9999999999999995E-4</v>
      </c>
      <c r="AA293">
        <v>32650</v>
      </c>
      <c r="AB293">
        <v>0</v>
      </c>
      <c r="AC293">
        <v>0</v>
      </c>
      <c r="AD293">
        <v>0</v>
      </c>
      <c r="AE293">
        <v>5000</v>
      </c>
      <c r="AF293">
        <v>0</v>
      </c>
      <c r="AG293">
        <v>0</v>
      </c>
      <c r="AH293">
        <v>0</v>
      </c>
      <c r="AI293">
        <v>6.53</v>
      </c>
      <c r="AJ293">
        <v>1</v>
      </c>
      <c r="AK293">
        <v>1</v>
      </c>
      <c r="AL293">
        <v>1</v>
      </c>
      <c r="AN293">
        <v>0</v>
      </c>
      <c r="AO293">
        <v>1</v>
      </c>
      <c r="AP293">
        <v>0</v>
      </c>
      <c r="AQ293">
        <v>0</v>
      </c>
      <c r="AR293">
        <v>0</v>
      </c>
      <c r="AS293" t="s">
        <v>3</v>
      </c>
      <c r="AT293">
        <v>5.9999999999999995E-4</v>
      </c>
      <c r="AU293" t="s">
        <v>3</v>
      </c>
      <c r="AV293">
        <v>0</v>
      </c>
      <c r="AW293">
        <v>2</v>
      </c>
      <c r="AX293">
        <v>39491466</v>
      </c>
      <c r="AY293">
        <v>1</v>
      </c>
      <c r="AZ293">
        <v>0</v>
      </c>
      <c r="BA293">
        <v>284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Y293*Source!I184</f>
        <v>4.1999999999999997E-3</v>
      </c>
      <c r="CY293">
        <f>AA293</f>
        <v>32650</v>
      </c>
      <c r="CZ293">
        <f>AE293</f>
        <v>5000</v>
      </c>
      <c r="DA293">
        <f>AI293</f>
        <v>6.53</v>
      </c>
      <c r="DB293">
        <v>0</v>
      </c>
    </row>
    <row r="294" spans="1:106" x14ac:dyDescent="0.2">
      <c r="A294">
        <f>ROW(Source!A184)</f>
        <v>184</v>
      </c>
      <c r="B294">
        <v>39099382</v>
      </c>
      <c r="C294">
        <v>39491450</v>
      </c>
      <c r="D294">
        <v>36873831</v>
      </c>
      <c r="E294">
        <v>1</v>
      </c>
      <c r="F294">
        <v>1</v>
      </c>
      <c r="G294">
        <v>1</v>
      </c>
      <c r="H294">
        <v>3</v>
      </c>
      <c r="I294" t="s">
        <v>475</v>
      </c>
      <c r="J294" t="s">
        <v>477</v>
      </c>
      <c r="K294" t="s">
        <v>476</v>
      </c>
      <c r="L294">
        <v>1358</v>
      </c>
      <c r="N294">
        <v>1010</v>
      </c>
      <c r="O294" t="s">
        <v>417</v>
      </c>
      <c r="P294" t="s">
        <v>417</v>
      </c>
      <c r="Q294">
        <v>10</v>
      </c>
      <c r="W294">
        <v>0</v>
      </c>
      <c r="X294">
        <v>-1428264759</v>
      </c>
      <c r="Y294">
        <v>0.1</v>
      </c>
      <c r="AA294">
        <v>1230.9100000000001</v>
      </c>
      <c r="AB294">
        <v>0</v>
      </c>
      <c r="AC294">
        <v>0</v>
      </c>
      <c r="AD294">
        <v>0</v>
      </c>
      <c r="AE294">
        <v>188.5</v>
      </c>
      <c r="AF294">
        <v>0</v>
      </c>
      <c r="AG294">
        <v>0</v>
      </c>
      <c r="AH294">
        <v>0</v>
      </c>
      <c r="AI294">
        <v>6.53</v>
      </c>
      <c r="AJ294">
        <v>1</v>
      </c>
      <c r="AK294">
        <v>1</v>
      </c>
      <c r="AL294">
        <v>1</v>
      </c>
      <c r="AN294">
        <v>0</v>
      </c>
      <c r="AO294">
        <v>0</v>
      </c>
      <c r="AP294">
        <v>0</v>
      </c>
      <c r="AQ294">
        <v>0</v>
      </c>
      <c r="AR294">
        <v>0</v>
      </c>
      <c r="AS294" t="s">
        <v>3</v>
      </c>
      <c r="AT294">
        <v>0.1</v>
      </c>
      <c r="AU294" t="s">
        <v>3</v>
      </c>
      <c r="AV294">
        <v>0</v>
      </c>
      <c r="AW294">
        <v>1</v>
      </c>
      <c r="AX294">
        <v>-1</v>
      </c>
      <c r="AY294">
        <v>0</v>
      </c>
      <c r="AZ294">
        <v>0</v>
      </c>
      <c r="BA294" t="s">
        <v>3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Y294*Source!I184</f>
        <v>0.70000000000000007</v>
      </c>
      <c r="CY294">
        <f>AA294</f>
        <v>1230.9100000000001</v>
      </c>
      <c r="CZ294">
        <f>AE294</f>
        <v>188.5</v>
      </c>
      <c r="DA294">
        <f>AI294</f>
        <v>6.53</v>
      </c>
      <c r="DB294">
        <v>0</v>
      </c>
    </row>
    <row r="295" spans="1:106" x14ac:dyDescent="0.2">
      <c r="A295">
        <f>ROW(Source!A184)</f>
        <v>184</v>
      </c>
      <c r="B295">
        <v>39099382</v>
      </c>
      <c r="C295">
        <v>39491450</v>
      </c>
      <c r="D295">
        <v>36799065</v>
      </c>
      <c r="E295">
        <v>17</v>
      </c>
      <c r="F295">
        <v>1</v>
      </c>
      <c r="G295">
        <v>1</v>
      </c>
      <c r="H295">
        <v>3</v>
      </c>
      <c r="I295" t="s">
        <v>801</v>
      </c>
      <c r="J295" t="s">
        <v>3</v>
      </c>
      <c r="K295" t="s">
        <v>802</v>
      </c>
      <c r="L295">
        <v>1374</v>
      </c>
      <c r="N295">
        <v>1013</v>
      </c>
      <c r="O295" t="s">
        <v>803</v>
      </c>
      <c r="P295" t="s">
        <v>803</v>
      </c>
      <c r="Q295">
        <v>1</v>
      </c>
      <c r="W295">
        <v>0</v>
      </c>
      <c r="X295">
        <v>-1731369543</v>
      </c>
      <c r="Y295">
        <v>0.19</v>
      </c>
      <c r="AA295">
        <v>1</v>
      </c>
      <c r="AB295">
        <v>0</v>
      </c>
      <c r="AC295">
        <v>0</v>
      </c>
      <c r="AD295">
        <v>0</v>
      </c>
      <c r="AE295">
        <v>1</v>
      </c>
      <c r="AF295">
        <v>0</v>
      </c>
      <c r="AG295">
        <v>0</v>
      </c>
      <c r="AH295">
        <v>0</v>
      </c>
      <c r="AI295">
        <v>1</v>
      </c>
      <c r="AJ295">
        <v>1</v>
      </c>
      <c r="AK295">
        <v>1</v>
      </c>
      <c r="AL295">
        <v>1</v>
      </c>
      <c r="AN295">
        <v>0</v>
      </c>
      <c r="AO295">
        <v>1</v>
      </c>
      <c r="AP295">
        <v>0</v>
      </c>
      <c r="AQ295">
        <v>0</v>
      </c>
      <c r="AR295">
        <v>0</v>
      </c>
      <c r="AS295" t="s">
        <v>3</v>
      </c>
      <c r="AT295">
        <v>0.19</v>
      </c>
      <c r="AU295" t="s">
        <v>3</v>
      </c>
      <c r="AV295">
        <v>0</v>
      </c>
      <c r="AW295">
        <v>2</v>
      </c>
      <c r="AX295">
        <v>39491467</v>
      </c>
      <c r="AY295">
        <v>1</v>
      </c>
      <c r="AZ295">
        <v>0</v>
      </c>
      <c r="BA295">
        <v>285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Y295*Source!I184</f>
        <v>1.33</v>
      </c>
      <c r="CY295">
        <f>AA295</f>
        <v>1</v>
      </c>
      <c r="CZ295">
        <f>AE295</f>
        <v>1</v>
      </c>
      <c r="DA295">
        <f>AI295</f>
        <v>1</v>
      </c>
      <c r="DB295">
        <v>0</v>
      </c>
    </row>
    <row r="296" spans="1:106" x14ac:dyDescent="0.2">
      <c r="A296">
        <f>ROW(Source!A186)</f>
        <v>186</v>
      </c>
      <c r="B296">
        <v>39099382</v>
      </c>
      <c r="C296">
        <v>39491469</v>
      </c>
      <c r="D296">
        <v>37070202</v>
      </c>
      <c r="E296">
        <v>1</v>
      </c>
      <c r="F296">
        <v>1</v>
      </c>
      <c r="G296">
        <v>1</v>
      </c>
      <c r="H296">
        <v>1</v>
      </c>
      <c r="I296" t="s">
        <v>717</v>
      </c>
      <c r="J296" t="s">
        <v>3</v>
      </c>
      <c r="K296" t="s">
        <v>718</v>
      </c>
      <c r="L296">
        <v>1191</v>
      </c>
      <c r="N296">
        <v>1013</v>
      </c>
      <c r="O296" t="s">
        <v>641</v>
      </c>
      <c r="P296" t="s">
        <v>641</v>
      </c>
      <c r="Q296">
        <v>1</v>
      </c>
      <c r="W296">
        <v>0</v>
      </c>
      <c r="X296">
        <v>1983201532</v>
      </c>
      <c r="Y296">
        <v>1.56</v>
      </c>
      <c r="AA296">
        <v>0</v>
      </c>
      <c r="AB296">
        <v>0</v>
      </c>
      <c r="AC296">
        <v>0</v>
      </c>
      <c r="AD296">
        <v>62.1</v>
      </c>
      <c r="AE296">
        <v>0</v>
      </c>
      <c r="AF296">
        <v>0</v>
      </c>
      <c r="AG296">
        <v>0</v>
      </c>
      <c r="AH296">
        <v>9.51</v>
      </c>
      <c r="AI296">
        <v>1</v>
      </c>
      <c r="AJ296">
        <v>1</v>
      </c>
      <c r="AK296">
        <v>1</v>
      </c>
      <c r="AL296">
        <v>6.53</v>
      </c>
      <c r="AN296">
        <v>0</v>
      </c>
      <c r="AO296">
        <v>1</v>
      </c>
      <c r="AP296">
        <v>0</v>
      </c>
      <c r="AQ296">
        <v>0</v>
      </c>
      <c r="AR296">
        <v>0</v>
      </c>
      <c r="AS296" t="s">
        <v>3</v>
      </c>
      <c r="AT296">
        <v>1.56</v>
      </c>
      <c r="AU296" t="s">
        <v>3</v>
      </c>
      <c r="AV296">
        <v>1</v>
      </c>
      <c r="AW296">
        <v>2</v>
      </c>
      <c r="AX296">
        <v>39491489</v>
      </c>
      <c r="AY296">
        <v>1</v>
      </c>
      <c r="AZ296">
        <v>0</v>
      </c>
      <c r="BA296">
        <v>286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Y296*Source!I186</f>
        <v>68.64</v>
      </c>
      <c r="CY296">
        <f>AD296</f>
        <v>62.1</v>
      </c>
      <c r="CZ296">
        <f>AH296</f>
        <v>9.51</v>
      </c>
      <c r="DA296">
        <f>AL296</f>
        <v>6.53</v>
      </c>
      <c r="DB296">
        <v>0</v>
      </c>
    </row>
    <row r="297" spans="1:106" x14ac:dyDescent="0.2">
      <c r="A297">
        <f>ROW(Source!A186)</f>
        <v>186</v>
      </c>
      <c r="B297">
        <v>39099382</v>
      </c>
      <c r="C297">
        <v>39491469</v>
      </c>
      <c r="D297">
        <v>36883858</v>
      </c>
      <c r="E297">
        <v>1</v>
      </c>
      <c r="F297">
        <v>1</v>
      </c>
      <c r="G297">
        <v>1</v>
      </c>
      <c r="H297">
        <v>2</v>
      </c>
      <c r="I297" t="s">
        <v>783</v>
      </c>
      <c r="J297" t="s">
        <v>784</v>
      </c>
      <c r="K297" t="s">
        <v>785</v>
      </c>
      <c r="L297">
        <v>1368</v>
      </c>
      <c r="N297">
        <v>1011</v>
      </c>
      <c r="O297" t="s">
        <v>647</v>
      </c>
      <c r="P297" t="s">
        <v>647</v>
      </c>
      <c r="Q297">
        <v>1</v>
      </c>
      <c r="W297">
        <v>0</v>
      </c>
      <c r="X297">
        <v>-353815937</v>
      </c>
      <c r="Y297">
        <v>0.13</v>
      </c>
      <c r="AA297">
        <v>0</v>
      </c>
      <c r="AB297">
        <v>52.89</v>
      </c>
      <c r="AC297">
        <v>0</v>
      </c>
      <c r="AD297">
        <v>0</v>
      </c>
      <c r="AE297">
        <v>0</v>
      </c>
      <c r="AF297">
        <v>8.1</v>
      </c>
      <c r="AG297">
        <v>0</v>
      </c>
      <c r="AH297">
        <v>0</v>
      </c>
      <c r="AI297">
        <v>1</v>
      </c>
      <c r="AJ297">
        <v>6.53</v>
      </c>
      <c r="AK297">
        <v>1</v>
      </c>
      <c r="AL297">
        <v>1</v>
      </c>
      <c r="AN297">
        <v>0</v>
      </c>
      <c r="AO297">
        <v>1</v>
      </c>
      <c r="AP297">
        <v>0</v>
      </c>
      <c r="AQ297">
        <v>0</v>
      </c>
      <c r="AR297">
        <v>0</v>
      </c>
      <c r="AS297" t="s">
        <v>3</v>
      </c>
      <c r="AT297">
        <v>0.13</v>
      </c>
      <c r="AU297" t="s">
        <v>3</v>
      </c>
      <c r="AV297">
        <v>0</v>
      </c>
      <c r="AW297">
        <v>2</v>
      </c>
      <c r="AX297">
        <v>39491490</v>
      </c>
      <c r="AY297">
        <v>1</v>
      </c>
      <c r="AZ297">
        <v>0</v>
      </c>
      <c r="BA297">
        <v>287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Y297*Source!I186</f>
        <v>5.7200000000000006</v>
      </c>
      <c r="CY297">
        <f>AB297</f>
        <v>52.89</v>
      </c>
      <c r="CZ297">
        <f>AF297</f>
        <v>8.1</v>
      </c>
      <c r="DA297">
        <f>AJ297</f>
        <v>6.53</v>
      </c>
      <c r="DB297">
        <v>0</v>
      </c>
    </row>
    <row r="298" spans="1:106" x14ac:dyDescent="0.2">
      <c r="A298">
        <f>ROW(Source!A186)</f>
        <v>186</v>
      </c>
      <c r="B298">
        <v>39099382</v>
      </c>
      <c r="C298">
        <v>39491469</v>
      </c>
      <c r="D298">
        <v>36800043</v>
      </c>
      <c r="E298">
        <v>1</v>
      </c>
      <c r="F298">
        <v>1</v>
      </c>
      <c r="G298">
        <v>1</v>
      </c>
      <c r="H298">
        <v>3</v>
      </c>
      <c r="I298" t="s">
        <v>814</v>
      </c>
      <c r="J298" t="s">
        <v>815</v>
      </c>
      <c r="K298" t="s">
        <v>816</v>
      </c>
      <c r="L298">
        <v>1346</v>
      </c>
      <c r="N298">
        <v>1009</v>
      </c>
      <c r="O298" t="s">
        <v>97</v>
      </c>
      <c r="P298" t="s">
        <v>97</v>
      </c>
      <c r="Q298">
        <v>1</v>
      </c>
      <c r="W298">
        <v>0</v>
      </c>
      <c r="X298">
        <v>618806536</v>
      </c>
      <c r="Y298">
        <v>6.0000000000000001E-3</v>
      </c>
      <c r="AA298">
        <v>293.64999999999998</v>
      </c>
      <c r="AB298">
        <v>0</v>
      </c>
      <c r="AC298">
        <v>0</v>
      </c>
      <c r="AD298">
        <v>0</v>
      </c>
      <c r="AE298">
        <v>44.97</v>
      </c>
      <c r="AF298">
        <v>0</v>
      </c>
      <c r="AG298">
        <v>0</v>
      </c>
      <c r="AH298">
        <v>0</v>
      </c>
      <c r="AI298">
        <v>6.53</v>
      </c>
      <c r="AJ298">
        <v>1</v>
      </c>
      <c r="AK298">
        <v>1</v>
      </c>
      <c r="AL298">
        <v>1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3</v>
      </c>
      <c r="AT298">
        <v>6.0000000000000001E-3</v>
      </c>
      <c r="AU298" t="s">
        <v>3</v>
      </c>
      <c r="AV298">
        <v>0</v>
      </c>
      <c r="AW298">
        <v>2</v>
      </c>
      <c r="AX298">
        <v>39491491</v>
      </c>
      <c r="AY298">
        <v>1</v>
      </c>
      <c r="AZ298">
        <v>0</v>
      </c>
      <c r="BA298">
        <v>288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Y298*Source!I186</f>
        <v>0.26400000000000001</v>
      </c>
      <c r="CY298">
        <f t="shared" ref="CY298:CY314" si="21">AA298</f>
        <v>293.64999999999998</v>
      </c>
      <c r="CZ298">
        <f t="shared" ref="CZ298:CZ314" si="22">AE298</f>
        <v>44.97</v>
      </c>
      <c r="DA298">
        <f t="shared" ref="DA298:DA314" si="23">AI298</f>
        <v>6.53</v>
      </c>
      <c r="DB298">
        <v>0</v>
      </c>
    </row>
    <row r="299" spans="1:106" x14ac:dyDescent="0.2">
      <c r="A299">
        <f>ROW(Source!A186)</f>
        <v>186</v>
      </c>
      <c r="B299">
        <v>39099382</v>
      </c>
      <c r="C299">
        <v>39491469</v>
      </c>
      <c r="D299">
        <v>36801775</v>
      </c>
      <c r="E299">
        <v>1</v>
      </c>
      <c r="F299">
        <v>1</v>
      </c>
      <c r="G299">
        <v>1</v>
      </c>
      <c r="H299">
        <v>3</v>
      </c>
      <c r="I299" t="s">
        <v>817</v>
      </c>
      <c r="J299" t="s">
        <v>818</v>
      </c>
      <c r="K299" t="s">
        <v>819</v>
      </c>
      <c r="L299">
        <v>1346</v>
      </c>
      <c r="N299">
        <v>1009</v>
      </c>
      <c r="O299" t="s">
        <v>97</v>
      </c>
      <c r="P299" t="s">
        <v>97</v>
      </c>
      <c r="Q299">
        <v>1</v>
      </c>
      <c r="W299">
        <v>0</v>
      </c>
      <c r="X299">
        <v>56922527</v>
      </c>
      <c r="Y299">
        <v>1E-3</v>
      </c>
      <c r="AA299">
        <v>75.099999999999994</v>
      </c>
      <c r="AB299">
        <v>0</v>
      </c>
      <c r="AC299">
        <v>0</v>
      </c>
      <c r="AD299">
        <v>0</v>
      </c>
      <c r="AE299">
        <v>11.5</v>
      </c>
      <c r="AF299">
        <v>0</v>
      </c>
      <c r="AG299">
        <v>0</v>
      </c>
      <c r="AH299">
        <v>0</v>
      </c>
      <c r="AI299">
        <v>6.53</v>
      </c>
      <c r="AJ299">
        <v>1</v>
      </c>
      <c r="AK299">
        <v>1</v>
      </c>
      <c r="AL299">
        <v>1</v>
      </c>
      <c r="AN299">
        <v>0</v>
      </c>
      <c r="AO299">
        <v>1</v>
      </c>
      <c r="AP299">
        <v>0</v>
      </c>
      <c r="AQ299">
        <v>0</v>
      </c>
      <c r="AR299">
        <v>0</v>
      </c>
      <c r="AS299" t="s">
        <v>3</v>
      </c>
      <c r="AT299">
        <v>1E-3</v>
      </c>
      <c r="AU299" t="s">
        <v>3</v>
      </c>
      <c r="AV299">
        <v>0</v>
      </c>
      <c r="AW299">
        <v>2</v>
      </c>
      <c r="AX299">
        <v>39491492</v>
      </c>
      <c r="AY299">
        <v>1</v>
      </c>
      <c r="AZ299">
        <v>0</v>
      </c>
      <c r="BA299">
        <v>289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Y299*Source!I186</f>
        <v>4.3999999999999997E-2</v>
      </c>
      <c r="CY299">
        <f t="shared" si="21"/>
        <v>75.099999999999994</v>
      </c>
      <c r="CZ299">
        <f t="shared" si="22"/>
        <v>11.5</v>
      </c>
      <c r="DA299">
        <f t="shared" si="23"/>
        <v>6.53</v>
      </c>
      <c r="DB299">
        <v>0</v>
      </c>
    </row>
    <row r="300" spans="1:106" x14ac:dyDescent="0.2">
      <c r="A300">
        <f>ROW(Source!A186)</f>
        <v>186</v>
      </c>
      <c r="B300">
        <v>39099382</v>
      </c>
      <c r="C300">
        <v>39491469</v>
      </c>
      <c r="D300">
        <v>36802094</v>
      </c>
      <c r="E300">
        <v>1</v>
      </c>
      <c r="F300">
        <v>1</v>
      </c>
      <c r="G300">
        <v>1</v>
      </c>
      <c r="H300">
        <v>3</v>
      </c>
      <c r="I300" t="s">
        <v>820</v>
      </c>
      <c r="J300" t="s">
        <v>821</v>
      </c>
      <c r="K300" t="s">
        <v>822</v>
      </c>
      <c r="L300">
        <v>1346</v>
      </c>
      <c r="N300">
        <v>1009</v>
      </c>
      <c r="O300" t="s">
        <v>97</v>
      </c>
      <c r="P300" t="s">
        <v>97</v>
      </c>
      <c r="Q300">
        <v>1</v>
      </c>
      <c r="W300">
        <v>0</v>
      </c>
      <c r="X300">
        <v>-1088866022</v>
      </c>
      <c r="Y300">
        <v>1.2E-2</v>
      </c>
      <c r="AA300">
        <v>198.51</v>
      </c>
      <c r="AB300">
        <v>0</v>
      </c>
      <c r="AC300">
        <v>0</v>
      </c>
      <c r="AD300">
        <v>0</v>
      </c>
      <c r="AE300">
        <v>30.4</v>
      </c>
      <c r="AF300">
        <v>0</v>
      </c>
      <c r="AG300">
        <v>0</v>
      </c>
      <c r="AH300">
        <v>0</v>
      </c>
      <c r="AI300">
        <v>6.53</v>
      </c>
      <c r="AJ300">
        <v>1</v>
      </c>
      <c r="AK300">
        <v>1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3</v>
      </c>
      <c r="AT300">
        <v>1.2E-2</v>
      </c>
      <c r="AU300" t="s">
        <v>3</v>
      </c>
      <c r="AV300">
        <v>0</v>
      </c>
      <c r="AW300">
        <v>2</v>
      </c>
      <c r="AX300">
        <v>39491493</v>
      </c>
      <c r="AY300">
        <v>1</v>
      </c>
      <c r="AZ300">
        <v>0</v>
      </c>
      <c r="BA300">
        <v>290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Y300*Source!I186</f>
        <v>0.52800000000000002</v>
      </c>
      <c r="CY300">
        <f t="shared" si="21"/>
        <v>198.51</v>
      </c>
      <c r="CZ300">
        <f t="shared" si="22"/>
        <v>30.4</v>
      </c>
      <c r="DA300">
        <f t="shared" si="23"/>
        <v>6.53</v>
      </c>
      <c r="DB300">
        <v>0</v>
      </c>
    </row>
    <row r="301" spans="1:106" x14ac:dyDescent="0.2">
      <c r="A301">
        <f>ROW(Source!A186)</f>
        <v>186</v>
      </c>
      <c r="B301">
        <v>39099382</v>
      </c>
      <c r="C301">
        <v>39491469</v>
      </c>
      <c r="D301">
        <v>36803258</v>
      </c>
      <c r="E301">
        <v>1</v>
      </c>
      <c r="F301">
        <v>1</v>
      </c>
      <c r="G301">
        <v>1</v>
      </c>
      <c r="H301">
        <v>3</v>
      </c>
      <c r="I301" t="s">
        <v>823</v>
      </c>
      <c r="J301" t="s">
        <v>824</v>
      </c>
      <c r="K301" t="s">
        <v>825</v>
      </c>
      <c r="L301">
        <v>1346</v>
      </c>
      <c r="N301">
        <v>1009</v>
      </c>
      <c r="O301" t="s">
        <v>97</v>
      </c>
      <c r="P301" t="s">
        <v>97</v>
      </c>
      <c r="Q301">
        <v>1</v>
      </c>
      <c r="W301">
        <v>0</v>
      </c>
      <c r="X301">
        <v>586013393</v>
      </c>
      <c r="Y301">
        <v>7.0000000000000007E-2</v>
      </c>
      <c r="AA301">
        <v>69.02</v>
      </c>
      <c r="AB301">
        <v>0</v>
      </c>
      <c r="AC301">
        <v>0</v>
      </c>
      <c r="AD301">
        <v>0</v>
      </c>
      <c r="AE301">
        <v>10.57</v>
      </c>
      <c r="AF301">
        <v>0</v>
      </c>
      <c r="AG301">
        <v>0</v>
      </c>
      <c r="AH301">
        <v>0</v>
      </c>
      <c r="AI301">
        <v>6.53</v>
      </c>
      <c r="AJ301">
        <v>1</v>
      </c>
      <c r="AK301">
        <v>1</v>
      </c>
      <c r="AL301">
        <v>1</v>
      </c>
      <c r="AN301">
        <v>0</v>
      </c>
      <c r="AO301">
        <v>1</v>
      </c>
      <c r="AP301">
        <v>0</v>
      </c>
      <c r="AQ301">
        <v>0</v>
      </c>
      <c r="AR301">
        <v>0</v>
      </c>
      <c r="AS301" t="s">
        <v>3</v>
      </c>
      <c r="AT301">
        <v>7.0000000000000007E-2</v>
      </c>
      <c r="AU301" t="s">
        <v>3</v>
      </c>
      <c r="AV301">
        <v>0</v>
      </c>
      <c r="AW301">
        <v>2</v>
      </c>
      <c r="AX301">
        <v>39491494</v>
      </c>
      <c r="AY301">
        <v>1</v>
      </c>
      <c r="AZ301">
        <v>0</v>
      </c>
      <c r="BA301">
        <v>291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Y301*Source!I186</f>
        <v>3.08</v>
      </c>
      <c r="CY301">
        <f t="shared" si="21"/>
        <v>69.02</v>
      </c>
      <c r="CZ301">
        <f t="shared" si="22"/>
        <v>10.57</v>
      </c>
      <c r="DA301">
        <f t="shared" si="23"/>
        <v>6.53</v>
      </c>
      <c r="DB301">
        <v>0</v>
      </c>
    </row>
    <row r="302" spans="1:106" x14ac:dyDescent="0.2">
      <c r="A302">
        <f>ROW(Source!A186)</f>
        <v>186</v>
      </c>
      <c r="B302">
        <v>39099382</v>
      </c>
      <c r="C302">
        <v>39491469</v>
      </c>
      <c r="D302">
        <v>36804448</v>
      </c>
      <c r="E302">
        <v>1</v>
      </c>
      <c r="F302">
        <v>1</v>
      </c>
      <c r="G302">
        <v>1</v>
      </c>
      <c r="H302">
        <v>3</v>
      </c>
      <c r="I302" t="s">
        <v>826</v>
      </c>
      <c r="J302" t="s">
        <v>827</v>
      </c>
      <c r="K302" t="s">
        <v>828</v>
      </c>
      <c r="L302">
        <v>1346</v>
      </c>
      <c r="N302">
        <v>1009</v>
      </c>
      <c r="O302" t="s">
        <v>97</v>
      </c>
      <c r="P302" t="s">
        <v>97</v>
      </c>
      <c r="Q302">
        <v>1</v>
      </c>
      <c r="W302">
        <v>0</v>
      </c>
      <c r="X302">
        <v>103900845</v>
      </c>
      <c r="Y302">
        <v>4.9000000000000002E-2</v>
      </c>
      <c r="AA302">
        <v>59.03</v>
      </c>
      <c r="AB302">
        <v>0</v>
      </c>
      <c r="AC302">
        <v>0</v>
      </c>
      <c r="AD302">
        <v>0</v>
      </c>
      <c r="AE302">
        <v>9.0399999999999991</v>
      </c>
      <c r="AF302">
        <v>0</v>
      </c>
      <c r="AG302">
        <v>0</v>
      </c>
      <c r="AH302">
        <v>0</v>
      </c>
      <c r="AI302">
        <v>6.53</v>
      </c>
      <c r="AJ302">
        <v>1</v>
      </c>
      <c r="AK302">
        <v>1</v>
      </c>
      <c r="AL302">
        <v>1</v>
      </c>
      <c r="AN302">
        <v>0</v>
      </c>
      <c r="AO302">
        <v>1</v>
      </c>
      <c r="AP302">
        <v>0</v>
      </c>
      <c r="AQ302">
        <v>0</v>
      </c>
      <c r="AR302">
        <v>0</v>
      </c>
      <c r="AS302" t="s">
        <v>3</v>
      </c>
      <c r="AT302">
        <v>4.9000000000000002E-2</v>
      </c>
      <c r="AU302" t="s">
        <v>3</v>
      </c>
      <c r="AV302">
        <v>0</v>
      </c>
      <c r="AW302">
        <v>2</v>
      </c>
      <c r="AX302">
        <v>39491495</v>
      </c>
      <c r="AY302">
        <v>1</v>
      </c>
      <c r="AZ302">
        <v>0</v>
      </c>
      <c r="BA302">
        <v>292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Y302*Source!I186</f>
        <v>2.1560000000000001</v>
      </c>
      <c r="CY302">
        <f t="shared" si="21"/>
        <v>59.03</v>
      </c>
      <c r="CZ302">
        <f t="shared" si="22"/>
        <v>9.0399999999999991</v>
      </c>
      <c r="DA302">
        <f t="shared" si="23"/>
        <v>6.53</v>
      </c>
      <c r="DB302">
        <v>0</v>
      </c>
    </row>
    <row r="303" spans="1:106" x14ac:dyDescent="0.2">
      <c r="A303">
        <f>ROW(Source!A186)</f>
        <v>186</v>
      </c>
      <c r="B303">
        <v>39099382</v>
      </c>
      <c r="C303">
        <v>39491469</v>
      </c>
      <c r="D303">
        <v>36804580</v>
      </c>
      <c r="E303">
        <v>1</v>
      </c>
      <c r="F303">
        <v>1</v>
      </c>
      <c r="G303">
        <v>1</v>
      </c>
      <c r="H303">
        <v>3</v>
      </c>
      <c r="I303" t="s">
        <v>829</v>
      </c>
      <c r="J303" t="s">
        <v>830</v>
      </c>
      <c r="K303" t="s">
        <v>831</v>
      </c>
      <c r="L303">
        <v>1355</v>
      </c>
      <c r="N303">
        <v>1010</v>
      </c>
      <c r="O303" t="s">
        <v>120</v>
      </c>
      <c r="P303" t="s">
        <v>120</v>
      </c>
      <c r="Q303">
        <v>100</v>
      </c>
      <c r="W303">
        <v>0</v>
      </c>
      <c r="X303">
        <v>1794244060</v>
      </c>
      <c r="Y303">
        <v>1.4E-2</v>
      </c>
      <c r="AA303">
        <v>561.58000000000004</v>
      </c>
      <c r="AB303">
        <v>0</v>
      </c>
      <c r="AC303">
        <v>0</v>
      </c>
      <c r="AD303">
        <v>0</v>
      </c>
      <c r="AE303">
        <v>86</v>
      </c>
      <c r="AF303">
        <v>0</v>
      </c>
      <c r="AG303">
        <v>0</v>
      </c>
      <c r="AH303">
        <v>0</v>
      </c>
      <c r="AI303">
        <v>6.53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0</v>
      </c>
      <c r="AQ303">
        <v>0</v>
      </c>
      <c r="AR303">
        <v>0</v>
      </c>
      <c r="AS303" t="s">
        <v>3</v>
      </c>
      <c r="AT303">
        <v>1.4E-2</v>
      </c>
      <c r="AU303" t="s">
        <v>3</v>
      </c>
      <c r="AV303">
        <v>0</v>
      </c>
      <c r="AW303">
        <v>2</v>
      </c>
      <c r="AX303">
        <v>39491496</v>
      </c>
      <c r="AY303">
        <v>1</v>
      </c>
      <c r="AZ303">
        <v>0</v>
      </c>
      <c r="BA303">
        <v>293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Y303*Source!I186</f>
        <v>0.61599999999999999</v>
      </c>
      <c r="CY303">
        <f t="shared" si="21"/>
        <v>561.58000000000004</v>
      </c>
      <c r="CZ303">
        <f t="shared" si="22"/>
        <v>86</v>
      </c>
      <c r="DA303">
        <f t="shared" si="23"/>
        <v>6.53</v>
      </c>
      <c r="DB303">
        <v>0</v>
      </c>
    </row>
    <row r="304" spans="1:106" x14ac:dyDescent="0.2">
      <c r="A304">
        <f>ROW(Source!A186)</f>
        <v>186</v>
      </c>
      <c r="B304">
        <v>39099382</v>
      </c>
      <c r="C304">
        <v>39491469</v>
      </c>
      <c r="D304">
        <v>36805500</v>
      </c>
      <c r="E304">
        <v>1</v>
      </c>
      <c r="F304">
        <v>1</v>
      </c>
      <c r="G304">
        <v>1</v>
      </c>
      <c r="H304">
        <v>3</v>
      </c>
      <c r="I304" t="s">
        <v>832</v>
      </c>
      <c r="J304" t="s">
        <v>833</v>
      </c>
      <c r="K304" t="s">
        <v>834</v>
      </c>
      <c r="L304">
        <v>1346</v>
      </c>
      <c r="N304">
        <v>1009</v>
      </c>
      <c r="O304" t="s">
        <v>97</v>
      </c>
      <c r="P304" t="s">
        <v>97</v>
      </c>
      <c r="Q304">
        <v>1</v>
      </c>
      <c r="W304">
        <v>0</v>
      </c>
      <c r="X304">
        <v>-856710481</v>
      </c>
      <c r="Y304">
        <v>1E-3</v>
      </c>
      <c r="AA304">
        <v>868.82</v>
      </c>
      <c r="AB304">
        <v>0</v>
      </c>
      <c r="AC304">
        <v>0</v>
      </c>
      <c r="AD304">
        <v>0</v>
      </c>
      <c r="AE304">
        <v>133.05000000000001</v>
      </c>
      <c r="AF304">
        <v>0</v>
      </c>
      <c r="AG304">
        <v>0</v>
      </c>
      <c r="AH304">
        <v>0</v>
      </c>
      <c r="AI304">
        <v>6.53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3</v>
      </c>
      <c r="AT304">
        <v>1E-3</v>
      </c>
      <c r="AU304" t="s">
        <v>3</v>
      </c>
      <c r="AV304">
        <v>0</v>
      </c>
      <c r="AW304">
        <v>2</v>
      </c>
      <c r="AX304">
        <v>39491497</v>
      </c>
      <c r="AY304">
        <v>1</v>
      </c>
      <c r="AZ304">
        <v>0</v>
      </c>
      <c r="BA304">
        <v>294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Y304*Source!I186</f>
        <v>4.3999999999999997E-2</v>
      </c>
      <c r="CY304">
        <f t="shared" si="21"/>
        <v>868.82</v>
      </c>
      <c r="CZ304">
        <f t="shared" si="22"/>
        <v>133.05000000000001</v>
      </c>
      <c r="DA304">
        <f t="shared" si="23"/>
        <v>6.53</v>
      </c>
      <c r="DB304">
        <v>0</v>
      </c>
    </row>
    <row r="305" spans="1:106" x14ac:dyDescent="0.2">
      <c r="A305">
        <f>ROW(Source!A186)</f>
        <v>186</v>
      </c>
      <c r="B305">
        <v>39099382</v>
      </c>
      <c r="C305">
        <v>39491469</v>
      </c>
      <c r="D305">
        <v>36823140</v>
      </c>
      <c r="E305">
        <v>1</v>
      </c>
      <c r="F305">
        <v>1</v>
      </c>
      <c r="G305">
        <v>1</v>
      </c>
      <c r="H305">
        <v>3</v>
      </c>
      <c r="I305" t="s">
        <v>835</v>
      </c>
      <c r="J305" t="s">
        <v>836</v>
      </c>
      <c r="K305" t="s">
        <v>837</v>
      </c>
      <c r="L305">
        <v>1348</v>
      </c>
      <c r="N305">
        <v>1009</v>
      </c>
      <c r="O305" t="s">
        <v>189</v>
      </c>
      <c r="P305" t="s">
        <v>189</v>
      </c>
      <c r="Q305">
        <v>1000</v>
      </c>
      <c r="W305">
        <v>0</v>
      </c>
      <c r="X305">
        <v>426000481</v>
      </c>
      <c r="Y305">
        <v>1E-3</v>
      </c>
      <c r="AA305">
        <v>75095</v>
      </c>
      <c r="AB305">
        <v>0</v>
      </c>
      <c r="AC305">
        <v>0</v>
      </c>
      <c r="AD305">
        <v>0</v>
      </c>
      <c r="AE305">
        <v>11500</v>
      </c>
      <c r="AF305">
        <v>0</v>
      </c>
      <c r="AG305">
        <v>0</v>
      </c>
      <c r="AH305">
        <v>0</v>
      </c>
      <c r="AI305">
        <v>6.53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3</v>
      </c>
      <c r="AT305">
        <v>1E-3</v>
      </c>
      <c r="AU305" t="s">
        <v>3</v>
      </c>
      <c r="AV305">
        <v>0</v>
      </c>
      <c r="AW305">
        <v>2</v>
      </c>
      <c r="AX305">
        <v>39491498</v>
      </c>
      <c r="AY305">
        <v>1</v>
      </c>
      <c r="AZ305">
        <v>0</v>
      </c>
      <c r="BA305">
        <v>295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Y305*Source!I186</f>
        <v>4.3999999999999997E-2</v>
      </c>
      <c r="CY305">
        <f t="shared" si="21"/>
        <v>75095</v>
      </c>
      <c r="CZ305">
        <f t="shared" si="22"/>
        <v>11500</v>
      </c>
      <c r="DA305">
        <f t="shared" si="23"/>
        <v>6.53</v>
      </c>
      <c r="DB305">
        <v>0</v>
      </c>
    </row>
    <row r="306" spans="1:106" x14ac:dyDescent="0.2">
      <c r="A306">
        <f>ROW(Source!A186)</f>
        <v>186</v>
      </c>
      <c r="B306">
        <v>39099382</v>
      </c>
      <c r="C306">
        <v>39491469</v>
      </c>
      <c r="D306">
        <v>36838317</v>
      </c>
      <c r="E306">
        <v>1</v>
      </c>
      <c r="F306">
        <v>1</v>
      </c>
      <c r="G306">
        <v>1</v>
      </c>
      <c r="H306">
        <v>3</v>
      </c>
      <c r="I306" t="s">
        <v>838</v>
      </c>
      <c r="J306" t="s">
        <v>839</v>
      </c>
      <c r="K306" t="s">
        <v>840</v>
      </c>
      <c r="L306">
        <v>1346</v>
      </c>
      <c r="N306">
        <v>1009</v>
      </c>
      <c r="O306" t="s">
        <v>97</v>
      </c>
      <c r="P306" t="s">
        <v>97</v>
      </c>
      <c r="Q306">
        <v>1</v>
      </c>
      <c r="W306">
        <v>0</v>
      </c>
      <c r="X306">
        <v>210558753</v>
      </c>
      <c r="Y306">
        <v>3.5999999999999997E-2</v>
      </c>
      <c r="AA306">
        <v>186.76</v>
      </c>
      <c r="AB306">
        <v>0</v>
      </c>
      <c r="AC306">
        <v>0</v>
      </c>
      <c r="AD306">
        <v>0</v>
      </c>
      <c r="AE306">
        <v>28.6</v>
      </c>
      <c r="AF306">
        <v>0</v>
      </c>
      <c r="AG306">
        <v>0</v>
      </c>
      <c r="AH306">
        <v>0</v>
      </c>
      <c r="AI306">
        <v>6.53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3</v>
      </c>
      <c r="AT306">
        <v>3.5999999999999997E-2</v>
      </c>
      <c r="AU306" t="s">
        <v>3</v>
      </c>
      <c r="AV306">
        <v>0</v>
      </c>
      <c r="AW306">
        <v>2</v>
      </c>
      <c r="AX306">
        <v>39491499</v>
      </c>
      <c r="AY306">
        <v>1</v>
      </c>
      <c r="AZ306">
        <v>0</v>
      </c>
      <c r="BA306">
        <v>296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Y306*Source!I186</f>
        <v>1.5839999999999999</v>
      </c>
      <c r="CY306">
        <f t="shared" si="21"/>
        <v>186.76</v>
      </c>
      <c r="CZ306">
        <f t="shared" si="22"/>
        <v>28.6</v>
      </c>
      <c r="DA306">
        <f t="shared" si="23"/>
        <v>6.53</v>
      </c>
      <c r="DB306">
        <v>0</v>
      </c>
    </row>
    <row r="307" spans="1:106" x14ac:dyDescent="0.2">
      <c r="A307">
        <f>ROW(Source!A186)</f>
        <v>186</v>
      </c>
      <c r="B307">
        <v>39099382</v>
      </c>
      <c r="C307">
        <v>39491469</v>
      </c>
      <c r="D307">
        <v>36838470</v>
      </c>
      <c r="E307">
        <v>1</v>
      </c>
      <c r="F307">
        <v>1</v>
      </c>
      <c r="G307">
        <v>1</v>
      </c>
      <c r="H307">
        <v>3</v>
      </c>
      <c r="I307" t="s">
        <v>841</v>
      </c>
      <c r="J307" t="s">
        <v>842</v>
      </c>
      <c r="K307" t="s">
        <v>843</v>
      </c>
      <c r="L307">
        <v>1346</v>
      </c>
      <c r="N307">
        <v>1009</v>
      </c>
      <c r="O307" t="s">
        <v>97</v>
      </c>
      <c r="P307" t="s">
        <v>97</v>
      </c>
      <c r="Q307">
        <v>1</v>
      </c>
      <c r="W307">
        <v>0</v>
      </c>
      <c r="X307">
        <v>-1274984028</v>
      </c>
      <c r="Y307">
        <v>6.0000000000000001E-3</v>
      </c>
      <c r="AA307">
        <v>232.66</v>
      </c>
      <c r="AB307">
        <v>0</v>
      </c>
      <c r="AC307">
        <v>0</v>
      </c>
      <c r="AD307">
        <v>0</v>
      </c>
      <c r="AE307">
        <v>35.630000000000003</v>
      </c>
      <c r="AF307">
        <v>0</v>
      </c>
      <c r="AG307">
        <v>0</v>
      </c>
      <c r="AH307">
        <v>0</v>
      </c>
      <c r="AI307">
        <v>6.53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0</v>
      </c>
      <c r="AQ307">
        <v>0</v>
      </c>
      <c r="AR307">
        <v>0</v>
      </c>
      <c r="AS307" t="s">
        <v>3</v>
      </c>
      <c r="AT307">
        <v>6.0000000000000001E-3</v>
      </c>
      <c r="AU307" t="s">
        <v>3</v>
      </c>
      <c r="AV307">
        <v>0</v>
      </c>
      <c r="AW307">
        <v>2</v>
      </c>
      <c r="AX307">
        <v>39491500</v>
      </c>
      <c r="AY307">
        <v>1</v>
      </c>
      <c r="AZ307">
        <v>0</v>
      </c>
      <c r="BA307">
        <v>297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Y307*Source!I186</f>
        <v>0.26400000000000001</v>
      </c>
      <c r="CY307">
        <f t="shared" si="21"/>
        <v>232.66</v>
      </c>
      <c r="CZ307">
        <f t="shared" si="22"/>
        <v>35.630000000000003</v>
      </c>
      <c r="DA307">
        <f t="shared" si="23"/>
        <v>6.53</v>
      </c>
      <c r="DB307">
        <v>0</v>
      </c>
    </row>
    <row r="308" spans="1:106" x14ac:dyDescent="0.2">
      <c r="A308">
        <f>ROW(Source!A186)</f>
        <v>186</v>
      </c>
      <c r="B308">
        <v>39099382</v>
      </c>
      <c r="C308">
        <v>39491469</v>
      </c>
      <c r="D308">
        <v>36851945</v>
      </c>
      <c r="E308">
        <v>1</v>
      </c>
      <c r="F308">
        <v>1</v>
      </c>
      <c r="G308">
        <v>1</v>
      </c>
      <c r="H308">
        <v>3</v>
      </c>
      <c r="I308" t="s">
        <v>844</v>
      </c>
      <c r="J308" t="s">
        <v>845</v>
      </c>
      <c r="K308" t="s">
        <v>846</v>
      </c>
      <c r="L308">
        <v>1358</v>
      </c>
      <c r="N308">
        <v>1010</v>
      </c>
      <c r="O308" t="s">
        <v>417</v>
      </c>
      <c r="P308" t="s">
        <v>417</v>
      </c>
      <c r="Q308">
        <v>10</v>
      </c>
      <c r="W308">
        <v>0</v>
      </c>
      <c r="X308">
        <v>1386890308</v>
      </c>
      <c r="Y308">
        <v>0.1</v>
      </c>
      <c r="AA308">
        <v>254.67</v>
      </c>
      <c r="AB308">
        <v>0</v>
      </c>
      <c r="AC308">
        <v>0</v>
      </c>
      <c r="AD308">
        <v>0</v>
      </c>
      <c r="AE308">
        <v>39</v>
      </c>
      <c r="AF308">
        <v>0</v>
      </c>
      <c r="AG308">
        <v>0</v>
      </c>
      <c r="AH308">
        <v>0</v>
      </c>
      <c r="AI308">
        <v>6.53</v>
      </c>
      <c r="AJ308">
        <v>1</v>
      </c>
      <c r="AK308">
        <v>1</v>
      </c>
      <c r="AL308">
        <v>1</v>
      </c>
      <c r="AN308">
        <v>0</v>
      </c>
      <c r="AO308">
        <v>1</v>
      </c>
      <c r="AP308">
        <v>0</v>
      </c>
      <c r="AQ308">
        <v>0</v>
      </c>
      <c r="AR308">
        <v>0</v>
      </c>
      <c r="AS308" t="s">
        <v>3</v>
      </c>
      <c r="AT308">
        <v>0.1</v>
      </c>
      <c r="AU308" t="s">
        <v>3</v>
      </c>
      <c r="AV308">
        <v>0</v>
      </c>
      <c r="AW308">
        <v>2</v>
      </c>
      <c r="AX308">
        <v>39491501</v>
      </c>
      <c r="AY308">
        <v>1</v>
      </c>
      <c r="AZ308">
        <v>0</v>
      </c>
      <c r="BA308">
        <v>298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Y308*Source!I186</f>
        <v>4.4000000000000004</v>
      </c>
      <c r="CY308">
        <f t="shared" si="21"/>
        <v>254.67</v>
      </c>
      <c r="CZ308">
        <f t="shared" si="22"/>
        <v>39</v>
      </c>
      <c r="DA308">
        <f t="shared" si="23"/>
        <v>6.53</v>
      </c>
      <c r="DB308">
        <v>0</v>
      </c>
    </row>
    <row r="309" spans="1:106" x14ac:dyDescent="0.2">
      <c r="A309">
        <f>ROW(Source!A186)</f>
        <v>186</v>
      </c>
      <c r="B309">
        <v>39099382</v>
      </c>
      <c r="C309">
        <v>39491469</v>
      </c>
      <c r="D309">
        <v>36873428</v>
      </c>
      <c r="E309">
        <v>1</v>
      </c>
      <c r="F309">
        <v>1</v>
      </c>
      <c r="G309">
        <v>1</v>
      </c>
      <c r="H309">
        <v>3</v>
      </c>
      <c r="I309" t="s">
        <v>487</v>
      </c>
      <c r="J309" t="s">
        <v>489</v>
      </c>
      <c r="K309" t="s">
        <v>488</v>
      </c>
      <c r="L309">
        <v>1354</v>
      </c>
      <c r="N309">
        <v>1010</v>
      </c>
      <c r="O309" t="s">
        <v>37</v>
      </c>
      <c r="P309" t="s">
        <v>37</v>
      </c>
      <c r="Q309">
        <v>1</v>
      </c>
      <c r="W309">
        <v>0</v>
      </c>
      <c r="X309">
        <v>1012048153</v>
      </c>
      <c r="Y309">
        <v>0.15909100000000001</v>
      </c>
      <c r="AA309">
        <v>480.8</v>
      </c>
      <c r="AB309">
        <v>0</v>
      </c>
      <c r="AC309">
        <v>0</v>
      </c>
      <c r="AD309">
        <v>0</v>
      </c>
      <c r="AE309">
        <v>73.63</v>
      </c>
      <c r="AF309">
        <v>0</v>
      </c>
      <c r="AG309">
        <v>0</v>
      </c>
      <c r="AH309">
        <v>0</v>
      </c>
      <c r="AI309">
        <v>6.53</v>
      </c>
      <c r="AJ309">
        <v>1</v>
      </c>
      <c r="AK309">
        <v>1</v>
      </c>
      <c r="AL309">
        <v>1</v>
      </c>
      <c r="AN309">
        <v>0</v>
      </c>
      <c r="AO309">
        <v>0</v>
      </c>
      <c r="AP309">
        <v>0</v>
      </c>
      <c r="AQ309">
        <v>0</v>
      </c>
      <c r="AR309">
        <v>0</v>
      </c>
      <c r="AS309" t="s">
        <v>3</v>
      </c>
      <c r="AT309">
        <v>0.15909100000000001</v>
      </c>
      <c r="AU309" t="s">
        <v>3</v>
      </c>
      <c r="AV309">
        <v>0</v>
      </c>
      <c r="AW309">
        <v>1</v>
      </c>
      <c r="AX309">
        <v>-1</v>
      </c>
      <c r="AY309">
        <v>0</v>
      </c>
      <c r="AZ309">
        <v>0</v>
      </c>
      <c r="BA309" t="s">
        <v>3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Y309*Source!I186</f>
        <v>7.0000040000000006</v>
      </c>
      <c r="CY309">
        <f t="shared" si="21"/>
        <v>480.8</v>
      </c>
      <c r="CZ309">
        <f t="shared" si="22"/>
        <v>73.63</v>
      </c>
      <c r="DA309">
        <f t="shared" si="23"/>
        <v>6.53</v>
      </c>
      <c r="DB309">
        <v>0</v>
      </c>
    </row>
    <row r="310" spans="1:106" x14ac:dyDescent="0.2">
      <c r="A310">
        <f>ROW(Source!A186)</f>
        <v>186</v>
      </c>
      <c r="B310">
        <v>39099382</v>
      </c>
      <c r="C310">
        <v>39491469</v>
      </c>
      <c r="D310">
        <v>36873429</v>
      </c>
      <c r="E310">
        <v>1</v>
      </c>
      <c r="F310">
        <v>1</v>
      </c>
      <c r="G310">
        <v>1</v>
      </c>
      <c r="H310">
        <v>3</v>
      </c>
      <c r="I310" t="s">
        <v>483</v>
      </c>
      <c r="J310" t="s">
        <v>485</v>
      </c>
      <c r="K310" t="s">
        <v>484</v>
      </c>
      <c r="L310">
        <v>1354</v>
      </c>
      <c r="N310">
        <v>1010</v>
      </c>
      <c r="O310" t="s">
        <v>37</v>
      </c>
      <c r="P310" t="s">
        <v>37</v>
      </c>
      <c r="Q310">
        <v>1</v>
      </c>
      <c r="W310">
        <v>0</v>
      </c>
      <c r="X310">
        <v>1587256181</v>
      </c>
      <c r="Y310">
        <v>0.36363600000000001</v>
      </c>
      <c r="AA310">
        <v>434.11</v>
      </c>
      <c r="AB310">
        <v>0</v>
      </c>
      <c r="AC310">
        <v>0</v>
      </c>
      <c r="AD310">
        <v>0</v>
      </c>
      <c r="AE310">
        <v>66.48</v>
      </c>
      <c r="AF310">
        <v>0</v>
      </c>
      <c r="AG310">
        <v>0</v>
      </c>
      <c r="AH310">
        <v>0</v>
      </c>
      <c r="AI310">
        <v>6.53</v>
      </c>
      <c r="AJ310">
        <v>1</v>
      </c>
      <c r="AK310">
        <v>1</v>
      </c>
      <c r="AL310">
        <v>1</v>
      </c>
      <c r="AN310">
        <v>0</v>
      </c>
      <c r="AO310">
        <v>0</v>
      </c>
      <c r="AP310">
        <v>0</v>
      </c>
      <c r="AQ310">
        <v>0</v>
      </c>
      <c r="AR310">
        <v>0</v>
      </c>
      <c r="AS310" t="s">
        <v>3</v>
      </c>
      <c r="AT310">
        <v>0.36363600000000001</v>
      </c>
      <c r="AU310" t="s">
        <v>3</v>
      </c>
      <c r="AV310">
        <v>0</v>
      </c>
      <c r="AW310">
        <v>1</v>
      </c>
      <c r="AX310">
        <v>-1</v>
      </c>
      <c r="AY310">
        <v>0</v>
      </c>
      <c r="AZ310">
        <v>0</v>
      </c>
      <c r="BA310" t="s">
        <v>3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Y310*Source!I186</f>
        <v>15.999984000000001</v>
      </c>
      <c r="CY310">
        <f t="shared" si="21"/>
        <v>434.11</v>
      </c>
      <c r="CZ310">
        <f t="shared" si="22"/>
        <v>66.48</v>
      </c>
      <c r="DA310">
        <f t="shared" si="23"/>
        <v>6.53</v>
      </c>
      <c r="DB310">
        <v>0</v>
      </c>
    </row>
    <row r="311" spans="1:106" x14ac:dyDescent="0.2">
      <c r="A311">
        <f>ROW(Source!A186)</f>
        <v>186</v>
      </c>
      <c r="B311">
        <v>39099382</v>
      </c>
      <c r="C311">
        <v>39491469</v>
      </c>
      <c r="D311">
        <v>36873430</v>
      </c>
      <c r="E311">
        <v>1</v>
      </c>
      <c r="F311">
        <v>1</v>
      </c>
      <c r="G311">
        <v>1</v>
      </c>
      <c r="H311">
        <v>3</v>
      </c>
      <c r="I311" t="s">
        <v>499</v>
      </c>
      <c r="J311" t="s">
        <v>501</v>
      </c>
      <c r="K311" t="s">
        <v>500</v>
      </c>
      <c r="L311">
        <v>1354</v>
      </c>
      <c r="N311">
        <v>1010</v>
      </c>
      <c r="O311" t="s">
        <v>37</v>
      </c>
      <c r="P311" t="s">
        <v>37</v>
      </c>
      <c r="Q311">
        <v>1</v>
      </c>
      <c r="W311">
        <v>0</v>
      </c>
      <c r="X311">
        <v>470103916</v>
      </c>
      <c r="Y311">
        <v>0.15909100000000001</v>
      </c>
      <c r="AA311">
        <v>478.58</v>
      </c>
      <c r="AB311">
        <v>0</v>
      </c>
      <c r="AC311">
        <v>0</v>
      </c>
      <c r="AD311">
        <v>0</v>
      </c>
      <c r="AE311">
        <v>73.290000000000006</v>
      </c>
      <c r="AF311">
        <v>0</v>
      </c>
      <c r="AG311">
        <v>0</v>
      </c>
      <c r="AH311">
        <v>0</v>
      </c>
      <c r="AI311">
        <v>6.53</v>
      </c>
      <c r="AJ311">
        <v>1</v>
      </c>
      <c r="AK311">
        <v>1</v>
      </c>
      <c r="AL311">
        <v>1</v>
      </c>
      <c r="AN311">
        <v>0</v>
      </c>
      <c r="AO311">
        <v>0</v>
      </c>
      <c r="AP311">
        <v>0</v>
      </c>
      <c r="AQ311">
        <v>0</v>
      </c>
      <c r="AR311">
        <v>0</v>
      </c>
      <c r="AS311" t="s">
        <v>3</v>
      </c>
      <c r="AT311">
        <v>0.15909100000000001</v>
      </c>
      <c r="AU311" t="s">
        <v>3</v>
      </c>
      <c r="AV311">
        <v>0</v>
      </c>
      <c r="AW311">
        <v>1</v>
      </c>
      <c r="AX311">
        <v>-1</v>
      </c>
      <c r="AY311">
        <v>0</v>
      </c>
      <c r="AZ311">
        <v>0</v>
      </c>
      <c r="BA311" t="s">
        <v>3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Y311*Source!I186</f>
        <v>7.0000040000000006</v>
      </c>
      <c r="CY311">
        <f t="shared" si="21"/>
        <v>478.58</v>
      </c>
      <c r="CZ311">
        <f t="shared" si="22"/>
        <v>73.290000000000006</v>
      </c>
      <c r="DA311">
        <f t="shared" si="23"/>
        <v>6.53</v>
      </c>
      <c r="DB311">
        <v>0</v>
      </c>
    </row>
    <row r="312" spans="1:106" x14ac:dyDescent="0.2">
      <c r="A312">
        <f>ROW(Source!A186)</f>
        <v>186</v>
      </c>
      <c r="B312">
        <v>39099382</v>
      </c>
      <c r="C312">
        <v>39491469</v>
      </c>
      <c r="D312">
        <v>36873444</v>
      </c>
      <c r="E312">
        <v>1</v>
      </c>
      <c r="F312">
        <v>1</v>
      </c>
      <c r="G312">
        <v>1</v>
      </c>
      <c r="H312">
        <v>3</v>
      </c>
      <c r="I312" t="s">
        <v>491</v>
      </c>
      <c r="J312" t="s">
        <v>493</v>
      </c>
      <c r="K312" t="s">
        <v>492</v>
      </c>
      <c r="L312">
        <v>1354</v>
      </c>
      <c r="N312">
        <v>1010</v>
      </c>
      <c r="O312" t="s">
        <v>37</v>
      </c>
      <c r="P312" t="s">
        <v>37</v>
      </c>
      <c r="Q312">
        <v>1</v>
      </c>
      <c r="W312">
        <v>0</v>
      </c>
      <c r="X312">
        <v>-476651515</v>
      </c>
      <c r="Y312">
        <v>0.15909100000000001</v>
      </c>
      <c r="AA312">
        <v>1510.39</v>
      </c>
      <c r="AB312">
        <v>0</v>
      </c>
      <c r="AC312">
        <v>0</v>
      </c>
      <c r="AD312">
        <v>0</v>
      </c>
      <c r="AE312">
        <v>231.3</v>
      </c>
      <c r="AF312">
        <v>0</v>
      </c>
      <c r="AG312">
        <v>0</v>
      </c>
      <c r="AH312">
        <v>0</v>
      </c>
      <c r="AI312">
        <v>6.53</v>
      </c>
      <c r="AJ312">
        <v>1</v>
      </c>
      <c r="AK312">
        <v>1</v>
      </c>
      <c r="AL312">
        <v>1</v>
      </c>
      <c r="AN312">
        <v>0</v>
      </c>
      <c r="AO312">
        <v>0</v>
      </c>
      <c r="AP312">
        <v>0</v>
      </c>
      <c r="AQ312">
        <v>0</v>
      </c>
      <c r="AR312">
        <v>0</v>
      </c>
      <c r="AS312" t="s">
        <v>3</v>
      </c>
      <c r="AT312">
        <v>0.15909100000000001</v>
      </c>
      <c r="AU312" t="s">
        <v>3</v>
      </c>
      <c r="AV312">
        <v>0</v>
      </c>
      <c r="AW312">
        <v>1</v>
      </c>
      <c r="AX312">
        <v>-1</v>
      </c>
      <c r="AY312">
        <v>0</v>
      </c>
      <c r="AZ312">
        <v>0</v>
      </c>
      <c r="BA312" t="s">
        <v>3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Y312*Source!I186</f>
        <v>7.0000040000000006</v>
      </c>
      <c r="CY312">
        <f t="shared" si="21"/>
        <v>1510.39</v>
      </c>
      <c r="CZ312">
        <f t="shared" si="22"/>
        <v>231.3</v>
      </c>
      <c r="DA312">
        <f t="shared" si="23"/>
        <v>6.53</v>
      </c>
      <c r="DB312">
        <v>0</v>
      </c>
    </row>
    <row r="313" spans="1:106" x14ac:dyDescent="0.2">
      <c r="A313">
        <f>ROW(Source!A186)</f>
        <v>186</v>
      </c>
      <c r="B313">
        <v>39099382</v>
      </c>
      <c r="C313">
        <v>39491469</v>
      </c>
      <c r="D313">
        <v>36873446</v>
      </c>
      <c r="E313">
        <v>1</v>
      </c>
      <c r="F313">
        <v>1</v>
      </c>
      <c r="G313">
        <v>1</v>
      </c>
      <c r="H313">
        <v>3</v>
      </c>
      <c r="I313" t="s">
        <v>495</v>
      </c>
      <c r="J313" t="s">
        <v>497</v>
      </c>
      <c r="K313" t="s">
        <v>496</v>
      </c>
      <c r="L313">
        <v>1354</v>
      </c>
      <c r="N313">
        <v>1010</v>
      </c>
      <c r="O313" t="s">
        <v>37</v>
      </c>
      <c r="P313" t="s">
        <v>37</v>
      </c>
      <c r="Q313">
        <v>1</v>
      </c>
      <c r="W313">
        <v>0</v>
      </c>
      <c r="X313">
        <v>604629841</v>
      </c>
      <c r="Y313">
        <v>0.15909100000000001</v>
      </c>
      <c r="AA313">
        <v>1973.1</v>
      </c>
      <c r="AB313">
        <v>0</v>
      </c>
      <c r="AC313">
        <v>0</v>
      </c>
      <c r="AD313">
        <v>0</v>
      </c>
      <c r="AE313">
        <v>302.16000000000003</v>
      </c>
      <c r="AF313">
        <v>0</v>
      </c>
      <c r="AG313">
        <v>0</v>
      </c>
      <c r="AH313">
        <v>0</v>
      </c>
      <c r="AI313">
        <v>6.53</v>
      </c>
      <c r="AJ313">
        <v>1</v>
      </c>
      <c r="AK313">
        <v>1</v>
      </c>
      <c r="AL313">
        <v>1</v>
      </c>
      <c r="AN313">
        <v>0</v>
      </c>
      <c r="AO313">
        <v>0</v>
      </c>
      <c r="AP313">
        <v>0</v>
      </c>
      <c r="AQ313">
        <v>0</v>
      </c>
      <c r="AR313">
        <v>0</v>
      </c>
      <c r="AS313" t="s">
        <v>3</v>
      </c>
      <c r="AT313">
        <v>0.15909100000000001</v>
      </c>
      <c r="AU313" t="s">
        <v>3</v>
      </c>
      <c r="AV313">
        <v>0</v>
      </c>
      <c r="AW313">
        <v>1</v>
      </c>
      <c r="AX313">
        <v>-1</v>
      </c>
      <c r="AY313">
        <v>0</v>
      </c>
      <c r="AZ313">
        <v>0</v>
      </c>
      <c r="BA313" t="s">
        <v>3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Y313*Source!I186</f>
        <v>7.0000040000000006</v>
      </c>
      <c r="CY313">
        <f t="shared" si="21"/>
        <v>1973.1</v>
      </c>
      <c r="CZ313">
        <f t="shared" si="22"/>
        <v>302.16000000000003</v>
      </c>
      <c r="DA313">
        <f t="shared" si="23"/>
        <v>6.53</v>
      </c>
      <c r="DB313">
        <v>0</v>
      </c>
    </row>
    <row r="314" spans="1:106" x14ac:dyDescent="0.2">
      <c r="A314">
        <f>ROW(Source!A186)</f>
        <v>186</v>
      </c>
      <c r="B314">
        <v>39099382</v>
      </c>
      <c r="C314">
        <v>39491469</v>
      </c>
      <c r="D314">
        <v>36799065</v>
      </c>
      <c r="E314">
        <v>17</v>
      </c>
      <c r="F314">
        <v>1</v>
      </c>
      <c r="G314">
        <v>1</v>
      </c>
      <c r="H314">
        <v>3</v>
      </c>
      <c r="I314" t="s">
        <v>801</v>
      </c>
      <c r="J314" t="s">
        <v>3</v>
      </c>
      <c r="K314" t="s">
        <v>802</v>
      </c>
      <c r="L314">
        <v>1374</v>
      </c>
      <c r="N314">
        <v>1013</v>
      </c>
      <c r="O314" t="s">
        <v>803</v>
      </c>
      <c r="P314" t="s">
        <v>803</v>
      </c>
      <c r="Q314">
        <v>1</v>
      </c>
      <c r="W314">
        <v>0</v>
      </c>
      <c r="X314">
        <v>-1731369543</v>
      </c>
      <c r="Y314">
        <v>0.3</v>
      </c>
      <c r="AA314">
        <v>1</v>
      </c>
      <c r="AB314">
        <v>0</v>
      </c>
      <c r="AC314">
        <v>0</v>
      </c>
      <c r="AD314">
        <v>0</v>
      </c>
      <c r="AE314">
        <v>1</v>
      </c>
      <c r="AF314">
        <v>0</v>
      </c>
      <c r="AG314">
        <v>0</v>
      </c>
      <c r="AH314">
        <v>0</v>
      </c>
      <c r="AI314">
        <v>1</v>
      </c>
      <c r="AJ314">
        <v>1</v>
      </c>
      <c r="AK314">
        <v>1</v>
      </c>
      <c r="AL314">
        <v>1</v>
      </c>
      <c r="AN314">
        <v>0</v>
      </c>
      <c r="AO314">
        <v>1</v>
      </c>
      <c r="AP314">
        <v>0</v>
      </c>
      <c r="AQ314">
        <v>0</v>
      </c>
      <c r="AR314">
        <v>0</v>
      </c>
      <c r="AS314" t="s">
        <v>3</v>
      </c>
      <c r="AT314">
        <v>0.3</v>
      </c>
      <c r="AU314" t="s">
        <v>3</v>
      </c>
      <c r="AV314">
        <v>0</v>
      </c>
      <c r="AW314">
        <v>2</v>
      </c>
      <c r="AX314">
        <v>39491502</v>
      </c>
      <c r="AY314">
        <v>1</v>
      </c>
      <c r="AZ314">
        <v>0</v>
      </c>
      <c r="BA314">
        <v>299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Y314*Source!I186</f>
        <v>13.2</v>
      </c>
      <c r="CY314">
        <f t="shared" si="21"/>
        <v>1</v>
      </c>
      <c r="CZ314">
        <f t="shared" si="22"/>
        <v>1</v>
      </c>
      <c r="DA314">
        <f t="shared" si="23"/>
        <v>1</v>
      </c>
      <c r="DB314">
        <v>0</v>
      </c>
    </row>
    <row r="315" spans="1:106" x14ac:dyDescent="0.2">
      <c r="A315">
        <f>ROW(Source!A192)</f>
        <v>192</v>
      </c>
      <c r="B315">
        <v>39099382</v>
      </c>
      <c r="C315">
        <v>39491508</v>
      </c>
      <c r="D315">
        <v>37080781</v>
      </c>
      <c r="E315">
        <v>1</v>
      </c>
      <c r="F315">
        <v>1</v>
      </c>
      <c r="G315">
        <v>1</v>
      </c>
      <c r="H315">
        <v>1</v>
      </c>
      <c r="I315" t="s">
        <v>804</v>
      </c>
      <c r="J315" t="s">
        <v>3</v>
      </c>
      <c r="K315" t="s">
        <v>805</v>
      </c>
      <c r="L315">
        <v>1191</v>
      </c>
      <c r="N315">
        <v>1013</v>
      </c>
      <c r="O315" t="s">
        <v>641</v>
      </c>
      <c r="P315" t="s">
        <v>641</v>
      </c>
      <c r="Q315">
        <v>1</v>
      </c>
      <c r="W315">
        <v>0</v>
      </c>
      <c r="X315">
        <v>912892513</v>
      </c>
      <c r="Y315">
        <v>213.6</v>
      </c>
      <c r="AA315">
        <v>0</v>
      </c>
      <c r="AB315">
        <v>0</v>
      </c>
      <c r="AC315">
        <v>0</v>
      </c>
      <c r="AD315">
        <v>64.78</v>
      </c>
      <c r="AE315">
        <v>0</v>
      </c>
      <c r="AF315">
        <v>0</v>
      </c>
      <c r="AG315">
        <v>0</v>
      </c>
      <c r="AH315">
        <v>9.92</v>
      </c>
      <c r="AI315">
        <v>1</v>
      </c>
      <c r="AJ315">
        <v>1</v>
      </c>
      <c r="AK315">
        <v>1</v>
      </c>
      <c r="AL315">
        <v>6.53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3</v>
      </c>
      <c r="AT315">
        <v>213.6</v>
      </c>
      <c r="AU315" t="s">
        <v>3</v>
      </c>
      <c r="AV315">
        <v>1</v>
      </c>
      <c r="AW315">
        <v>2</v>
      </c>
      <c r="AX315">
        <v>39491522</v>
      </c>
      <c r="AY315">
        <v>1</v>
      </c>
      <c r="AZ315">
        <v>0</v>
      </c>
      <c r="BA315">
        <v>300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Y315*Source!I192</f>
        <v>205.05599999999998</v>
      </c>
      <c r="CY315">
        <f>AD315</f>
        <v>64.78</v>
      </c>
      <c r="CZ315">
        <f>AH315</f>
        <v>9.92</v>
      </c>
      <c r="DA315">
        <f>AL315</f>
        <v>6.53</v>
      </c>
      <c r="DB315">
        <v>0</v>
      </c>
    </row>
    <row r="316" spans="1:106" x14ac:dyDescent="0.2">
      <c r="A316">
        <f>ROW(Source!A192)</f>
        <v>192</v>
      </c>
      <c r="B316">
        <v>39099382</v>
      </c>
      <c r="C316">
        <v>39491508</v>
      </c>
      <c r="D316">
        <v>37064876</v>
      </c>
      <c r="E316">
        <v>1</v>
      </c>
      <c r="F316">
        <v>1</v>
      </c>
      <c r="G316">
        <v>1</v>
      </c>
      <c r="H316">
        <v>1</v>
      </c>
      <c r="I316" t="s">
        <v>642</v>
      </c>
      <c r="J316" t="s">
        <v>3</v>
      </c>
      <c r="K316" t="s">
        <v>643</v>
      </c>
      <c r="L316">
        <v>1191</v>
      </c>
      <c r="N316">
        <v>1013</v>
      </c>
      <c r="O316" t="s">
        <v>641</v>
      </c>
      <c r="P316" t="s">
        <v>641</v>
      </c>
      <c r="Q316">
        <v>1</v>
      </c>
      <c r="W316">
        <v>0</v>
      </c>
      <c r="X316">
        <v>-1417349443</v>
      </c>
      <c r="Y316">
        <v>1.98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1</v>
      </c>
      <c r="AJ316">
        <v>1</v>
      </c>
      <c r="AK316">
        <v>6.53</v>
      </c>
      <c r="AL316">
        <v>1</v>
      </c>
      <c r="AN316">
        <v>0</v>
      </c>
      <c r="AO316">
        <v>1</v>
      </c>
      <c r="AP316">
        <v>0</v>
      </c>
      <c r="AQ316">
        <v>0</v>
      </c>
      <c r="AR316">
        <v>0</v>
      </c>
      <c r="AS316" t="s">
        <v>3</v>
      </c>
      <c r="AT316">
        <v>1.98</v>
      </c>
      <c r="AU316" t="s">
        <v>3</v>
      </c>
      <c r="AV316">
        <v>2</v>
      </c>
      <c r="AW316">
        <v>2</v>
      </c>
      <c r="AX316">
        <v>39491523</v>
      </c>
      <c r="AY316">
        <v>1</v>
      </c>
      <c r="AZ316">
        <v>0</v>
      </c>
      <c r="BA316">
        <v>301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Y316*Source!I192</f>
        <v>1.9007999999999998</v>
      </c>
      <c r="CY316">
        <f>AD316</f>
        <v>0</v>
      </c>
      <c r="CZ316">
        <f>AH316</f>
        <v>0</v>
      </c>
      <c r="DA316">
        <f>AL316</f>
        <v>1</v>
      </c>
      <c r="DB316">
        <v>0</v>
      </c>
    </row>
    <row r="317" spans="1:106" x14ac:dyDescent="0.2">
      <c r="A317">
        <f>ROW(Source!A192)</f>
        <v>192</v>
      </c>
      <c r="B317">
        <v>39099382</v>
      </c>
      <c r="C317">
        <v>39491508</v>
      </c>
      <c r="D317">
        <v>36882159</v>
      </c>
      <c r="E317">
        <v>1</v>
      </c>
      <c r="F317">
        <v>1</v>
      </c>
      <c r="G317">
        <v>1</v>
      </c>
      <c r="H317">
        <v>2</v>
      </c>
      <c r="I317" t="s">
        <v>765</v>
      </c>
      <c r="J317" t="s">
        <v>766</v>
      </c>
      <c r="K317" t="s">
        <v>767</v>
      </c>
      <c r="L317">
        <v>1368</v>
      </c>
      <c r="N317">
        <v>1011</v>
      </c>
      <c r="O317" t="s">
        <v>647</v>
      </c>
      <c r="P317" t="s">
        <v>647</v>
      </c>
      <c r="Q317">
        <v>1</v>
      </c>
      <c r="W317">
        <v>0</v>
      </c>
      <c r="X317">
        <v>-1718674368</v>
      </c>
      <c r="Y317">
        <v>0.99</v>
      </c>
      <c r="AA317">
        <v>0</v>
      </c>
      <c r="AB317">
        <v>731.29</v>
      </c>
      <c r="AC317">
        <v>13.5</v>
      </c>
      <c r="AD317">
        <v>0</v>
      </c>
      <c r="AE317">
        <v>0</v>
      </c>
      <c r="AF317">
        <v>111.99</v>
      </c>
      <c r="AG317">
        <v>13.5</v>
      </c>
      <c r="AH317">
        <v>0</v>
      </c>
      <c r="AI317">
        <v>1</v>
      </c>
      <c r="AJ317">
        <v>6.53</v>
      </c>
      <c r="AK317">
        <v>1</v>
      </c>
      <c r="AL317">
        <v>1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3</v>
      </c>
      <c r="AT317">
        <v>0.99</v>
      </c>
      <c r="AU317" t="s">
        <v>3</v>
      </c>
      <c r="AV317">
        <v>0</v>
      </c>
      <c r="AW317">
        <v>2</v>
      </c>
      <c r="AX317">
        <v>39491524</v>
      </c>
      <c r="AY317">
        <v>1</v>
      </c>
      <c r="AZ317">
        <v>0</v>
      </c>
      <c r="BA317">
        <v>302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Y317*Source!I192</f>
        <v>0.95039999999999991</v>
      </c>
      <c r="CY317">
        <f>AB317</f>
        <v>731.29</v>
      </c>
      <c r="CZ317">
        <f>AF317</f>
        <v>111.99</v>
      </c>
      <c r="DA317">
        <f>AJ317</f>
        <v>6.53</v>
      </c>
      <c r="DB317">
        <v>0</v>
      </c>
    </row>
    <row r="318" spans="1:106" x14ac:dyDescent="0.2">
      <c r="A318">
        <f>ROW(Source!A192)</f>
        <v>192</v>
      </c>
      <c r="B318">
        <v>39099382</v>
      </c>
      <c r="C318">
        <v>39491508</v>
      </c>
      <c r="D318">
        <v>36883554</v>
      </c>
      <c r="E318">
        <v>1</v>
      </c>
      <c r="F318">
        <v>1</v>
      </c>
      <c r="G318">
        <v>1</v>
      </c>
      <c r="H318">
        <v>2</v>
      </c>
      <c r="I318" t="s">
        <v>665</v>
      </c>
      <c r="J318" t="s">
        <v>666</v>
      </c>
      <c r="K318" t="s">
        <v>667</v>
      </c>
      <c r="L318">
        <v>1368</v>
      </c>
      <c r="N318">
        <v>1011</v>
      </c>
      <c r="O318" t="s">
        <v>647</v>
      </c>
      <c r="P318" t="s">
        <v>647</v>
      </c>
      <c r="Q318">
        <v>1</v>
      </c>
      <c r="W318">
        <v>0</v>
      </c>
      <c r="X318">
        <v>1372534845</v>
      </c>
      <c r="Y318">
        <v>0.99</v>
      </c>
      <c r="AA318">
        <v>0</v>
      </c>
      <c r="AB318">
        <v>429.09</v>
      </c>
      <c r="AC318">
        <v>11.6</v>
      </c>
      <c r="AD318">
        <v>0</v>
      </c>
      <c r="AE318">
        <v>0</v>
      </c>
      <c r="AF318">
        <v>65.709999999999994</v>
      </c>
      <c r="AG318">
        <v>11.6</v>
      </c>
      <c r="AH318">
        <v>0</v>
      </c>
      <c r="AI318">
        <v>1</v>
      </c>
      <c r="AJ318">
        <v>6.53</v>
      </c>
      <c r="AK318">
        <v>1</v>
      </c>
      <c r="AL318">
        <v>1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3</v>
      </c>
      <c r="AT318">
        <v>0.99</v>
      </c>
      <c r="AU318" t="s">
        <v>3</v>
      </c>
      <c r="AV318">
        <v>0</v>
      </c>
      <c r="AW318">
        <v>2</v>
      </c>
      <c r="AX318">
        <v>39491525</v>
      </c>
      <c r="AY318">
        <v>1</v>
      </c>
      <c r="AZ318">
        <v>0</v>
      </c>
      <c r="BA318">
        <v>303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Y318*Source!I192</f>
        <v>0.95039999999999991</v>
      </c>
      <c r="CY318">
        <f>AB318</f>
        <v>429.09</v>
      </c>
      <c r="CZ318">
        <f>AF318</f>
        <v>65.709999999999994</v>
      </c>
      <c r="DA318">
        <f>AJ318</f>
        <v>6.53</v>
      </c>
      <c r="DB318">
        <v>0</v>
      </c>
    </row>
    <row r="319" spans="1:106" x14ac:dyDescent="0.2">
      <c r="A319">
        <f>ROW(Source!A192)</f>
        <v>192</v>
      </c>
      <c r="B319">
        <v>39099382</v>
      </c>
      <c r="C319">
        <v>39491508</v>
      </c>
      <c r="D319">
        <v>36883858</v>
      </c>
      <c r="E319">
        <v>1</v>
      </c>
      <c r="F319">
        <v>1</v>
      </c>
      <c r="G319">
        <v>1</v>
      </c>
      <c r="H319">
        <v>2</v>
      </c>
      <c r="I319" t="s">
        <v>783</v>
      </c>
      <c r="J319" t="s">
        <v>784</v>
      </c>
      <c r="K319" t="s">
        <v>785</v>
      </c>
      <c r="L319">
        <v>1368</v>
      </c>
      <c r="N319">
        <v>1011</v>
      </c>
      <c r="O319" t="s">
        <v>647</v>
      </c>
      <c r="P319" t="s">
        <v>647</v>
      </c>
      <c r="Q319">
        <v>1</v>
      </c>
      <c r="W319">
        <v>0</v>
      </c>
      <c r="X319">
        <v>-353815937</v>
      </c>
      <c r="Y319">
        <v>1.1399999999999999</v>
      </c>
      <c r="AA319">
        <v>0</v>
      </c>
      <c r="AB319">
        <v>52.89</v>
      </c>
      <c r="AC319">
        <v>0</v>
      </c>
      <c r="AD319">
        <v>0</v>
      </c>
      <c r="AE319">
        <v>0</v>
      </c>
      <c r="AF319">
        <v>8.1</v>
      </c>
      <c r="AG319">
        <v>0</v>
      </c>
      <c r="AH319">
        <v>0</v>
      </c>
      <c r="AI319">
        <v>1</v>
      </c>
      <c r="AJ319">
        <v>6.53</v>
      </c>
      <c r="AK319">
        <v>1</v>
      </c>
      <c r="AL319">
        <v>1</v>
      </c>
      <c r="AN319">
        <v>0</v>
      </c>
      <c r="AO319">
        <v>1</v>
      </c>
      <c r="AP319">
        <v>0</v>
      </c>
      <c r="AQ319">
        <v>0</v>
      </c>
      <c r="AR319">
        <v>0</v>
      </c>
      <c r="AS319" t="s">
        <v>3</v>
      </c>
      <c r="AT319">
        <v>1.1399999999999999</v>
      </c>
      <c r="AU319" t="s">
        <v>3</v>
      </c>
      <c r="AV319">
        <v>0</v>
      </c>
      <c r="AW319">
        <v>2</v>
      </c>
      <c r="AX319">
        <v>39491526</v>
      </c>
      <c r="AY319">
        <v>1</v>
      </c>
      <c r="AZ319">
        <v>0</v>
      </c>
      <c r="BA319">
        <v>304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Y319*Source!I192</f>
        <v>1.0943999999999998</v>
      </c>
      <c r="CY319">
        <f>AB319</f>
        <v>52.89</v>
      </c>
      <c r="CZ319">
        <f>AF319</f>
        <v>8.1</v>
      </c>
      <c r="DA319">
        <f>AJ319</f>
        <v>6.53</v>
      </c>
      <c r="DB319">
        <v>0</v>
      </c>
    </row>
    <row r="320" spans="1:106" x14ac:dyDescent="0.2">
      <c r="A320">
        <f>ROW(Source!A192)</f>
        <v>192</v>
      </c>
      <c r="B320">
        <v>39099382</v>
      </c>
      <c r="C320">
        <v>39491508</v>
      </c>
      <c r="D320">
        <v>36802094</v>
      </c>
      <c r="E320">
        <v>1</v>
      </c>
      <c r="F320">
        <v>1</v>
      </c>
      <c r="G320">
        <v>1</v>
      </c>
      <c r="H320">
        <v>3</v>
      </c>
      <c r="I320" t="s">
        <v>820</v>
      </c>
      <c r="J320" t="s">
        <v>821</v>
      </c>
      <c r="K320" t="s">
        <v>822</v>
      </c>
      <c r="L320">
        <v>1346</v>
      </c>
      <c r="N320">
        <v>1009</v>
      </c>
      <c r="O320" t="s">
        <v>97</v>
      </c>
      <c r="P320" t="s">
        <v>97</v>
      </c>
      <c r="Q320">
        <v>1</v>
      </c>
      <c r="W320">
        <v>0</v>
      </c>
      <c r="X320">
        <v>-1088866022</v>
      </c>
      <c r="Y320">
        <v>0.42</v>
      </c>
      <c r="AA320">
        <v>198.51</v>
      </c>
      <c r="AB320">
        <v>0</v>
      </c>
      <c r="AC320">
        <v>0</v>
      </c>
      <c r="AD320">
        <v>0</v>
      </c>
      <c r="AE320">
        <v>30.4</v>
      </c>
      <c r="AF320">
        <v>0</v>
      </c>
      <c r="AG320">
        <v>0</v>
      </c>
      <c r="AH320">
        <v>0</v>
      </c>
      <c r="AI320">
        <v>6.53</v>
      </c>
      <c r="AJ320">
        <v>1</v>
      </c>
      <c r="AK320">
        <v>1</v>
      </c>
      <c r="AL320">
        <v>1</v>
      </c>
      <c r="AN320">
        <v>0</v>
      </c>
      <c r="AO320">
        <v>1</v>
      </c>
      <c r="AP320">
        <v>0</v>
      </c>
      <c r="AQ320">
        <v>0</v>
      </c>
      <c r="AR320">
        <v>0</v>
      </c>
      <c r="AS320" t="s">
        <v>3</v>
      </c>
      <c r="AT320">
        <v>0.42</v>
      </c>
      <c r="AU320" t="s">
        <v>3</v>
      </c>
      <c r="AV320">
        <v>0</v>
      </c>
      <c r="AW320">
        <v>2</v>
      </c>
      <c r="AX320">
        <v>39491527</v>
      </c>
      <c r="AY320">
        <v>1</v>
      </c>
      <c r="AZ320">
        <v>0</v>
      </c>
      <c r="BA320">
        <v>305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Y320*Source!I192</f>
        <v>0.40319999999999995</v>
      </c>
      <c r="CY320">
        <f t="shared" ref="CY320:CY327" si="24">AA320</f>
        <v>198.51</v>
      </c>
      <c r="CZ320">
        <f t="shared" ref="CZ320:CZ327" si="25">AE320</f>
        <v>30.4</v>
      </c>
      <c r="DA320">
        <f t="shared" ref="DA320:DA327" si="26">AI320</f>
        <v>6.53</v>
      </c>
      <c r="DB320">
        <v>0</v>
      </c>
    </row>
    <row r="321" spans="1:106" x14ac:dyDescent="0.2">
      <c r="A321">
        <f>ROW(Source!A192)</f>
        <v>192</v>
      </c>
      <c r="B321">
        <v>39099382</v>
      </c>
      <c r="C321">
        <v>39491508</v>
      </c>
      <c r="D321">
        <v>36802106</v>
      </c>
      <c r="E321">
        <v>1</v>
      </c>
      <c r="F321">
        <v>1</v>
      </c>
      <c r="G321">
        <v>1</v>
      </c>
      <c r="H321">
        <v>3</v>
      </c>
      <c r="I321" t="s">
        <v>870</v>
      </c>
      <c r="J321" t="s">
        <v>871</v>
      </c>
      <c r="K321" t="s">
        <v>872</v>
      </c>
      <c r="L321">
        <v>1308</v>
      </c>
      <c r="N321">
        <v>1003</v>
      </c>
      <c r="O321" t="s">
        <v>17</v>
      </c>
      <c r="P321" t="s">
        <v>17</v>
      </c>
      <c r="Q321">
        <v>100</v>
      </c>
      <c r="W321">
        <v>0</v>
      </c>
      <c r="X321">
        <v>568244124</v>
      </c>
      <c r="Y321">
        <v>0.1</v>
      </c>
      <c r="AA321">
        <v>783.6</v>
      </c>
      <c r="AB321">
        <v>0</v>
      </c>
      <c r="AC321">
        <v>0</v>
      </c>
      <c r="AD321">
        <v>0</v>
      </c>
      <c r="AE321">
        <v>120</v>
      </c>
      <c r="AF321">
        <v>0</v>
      </c>
      <c r="AG321">
        <v>0</v>
      </c>
      <c r="AH321">
        <v>0</v>
      </c>
      <c r="AI321">
        <v>6.53</v>
      </c>
      <c r="AJ321">
        <v>1</v>
      </c>
      <c r="AK321">
        <v>1</v>
      </c>
      <c r="AL321">
        <v>1</v>
      </c>
      <c r="AN321">
        <v>0</v>
      </c>
      <c r="AO321">
        <v>1</v>
      </c>
      <c r="AP321">
        <v>0</v>
      </c>
      <c r="AQ321">
        <v>0</v>
      </c>
      <c r="AR321">
        <v>0</v>
      </c>
      <c r="AS321" t="s">
        <v>3</v>
      </c>
      <c r="AT321">
        <v>0.1</v>
      </c>
      <c r="AU321" t="s">
        <v>3</v>
      </c>
      <c r="AV321">
        <v>0</v>
      </c>
      <c r="AW321">
        <v>2</v>
      </c>
      <c r="AX321">
        <v>39491528</v>
      </c>
      <c r="AY321">
        <v>1</v>
      </c>
      <c r="AZ321">
        <v>0</v>
      </c>
      <c r="BA321">
        <v>306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Y321*Source!I192</f>
        <v>9.6000000000000002E-2</v>
      </c>
      <c r="CY321">
        <f t="shared" si="24"/>
        <v>783.6</v>
      </c>
      <c r="CZ321">
        <f t="shared" si="25"/>
        <v>120</v>
      </c>
      <c r="DA321">
        <f t="shared" si="26"/>
        <v>6.53</v>
      </c>
      <c r="DB321">
        <v>0</v>
      </c>
    </row>
    <row r="322" spans="1:106" x14ac:dyDescent="0.2">
      <c r="A322">
        <f>ROW(Source!A192)</f>
        <v>192</v>
      </c>
      <c r="B322">
        <v>39099382</v>
      </c>
      <c r="C322">
        <v>39491508</v>
      </c>
      <c r="D322">
        <v>36803258</v>
      </c>
      <c r="E322">
        <v>1</v>
      </c>
      <c r="F322">
        <v>1</v>
      </c>
      <c r="G322">
        <v>1</v>
      </c>
      <c r="H322">
        <v>3</v>
      </c>
      <c r="I322" t="s">
        <v>823</v>
      </c>
      <c r="J322" t="s">
        <v>824</v>
      </c>
      <c r="K322" t="s">
        <v>825</v>
      </c>
      <c r="L322">
        <v>1346</v>
      </c>
      <c r="N322">
        <v>1009</v>
      </c>
      <c r="O322" t="s">
        <v>97</v>
      </c>
      <c r="P322" t="s">
        <v>97</v>
      </c>
      <c r="Q322">
        <v>1</v>
      </c>
      <c r="W322">
        <v>0</v>
      </c>
      <c r="X322">
        <v>586013393</v>
      </c>
      <c r="Y322">
        <v>2.1</v>
      </c>
      <c r="AA322">
        <v>69.02</v>
      </c>
      <c r="AB322">
        <v>0</v>
      </c>
      <c r="AC322">
        <v>0</v>
      </c>
      <c r="AD322">
        <v>0</v>
      </c>
      <c r="AE322">
        <v>10.57</v>
      </c>
      <c r="AF322">
        <v>0</v>
      </c>
      <c r="AG322">
        <v>0</v>
      </c>
      <c r="AH322">
        <v>0</v>
      </c>
      <c r="AI322">
        <v>6.53</v>
      </c>
      <c r="AJ322">
        <v>1</v>
      </c>
      <c r="AK322">
        <v>1</v>
      </c>
      <c r="AL322">
        <v>1</v>
      </c>
      <c r="AN322">
        <v>0</v>
      </c>
      <c r="AO322">
        <v>1</v>
      </c>
      <c r="AP322">
        <v>0</v>
      </c>
      <c r="AQ322">
        <v>0</v>
      </c>
      <c r="AR322">
        <v>0</v>
      </c>
      <c r="AS322" t="s">
        <v>3</v>
      </c>
      <c r="AT322">
        <v>2.1</v>
      </c>
      <c r="AU322" t="s">
        <v>3</v>
      </c>
      <c r="AV322">
        <v>0</v>
      </c>
      <c r="AW322">
        <v>2</v>
      </c>
      <c r="AX322">
        <v>39491529</v>
      </c>
      <c r="AY322">
        <v>1</v>
      </c>
      <c r="AZ322">
        <v>0</v>
      </c>
      <c r="BA322">
        <v>307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Y322*Source!I192</f>
        <v>2.016</v>
      </c>
      <c r="CY322">
        <f t="shared" si="24"/>
        <v>69.02</v>
      </c>
      <c r="CZ322">
        <f t="shared" si="25"/>
        <v>10.57</v>
      </c>
      <c r="DA322">
        <f t="shared" si="26"/>
        <v>6.53</v>
      </c>
      <c r="DB322">
        <v>0</v>
      </c>
    </row>
    <row r="323" spans="1:106" x14ac:dyDescent="0.2">
      <c r="A323">
        <f>ROW(Source!A192)</f>
        <v>192</v>
      </c>
      <c r="B323">
        <v>39099382</v>
      </c>
      <c r="C323">
        <v>39491508</v>
      </c>
      <c r="D323">
        <v>36804448</v>
      </c>
      <c r="E323">
        <v>1</v>
      </c>
      <c r="F323">
        <v>1</v>
      </c>
      <c r="G323">
        <v>1</v>
      </c>
      <c r="H323">
        <v>3</v>
      </c>
      <c r="I323" t="s">
        <v>826</v>
      </c>
      <c r="J323" t="s">
        <v>827</v>
      </c>
      <c r="K323" t="s">
        <v>828</v>
      </c>
      <c r="L323">
        <v>1346</v>
      </c>
      <c r="N323">
        <v>1009</v>
      </c>
      <c r="O323" t="s">
        <v>97</v>
      </c>
      <c r="P323" t="s">
        <v>97</v>
      </c>
      <c r="Q323">
        <v>1</v>
      </c>
      <c r="W323">
        <v>0</v>
      </c>
      <c r="X323">
        <v>103900845</v>
      </c>
      <c r="Y323">
        <v>10.4</v>
      </c>
      <c r="AA323">
        <v>59.03</v>
      </c>
      <c r="AB323">
        <v>0</v>
      </c>
      <c r="AC323">
        <v>0</v>
      </c>
      <c r="AD323">
        <v>0</v>
      </c>
      <c r="AE323">
        <v>9.0399999999999991</v>
      </c>
      <c r="AF323">
        <v>0</v>
      </c>
      <c r="AG323">
        <v>0</v>
      </c>
      <c r="AH323">
        <v>0</v>
      </c>
      <c r="AI323">
        <v>6.53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0</v>
      </c>
      <c r="AQ323">
        <v>0</v>
      </c>
      <c r="AR323">
        <v>0</v>
      </c>
      <c r="AS323" t="s">
        <v>3</v>
      </c>
      <c r="AT323">
        <v>10.4</v>
      </c>
      <c r="AU323" t="s">
        <v>3</v>
      </c>
      <c r="AV323">
        <v>0</v>
      </c>
      <c r="AW323">
        <v>2</v>
      </c>
      <c r="AX323">
        <v>39491530</v>
      </c>
      <c r="AY323">
        <v>1</v>
      </c>
      <c r="AZ323">
        <v>0</v>
      </c>
      <c r="BA323">
        <v>308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Y323*Source!I192</f>
        <v>9.984</v>
      </c>
      <c r="CY323">
        <f t="shared" si="24"/>
        <v>59.03</v>
      </c>
      <c r="CZ323">
        <f t="shared" si="25"/>
        <v>9.0399999999999991</v>
      </c>
      <c r="DA323">
        <f t="shared" si="26"/>
        <v>6.53</v>
      </c>
      <c r="DB323">
        <v>0</v>
      </c>
    </row>
    <row r="324" spans="1:106" x14ac:dyDescent="0.2">
      <c r="A324">
        <f>ROW(Source!A192)</f>
        <v>192</v>
      </c>
      <c r="B324">
        <v>39099382</v>
      </c>
      <c r="C324">
        <v>39491508</v>
      </c>
      <c r="D324">
        <v>36825981</v>
      </c>
      <c r="E324">
        <v>1</v>
      </c>
      <c r="F324">
        <v>1</v>
      </c>
      <c r="G324">
        <v>1</v>
      </c>
      <c r="H324">
        <v>3</v>
      </c>
      <c r="I324" t="s">
        <v>887</v>
      </c>
      <c r="J324" t="s">
        <v>888</v>
      </c>
      <c r="K324" t="s">
        <v>889</v>
      </c>
      <c r="L324">
        <v>1348</v>
      </c>
      <c r="N324">
        <v>1009</v>
      </c>
      <c r="O324" t="s">
        <v>189</v>
      </c>
      <c r="P324" t="s">
        <v>189</v>
      </c>
      <c r="Q324">
        <v>1000</v>
      </c>
      <c r="W324">
        <v>0</v>
      </c>
      <c r="X324">
        <v>-1598896989</v>
      </c>
      <c r="Y324">
        <v>0.15</v>
      </c>
      <c r="AA324">
        <v>32650</v>
      </c>
      <c r="AB324">
        <v>0</v>
      </c>
      <c r="AC324">
        <v>0</v>
      </c>
      <c r="AD324">
        <v>0</v>
      </c>
      <c r="AE324">
        <v>5000</v>
      </c>
      <c r="AF324">
        <v>0</v>
      </c>
      <c r="AG324">
        <v>0</v>
      </c>
      <c r="AH324">
        <v>0</v>
      </c>
      <c r="AI324">
        <v>6.53</v>
      </c>
      <c r="AJ324">
        <v>1</v>
      </c>
      <c r="AK324">
        <v>1</v>
      </c>
      <c r="AL324">
        <v>1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3</v>
      </c>
      <c r="AT324">
        <v>0.15</v>
      </c>
      <c r="AU324" t="s">
        <v>3</v>
      </c>
      <c r="AV324">
        <v>0</v>
      </c>
      <c r="AW324">
        <v>2</v>
      </c>
      <c r="AX324">
        <v>39491531</v>
      </c>
      <c r="AY324">
        <v>1</v>
      </c>
      <c r="AZ324">
        <v>0</v>
      </c>
      <c r="BA324">
        <v>309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Y324*Source!I192</f>
        <v>0.14399999999999999</v>
      </c>
      <c r="CY324">
        <f t="shared" si="24"/>
        <v>32650</v>
      </c>
      <c r="CZ324">
        <f t="shared" si="25"/>
        <v>5000</v>
      </c>
      <c r="DA324">
        <f t="shared" si="26"/>
        <v>6.53</v>
      </c>
      <c r="DB324">
        <v>0</v>
      </c>
    </row>
    <row r="325" spans="1:106" x14ac:dyDescent="0.2">
      <c r="A325">
        <f>ROW(Source!A192)</f>
        <v>192</v>
      </c>
      <c r="B325">
        <v>39099382</v>
      </c>
      <c r="C325">
        <v>39491508</v>
      </c>
      <c r="D325">
        <v>36838317</v>
      </c>
      <c r="E325">
        <v>1</v>
      </c>
      <c r="F325">
        <v>1</v>
      </c>
      <c r="G325">
        <v>1</v>
      </c>
      <c r="H325">
        <v>3</v>
      </c>
      <c r="I325" t="s">
        <v>838</v>
      </c>
      <c r="J325" t="s">
        <v>839</v>
      </c>
      <c r="K325" t="s">
        <v>840</v>
      </c>
      <c r="L325">
        <v>1346</v>
      </c>
      <c r="N325">
        <v>1009</v>
      </c>
      <c r="O325" t="s">
        <v>97</v>
      </c>
      <c r="P325" t="s">
        <v>97</v>
      </c>
      <c r="Q325">
        <v>1</v>
      </c>
      <c r="W325">
        <v>0</v>
      </c>
      <c r="X325">
        <v>210558753</v>
      </c>
      <c r="Y325">
        <v>3</v>
      </c>
      <c r="AA325">
        <v>186.76</v>
      </c>
      <c r="AB325">
        <v>0</v>
      </c>
      <c r="AC325">
        <v>0</v>
      </c>
      <c r="AD325">
        <v>0</v>
      </c>
      <c r="AE325">
        <v>28.6</v>
      </c>
      <c r="AF325">
        <v>0</v>
      </c>
      <c r="AG325">
        <v>0</v>
      </c>
      <c r="AH325">
        <v>0</v>
      </c>
      <c r="AI325">
        <v>6.53</v>
      </c>
      <c r="AJ325">
        <v>1</v>
      </c>
      <c r="AK325">
        <v>1</v>
      </c>
      <c r="AL325">
        <v>1</v>
      </c>
      <c r="AN325">
        <v>0</v>
      </c>
      <c r="AO325">
        <v>1</v>
      </c>
      <c r="AP325">
        <v>0</v>
      </c>
      <c r="AQ325">
        <v>0</v>
      </c>
      <c r="AR325">
        <v>0</v>
      </c>
      <c r="AS325" t="s">
        <v>3</v>
      </c>
      <c r="AT325">
        <v>3</v>
      </c>
      <c r="AU325" t="s">
        <v>3</v>
      </c>
      <c r="AV325">
        <v>0</v>
      </c>
      <c r="AW325">
        <v>2</v>
      </c>
      <c r="AX325">
        <v>39491532</v>
      </c>
      <c r="AY325">
        <v>1</v>
      </c>
      <c r="AZ325">
        <v>0</v>
      </c>
      <c r="BA325">
        <v>310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Y325*Source!I192</f>
        <v>2.88</v>
      </c>
      <c r="CY325">
        <f t="shared" si="24"/>
        <v>186.76</v>
      </c>
      <c r="CZ325">
        <f t="shared" si="25"/>
        <v>28.6</v>
      </c>
      <c r="DA325">
        <f t="shared" si="26"/>
        <v>6.53</v>
      </c>
      <c r="DB325">
        <v>0</v>
      </c>
    </row>
    <row r="326" spans="1:106" x14ac:dyDescent="0.2">
      <c r="A326">
        <f>ROW(Source!A192)</f>
        <v>192</v>
      </c>
      <c r="B326">
        <v>39099382</v>
      </c>
      <c r="C326">
        <v>39491508</v>
      </c>
      <c r="D326">
        <v>36854884</v>
      </c>
      <c r="E326">
        <v>1</v>
      </c>
      <c r="F326">
        <v>1</v>
      </c>
      <c r="G326">
        <v>1</v>
      </c>
      <c r="H326">
        <v>3</v>
      </c>
      <c r="I326" t="s">
        <v>507</v>
      </c>
      <c r="J326" t="s">
        <v>509</v>
      </c>
      <c r="K326" t="s">
        <v>508</v>
      </c>
      <c r="L326">
        <v>1354</v>
      </c>
      <c r="N326">
        <v>1010</v>
      </c>
      <c r="O326" t="s">
        <v>37</v>
      </c>
      <c r="P326" t="s">
        <v>37</v>
      </c>
      <c r="Q326">
        <v>1</v>
      </c>
      <c r="W326">
        <v>0</v>
      </c>
      <c r="X326">
        <v>1763272094</v>
      </c>
      <c r="Y326">
        <v>100</v>
      </c>
      <c r="AA326">
        <v>5525.36</v>
      </c>
      <c r="AB326">
        <v>0</v>
      </c>
      <c r="AC326">
        <v>0</v>
      </c>
      <c r="AD326">
        <v>0</v>
      </c>
      <c r="AE326">
        <v>846.15</v>
      </c>
      <c r="AF326">
        <v>0</v>
      </c>
      <c r="AG326">
        <v>0</v>
      </c>
      <c r="AH326">
        <v>0</v>
      </c>
      <c r="AI326">
        <v>6.53</v>
      </c>
      <c r="AJ326">
        <v>1</v>
      </c>
      <c r="AK326">
        <v>1</v>
      </c>
      <c r="AL326">
        <v>1</v>
      </c>
      <c r="AN326">
        <v>0</v>
      </c>
      <c r="AO326">
        <v>0</v>
      </c>
      <c r="AP326">
        <v>0</v>
      </c>
      <c r="AQ326">
        <v>0</v>
      </c>
      <c r="AR326">
        <v>0</v>
      </c>
      <c r="AS326" t="s">
        <v>3</v>
      </c>
      <c r="AT326">
        <v>100</v>
      </c>
      <c r="AU326" t="s">
        <v>3</v>
      </c>
      <c r="AV326">
        <v>0</v>
      </c>
      <c r="AW326">
        <v>1</v>
      </c>
      <c r="AX326">
        <v>-1</v>
      </c>
      <c r="AY326">
        <v>0</v>
      </c>
      <c r="AZ326">
        <v>0</v>
      </c>
      <c r="BA326" t="s">
        <v>3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Y326*Source!I192</f>
        <v>96</v>
      </c>
      <c r="CY326">
        <f t="shared" si="24"/>
        <v>5525.36</v>
      </c>
      <c r="CZ326">
        <f t="shared" si="25"/>
        <v>846.15</v>
      </c>
      <c r="DA326">
        <f t="shared" si="26"/>
        <v>6.53</v>
      </c>
      <c r="DB326">
        <v>0</v>
      </c>
    </row>
    <row r="327" spans="1:106" x14ac:dyDescent="0.2">
      <c r="A327">
        <f>ROW(Source!A192)</f>
        <v>192</v>
      </c>
      <c r="B327">
        <v>39099382</v>
      </c>
      <c r="C327">
        <v>39491508</v>
      </c>
      <c r="D327">
        <v>36799065</v>
      </c>
      <c r="E327">
        <v>17</v>
      </c>
      <c r="F327">
        <v>1</v>
      </c>
      <c r="G327">
        <v>1</v>
      </c>
      <c r="H327">
        <v>3</v>
      </c>
      <c r="I327" t="s">
        <v>801</v>
      </c>
      <c r="J327" t="s">
        <v>3</v>
      </c>
      <c r="K327" t="s">
        <v>802</v>
      </c>
      <c r="L327">
        <v>1374</v>
      </c>
      <c r="N327">
        <v>1013</v>
      </c>
      <c r="O327" t="s">
        <v>803</v>
      </c>
      <c r="P327" t="s">
        <v>803</v>
      </c>
      <c r="Q327">
        <v>1</v>
      </c>
      <c r="W327">
        <v>0</v>
      </c>
      <c r="X327">
        <v>-1731369543</v>
      </c>
      <c r="Y327">
        <v>42.38</v>
      </c>
      <c r="AA327">
        <v>1</v>
      </c>
      <c r="AB327">
        <v>0</v>
      </c>
      <c r="AC327">
        <v>0</v>
      </c>
      <c r="AD327">
        <v>0</v>
      </c>
      <c r="AE327">
        <v>1</v>
      </c>
      <c r="AF327">
        <v>0</v>
      </c>
      <c r="AG327">
        <v>0</v>
      </c>
      <c r="AH327">
        <v>0</v>
      </c>
      <c r="AI327">
        <v>1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3</v>
      </c>
      <c r="AT327">
        <v>42.38</v>
      </c>
      <c r="AU327" t="s">
        <v>3</v>
      </c>
      <c r="AV327">
        <v>0</v>
      </c>
      <c r="AW327">
        <v>2</v>
      </c>
      <c r="AX327">
        <v>39491533</v>
      </c>
      <c r="AY327">
        <v>1</v>
      </c>
      <c r="AZ327">
        <v>0</v>
      </c>
      <c r="BA327">
        <v>311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Y327*Source!I192</f>
        <v>40.684800000000003</v>
      </c>
      <c r="CY327">
        <f t="shared" si="24"/>
        <v>1</v>
      </c>
      <c r="CZ327">
        <f t="shared" si="25"/>
        <v>1</v>
      </c>
      <c r="DA327">
        <f t="shared" si="26"/>
        <v>1</v>
      </c>
      <c r="DB327">
        <v>0</v>
      </c>
    </row>
    <row r="328" spans="1:106" x14ac:dyDescent="0.2">
      <c r="A328">
        <f>ROW(Source!A194)</f>
        <v>194</v>
      </c>
      <c r="B328">
        <v>39099382</v>
      </c>
      <c r="C328">
        <v>39099947</v>
      </c>
      <c r="D328">
        <v>37519679</v>
      </c>
      <c r="E328">
        <v>1</v>
      </c>
      <c r="F328">
        <v>1</v>
      </c>
      <c r="G328">
        <v>1</v>
      </c>
      <c r="H328">
        <v>1</v>
      </c>
      <c r="I328" t="s">
        <v>890</v>
      </c>
      <c r="J328" t="s">
        <v>3</v>
      </c>
      <c r="K328" t="s">
        <v>891</v>
      </c>
      <c r="L328">
        <v>1191</v>
      </c>
      <c r="N328">
        <v>1013</v>
      </c>
      <c r="O328" t="s">
        <v>641</v>
      </c>
      <c r="P328" t="s">
        <v>641</v>
      </c>
      <c r="Q328">
        <v>1</v>
      </c>
      <c r="W328">
        <v>0</v>
      </c>
      <c r="X328">
        <v>-1166887252</v>
      </c>
      <c r="Y328">
        <v>0.128</v>
      </c>
      <c r="AA328">
        <v>0</v>
      </c>
      <c r="AB328">
        <v>0</v>
      </c>
      <c r="AC328">
        <v>0</v>
      </c>
      <c r="AD328">
        <v>84.37</v>
      </c>
      <c r="AE328">
        <v>0</v>
      </c>
      <c r="AF328">
        <v>0</v>
      </c>
      <c r="AG328">
        <v>0</v>
      </c>
      <c r="AH328">
        <v>12.92</v>
      </c>
      <c r="AI328">
        <v>1</v>
      </c>
      <c r="AJ328">
        <v>1</v>
      </c>
      <c r="AK328">
        <v>1</v>
      </c>
      <c r="AL328">
        <v>6.53</v>
      </c>
      <c r="AN328">
        <v>0</v>
      </c>
      <c r="AO328">
        <v>1</v>
      </c>
      <c r="AP328">
        <v>1</v>
      </c>
      <c r="AQ328">
        <v>0</v>
      </c>
      <c r="AR328">
        <v>0</v>
      </c>
      <c r="AS328" t="s">
        <v>3</v>
      </c>
      <c r="AT328">
        <v>0.16</v>
      </c>
      <c r="AU328" t="s">
        <v>211</v>
      </c>
      <c r="AV328">
        <v>1</v>
      </c>
      <c r="AW328">
        <v>2</v>
      </c>
      <c r="AX328">
        <v>39099950</v>
      </c>
      <c r="AY328">
        <v>1</v>
      </c>
      <c r="AZ328">
        <v>0</v>
      </c>
      <c r="BA328">
        <v>312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Y328*Source!I194</f>
        <v>5.6319999999999997</v>
      </c>
      <c r="CY328">
        <f t="shared" ref="CY328:CY336" si="27">AD328</f>
        <v>84.37</v>
      </c>
      <c r="CZ328">
        <f t="shared" ref="CZ328:CZ336" si="28">AH328</f>
        <v>12.92</v>
      </c>
      <c r="DA328">
        <f t="shared" ref="DA328:DA336" si="29">AL328</f>
        <v>6.53</v>
      </c>
      <c r="DB328">
        <v>0</v>
      </c>
    </row>
    <row r="329" spans="1:106" x14ac:dyDescent="0.2">
      <c r="A329">
        <f>ROW(Source!A194)</f>
        <v>194</v>
      </c>
      <c r="B329">
        <v>39099382</v>
      </c>
      <c r="C329">
        <v>39099947</v>
      </c>
      <c r="D329">
        <v>37518716</v>
      </c>
      <c r="E329">
        <v>1</v>
      </c>
      <c r="F329">
        <v>1</v>
      </c>
      <c r="G329">
        <v>1</v>
      </c>
      <c r="H329">
        <v>1</v>
      </c>
      <c r="I329" t="s">
        <v>892</v>
      </c>
      <c r="J329" t="s">
        <v>3</v>
      </c>
      <c r="K329" t="s">
        <v>893</v>
      </c>
      <c r="L329">
        <v>1191</v>
      </c>
      <c r="N329">
        <v>1013</v>
      </c>
      <c r="O329" t="s">
        <v>641</v>
      </c>
      <c r="P329" t="s">
        <v>641</v>
      </c>
      <c r="Q329">
        <v>1</v>
      </c>
      <c r="W329">
        <v>0</v>
      </c>
      <c r="X329">
        <v>1776637054</v>
      </c>
      <c r="Y329">
        <v>0.128</v>
      </c>
      <c r="AA329">
        <v>0</v>
      </c>
      <c r="AB329">
        <v>0</v>
      </c>
      <c r="AC329">
        <v>0</v>
      </c>
      <c r="AD329">
        <v>82.87</v>
      </c>
      <c r="AE329">
        <v>0</v>
      </c>
      <c r="AF329">
        <v>0</v>
      </c>
      <c r="AG329">
        <v>0</v>
      </c>
      <c r="AH329">
        <v>12.69</v>
      </c>
      <c r="AI329">
        <v>1</v>
      </c>
      <c r="AJ329">
        <v>1</v>
      </c>
      <c r="AK329">
        <v>1</v>
      </c>
      <c r="AL329">
        <v>6.53</v>
      </c>
      <c r="AN329">
        <v>0</v>
      </c>
      <c r="AO329">
        <v>1</v>
      </c>
      <c r="AP329">
        <v>1</v>
      </c>
      <c r="AQ329">
        <v>0</v>
      </c>
      <c r="AR329">
        <v>0</v>
      </c>
      <c r="AS329" t="s">
        <v>3</v>
      </c>
      <c r="AT329">
        <v>0.16</v>
      </c>
      <c r="AU329" t="s">
        <v>211</v>
      </c>
      <c r="AV329">
        <v>1</v>
      </c>
      <c r="AW329">
        <v>2</v>
      </c>
      <c r="AX329">
        <v>39099951</v>
      </c>
      <c r="AY329">
        <v>1</v>
      </c>
      <c r="AZ329">
        <v>0</v>
      </c>
      <c r="BA329">
        <v>313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Y329*Source!I194</f>
        <v>5.6319999999999997</v>
      </c>
      <c r="CY329">
        <f t="shared" si="27"/>
        <v>82.87</v>
      </c>
      <c r="CZ329">
        <f t="shared" si="28"/>
        <v>12.69</v>
      </c>
      <c r="DA329">
        <f t="shared" si="29"/>
        <v>6.53</v>
      </c>
      <c r="DB329">
        <v>0</v>
      </c>
    </row>
    <row r="330" spans="1:106" x14ac:dyDescent="0.2">
      <c r="A330">
        <f>ROW(Source!A195)</f>
        <v>195</v>
      </c>
      <c r="B330">
        <v>39099382</v>
      </c>
      <c r="C330">
        <v>39099952</v>
      </c>
      <c r="D330">
        <v>37519679</v>
      </c>
      <c r="E330">
        <v>1</v>
      </c>
      <c r="F330">
        <v>1</v>
      </c>
      <c r="G330">
        <v>1</v>
      </c>
      <c r="H330">
        <v>1</v>
      </c>
      <c r="I330" t="s">
        <v>890</v>
      </c>
      <c r="J330" t="s">
        <v>3</v>
      </c>
      <c r="K330" t="s">
        <v>891</v>
      </c>
      <c r="L330">
        <v>1191</v>
      </c>
      <c r="N330">
        <v>1013</v>
      </c>
      <c r="O330" t="s">
        <v>641</v>
      </c>
      <c r="P330" t="s">
        <v>641</v>
      </c>
      <c r="Q330">
        <v>1</v>
      </c>
      <c r="W330">
        <v>0</v>
      </c>
      <c r="X330">
        <v>-1166887252</v>
      </c>
      <c r="Y330">
        <v>5.1840000000000011</v>
      </c>
      <c r="AA330">
        <v>0</v>
      </c>
      <c r="AB330">
        <v>0</v>
      </c>
      <c r="AC330">
        <v>0</v>
      </c>
      <c r="AD330">
        <v>84.37</v>
      </c>
      <c r="AE330">
        <v>0</v>
      </c>
      <c r="AF330">
        <v>0</v>
      </c>
      <c r="AG330">
        <v>0</v>
      </c>
      <c r="AH330">
        <v>12.92</v>
      </c>
      <c r="AI330">
        <v>1</v>
      </c>
      <c r="AJ330">
        <v>1</v>
      </c>
      <c r="AK330">
        <v>1</v>
      </c>
      <c r="AL330">
        <v>6.53</v>
      </c>
      <c r="AN330">
        <v>0</v>
      </c>
      <c r="AO330">
        <v>1</v>
      </c>
      <c r="AP330">
        <v>1</v>
      </c>
      <c r="AQ330">
        <v>0</v>
      </c>
      <c r="AR330">
        <v>0</v>
      </c>
      <c r="AS330" t="s">
        <v>3</v>
      </c>
      <c r="AT330">
        <v>6.48</v>
      </c>
      <c r="AU330" t="s">
        <v>211</v>
      </c>
      <c r="AV330">
        <v>1</v>
      </c>
      <c r="AW330">
        <v>2</v>
      </c>
      <c r="AX330">
        <v>39099955</v>
      </c>
      <c r="AY330">
        <v>1</v>
      </c>
      <c r="AZ330">
        <v>0</v>
      </c>
      <c r="BA330">
        <v>314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Y330*Source!I195</f>
        <v>0.36288000000000009</v>
      </c>
      <c r="CY330">
        <f t="shared" si="27"/>
        <v>84.37</v>
      </c>
      <c r="CZ330">
        <f t="shared" si="28"/>
        <v>12.92</v>
      </c>
      <c r="DA330">
        <f t="shared" si="29"/>
        <v>6.53</v>
      </c>
      <c r="DB330">
        <v>0</v>
      </c>
    </row>
    <row r="331" spans="1:106" x14ac:dyDescent="0.2">
      <c r="A331">
        <f>ROW(Source!A195)</f>
        <v>195</v>
      </c>
      <c r="B331">
        <v>39099382</v>
      </c>
      <c r="C331">
        <v>39099952</v>
      </c>
      <c r="D331">
        <v>37518716</v>
      </c>
      <c r="E331">
        <v>1</v>
      </c>
      <c r="F331">
        <v>1</v>
      </c>
      <c r="G331">
        <v>1</v>
      </c>
      <c r="H331">
        <v>1</v>
      </c>
      <c r="I331" t="s">
        <v>892</v>
      </c>
      <c r="J331" t="s">
        <v>3</v>
      </c>
      <c r="K331" t="s">
        <v>893</v>
      </c>
      <c r="L331">
        <v>1191</v>
      </c>
      <c r="N331">
        <v>1013</v>
      </c>
      <c r="O331" t="s">
        <v>641</v>
      </c>
      <c r="P331" t="s">
        <v>641</v>
      </c>
      <c r="Q331">
        <v>1</v>
      </c>
      <c r="W331">
        <v>0</v>
      </c>
      <c r="X331">
        <v>1776637054</v>
      </c>
      <c r="Y331">
        <v>5.1840000000000011</v>
      </c>
      <c r="AA331">
        <v>0</v>
      </c>
      <c r="AB331">
        <v>0</v>
      </c>
      <c r="AC331">
        <v>0</v>
      </c>
      <c r="AD331">
        <v>82.87</v>
      </c>
      <c r="AE331">
        <v>0</v>
      </c>
      <c r="AF331">
        <v>0</v>
      </c>
      <c r="AG331">
        <v>0</v>
      </c>
      <c r="AH331">
        <v>12.69</v>
      </c>
      <c r="AI331">
        <v>1</v>
      </c>
      <c r="AJ331">
        <v>1</v>
      </c>
      <c r="AK331">
        <v>1</v>
      </c>
      <c r="AL331">
        <v>6.53</v>
      </c>
      <c r="AN331">
        <v>0</v>
      </c>
      <c r="AO331">
        <v>1</v>
      </c>
      <c r="AP331">
        <v>1</v>
      </c>
      <c r="AQ331">
        <v>0</v>
      </c>
      <c r="AR331">
        <v>0</v>
      </c>
      <c r="AS331" t="s">
        <v>3</v>
      </c>
      <c r="AT331">
        <v>6.48</v>
      </c>
      <c r="AU331" t="s">
        <v>211</v>
      </c>
      <c r="AV331">
        <v>1</v>
      </c>
      <c r="AW331">
        <v>2</v>
      </c>
      <c r="AX331">
        <v>39099956</v>
      </c>
      <c r="AY331">
        <v>1</v>
      </c>
      <c r="AZ331">
        <v>0</v>
      </c>
      <c r="BA331">
        <v>315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Y331*Source!I195</f>
        <v>0.36288000000000009</v>
      </c>
      <c r="CY331">
        <f t="shared" si="27"/>
        <v>82.87</v>
      </c>
      <c r="CZ331">
        <f t="shared" si="28"/>
        <v>12.69</v>
      </c>
      <c r="DA331">
        <f t="shared" si="29"/>
        <v>6.53</v>
      </c>
      <c r="DB331">
        <v>0</v>
      </c>
    </row>
    <row r="332" spans="1:106" x14ac:dyDescent="0.2">
      <c r="A332">
        <f>ROW(Source!A196)</f>
        <v>196</v>
      </c>
      <c r="B332">
        <v>39099382</v>
      </c>
      <c r="C332">
        <v>39099957</v>
      </c>
      <c r="D332">
        <v>37519679</v>
      </c>
      <c r="E332">
        <v>1</v>
      </c>
      <c r="F332">
        <v>1</v>
      </c>
      <c r="G332">
        <v>1</v>
      </c>
      <c r="H332">
        <v>1</v>
      </c>
      <c r="I332" t="s">
        <v>890</v>
      </c>
      <c r="J332" t="s">
        <v>3</v>
      </c>
      <c r="K332" t="s">
        <v>891</v>
      </c>
      <c r="L332">
        <v>1191</v>
      </c>
      <c r="N332">
        <v>1013</v>
      </c>
      <c r="O332" t="s">
        <v>641</v>
      </c>
      <c r="P332" t="s">
        <v>641</v>
      </c>
      <c r="Q332">
        <v>1</v>
      </c>
      <c r="W332">
        <v>0</v>
      </c>
      <c r="X332">
        <v>-1166887252</v>
      </c>
      <c r="Y332">
        <v>0.48799999999999999</v>
      </c>
      <c r="AA332">
        <v>0</v>
      </c>
      <c r="AB332">
        <v>0</v>
      </c>
      <c r="AC332">
        <v>0</v>
      </c>
      <c r="AD332">
        <v>84.37</v>
      </c>
      <c r="AE332">
        <v>0</v>
      </c>
      <c r="AF332">
        <v>0</v>
      </c>
      <c r="AG332">
        <v>0</v>
      </c>
      <c r="AH332">
        <v>12.92</v>
      </c>
      <c r="AI332">
        <v>1</v>
      </c>
      <c r="AJ332">
        <v>1</v>
      </c>
      <c r="AK332">
        <v>1</v>
      </c>
      <c r="AL332">
        <v>6.53</v>
      </c>
      <c r="AN332">
        <v>0</v>
      </c>
      <c r="AO332">
        <v>1</v>
      </c>
      <c r="AP332">
        <v>1</v>
      </c>
      <c r="AQ332">
        <v>0</v>
      </c>
      <c r="AR332">
        <v>0</v>
      </c>
      <c r="AS332" t="s">
        <v>3</v>
      </c>
      <c r="AT332">
        <v>0.61</v>
      </c>
      <c r="AU332" t="s">
        <v>211</v>
      </c>
      <c r="AV332">
        <v>1</v>
      </c>
      <c r="AW332">
        <v>2</v>
      </c>
      <c r="AX332">
        <v>39099960</v>
      </c>
      <c r="AY332">
        <v>1</v>
      </c>
      <c r="AZ332">
        <v>0</v>
      </c>
      <c r="BA332">
        <v>316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Y332*Source!I196</f>
        <v>19.032</v>
      </c>
      <c r="CY332">
        <f t="shared" si="27"/>
        <v>84.37</v>
      </c>
      <c r="CZ332">
        <f t="shared" si="28"/>
        <v>12.92</v>
      </c>
      <c r="DA332">
        <f t="shared" si="29"/>
        <v>6.53</v>
      </c>
      <c r="DB332">
        <v>0</v>
      </c>
    </row>
    <row r="333" spans="1:106" x14ac:dyDescent="0.2">
      <c r="A333">
        <f>ROW(Source!A196)</f>
        <v>196</v>
      </c>
      <c r="B333">
        <v>39099382</v>
      </c>
      <c r="C333">
        <v>39099957</v>
      </c>
      <c r="D333">
        <v>37518716</v>
      </c>
      <c r="E333">
        <v>1</v>
      </c>
      <c r="F333">
        <v>1</v>
      </c>
      <c r="G333">
        <v>1</v>
      </c>
      <c r="H333">
        <v>1</v>
      </c>
      <c r="I333" t="s">
        <v>892</v>
      </c>
      <c r="J333" t="s">
        <v>3</v>
      </c>
      <c r="K333" t="s">
        <v>893</v>
      </c>
      <c r="L333">
        <v>1191</v>
      </c>
      <c r="N333">
        <v>1013</v>
      </c>
      <c r="O333" t="s">
        <v>641</v>
      </c>
      <c r="P333" t="s">
        <v>641</v>
      </c>
      <c r="Q333">
        <v>1</v>
      </c>
      <c r="W333">
        <v>0</v>
      </c>
      <c r="X333">
        <v>1776637054</v>
      </c>
      <c r="Y333">
        <v>0.48799999999999999</v>
      </c>
      <c r="AA333">
        <v>0</v>
      </c>
      <c r="AB333">
        <v>0</v>
      </c>
      <c r="AC333">
        <v>0</v>
      </c>
      <c r="AD333">
        <v>82.87</v>
      </c>
      <c r="AE333">
        <v>0</v>
      </c>
      <c r="AF333">
        <v>0</v>
      </c>
      <c r="AG333">
        <v>0</v>
      </c>
      <c r="AH333">
        <v>12.69</v>
      </c>
      <c r="AI333">
        <v>1</v>
      </c>
      <c r="AJ333">
        <v>1</v>
      </c>
      <c r="AK333">
        <v>1</v>
      </c>
      <c r="AL333">
        <v>6.53</v>
      </c>
      <c r="AN333">
        <v>0</v>
      </c>
      <c r="AO333">
        <v>1</v>
      </c>
      <c r="AP333">
        <v>1</v>
      </c>
      <c r="AQ333">
        <v>0</v>
      </c>
      <c r="AR333">
        <v>0</v>
      </c>
      <c r="AS333" t="s">
        <v>3</v>
      </c>
      <c r="AT333">
        <v>0.61</v>
      </c>
      <c r="AU333" t="s">
        <v>211</v>
      </c>
      <c r="AV333">
        <v>1</v>
      </c>
      <c r="AW333">
        <v>2</v>
      </c>
      <c r="AX333">
        <v>39099961</v>
      </c>
      <c r="AY333">
        <v>1</v>
      </c>
      <c r="AZ333">
        <v>0</v>
      </c>
      <c r="BA333">
        <v>317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Y333*Source!I196</f>
        <v>19.032</v>
      </c>
      <c r="CY333">
        <f t="shared" si="27"/>
        <v>82.87</v>
      </c>
      <c r="CZ333">
        <f t="shared" si="28"/>
        <v>12.69</v>
      </c>
      <c r="DA333">
        <f t="shared" si="29"/>
        <v>6.53</v>
      </c>
      <c r="DB333">
        <v>0</v>
      </c>
    </row>
    <row r="334" spans="1:106" x14ac:dyDescent="0.2">
      <c r="A334">
        <f>ROW(Source!A197)</f>
        <v>197</v>
      </c>
      <c r="B334">
        <v>39099382</v>
      </c>
      <c r="C334">
        <v>39099962</v>
      </c>
      <c r="D334">
        <v>37518712</v>
      </c>
      <c r="E334">
        <v>1</v>
      </c>
      <c r="F334">
        <v>1</v>
      </c>
      <c r="G334">
        <v>1</v>
      </c>
      <c r="H334">
        <v>1</v>
      </c>
      <c r="I334" t="s">
        <v>894</v>
      </c>
      <c r="J334" t="s">
        <v>3</v>
      </c>
      <c r="K334" t="s">
        <v>895</v>
      </c>
      <c r="L334">
        <v>1191</v>
      </c>
      <c r="N334">
        <v>1013</v>
      </c>
      <c r="O334" t="s">
        <v>641</v>
      </c>
      <c r="P334" t="s">
        <v>641</v>
      </c>
      <c r="Q334">
        <v>1</v>
      </c>
      <c r="W334">
        <v>0</v>
      </c>
      <c r="X334">
        <v>-1309109184</v>
      </c>
      <c r="Y334">
        <v>0.90399999999999991</v>
      </c>
      <c r="AA334">
        <v>0</v>
      </c>
      <c r="AB334">
        <v>0</v>
      </c>
      <c r="AC334">
        <v>0</v>
      </c>
      <c r="AD334">
        <v>59.88</v>
      </c>
      <c r="AE334">
        <v>0</v>
      </c>
      <c r="AF334">
        <v>0</v>
      </c>
      <c r="AG334">
        <v>0</v>
      </c>
      <c r="AH334">
        <v>9.17</v>
      </c>
      <c r="AI334">
        <v>1</v>
      </c>
      <c r="AJ334">
        <v>1</v>
      </c>
      <c r="AK334">
        <v>1</v>
      </c>
      <c r="AL334">
        <v>6.53</v>
      </c>
      <c r="AN334">
        <v>0</v>
      </c>
      <c r="AO334">
        <v>1</v>
      </c>
      <c r="AP334">
        <v>1</v>
      </c>
      <c r="AQ334">
        <v>0</v>
      </c>
      <c r="AR334">
        <v>0</v>
      </c>
      <c r="AS334" t="s">
        <v>3</v>
      </c>
      <c r="AT334">
        <v>1.1299999999999999</v>
      </c>
      <c r="AU334" t="s">
        <v>211</v>
      </c>
      <c r="AV334">
        <v>1</v>
      </c>
      <c r="AW334">
        <v>2</v>
      </c>
      <c r="AX334">
        <v>39099965</v>
      </c>
      <c r="AY334">
        <v>1</v>
      </c>
      <c r="AZ334">
        <v>0</v>
      </c>
      <c r="BA334">
        <v>318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Y334*Source!I197</f>
        <v>39.775999999999996</v>
      </c>
      <c r="CY334">
        <f t="shared" si="27"/>
        <v>59.88</v>
      </c>
      <c r="CZ334">
        <f t="shared" si="28"/>
        <v>9.17</v>
      </c>
      <c r="DA334">
        <f t="shared" si="29"/>
        <v>6.53</v>
      </c>
      <c r="DB334">
        <v>0</v>
      </c>
    </row>
    <row r="335" spans="1:106" x14ac:dyDescent="0.2">
      <c r="A335">
        <f>ROW(Source!A197)</f>
        <v>197</v>
      </c>
      <c r="B335">
        <v>39099382</v>
      </c>
      <c r="C335">
        <v>39099962</v>
      </c>
      <c r="D335">
        <v>37518766</v>
      </c>
      <c r="E335">
        <v>1</v>
      </c>
      <c r="F335">
        <v>1</v>
      </c>
      <c r="G335">
        <v>1</v>
      </c>
      <c r="H335">
        <v>1</v>
      </c>
      <c r="I335" t="s">
        <v>896</v>
      </c>
      <c r="J335" t="s">
        <v>3</v>
      </c>
      <c r="K335" t="s">
        <v>897</v>
      </c>
      <c r="L335">
        <v>1191</v>
      </c>
      <c r="N335">
        <v>1013</v>
      </c>
      <c r="O335" t="s">
        <v>641</v>
      </c>
      <c r="P335" t="s">
        <v>641</v>
      </c>
      <c r="Q335">
        <v>1</v>
      </c>
      <c r="W335">
        <v>0</v>
      </c>
      <c r="X335">
        <v>1818203118</v>
      </c>
      <c r="Y335">
        <v>1.36</v>
      </c>
      <c r="AA335">
        <v>0</v>
      </c>
      <c r="AB335">
        <v>0</v>
      </c>
      <c r="AC335">
        <v>0</v>
      </c>
      <c r="AD335">
        <v>92.01</v>
      </c>
      <c r="AE335">
        <v>0</v>
      </c>
      <c r="AF335">
        <v>0</v>
      </c>
      <c r="AG335">
        <v>0</v>
      </c>
      <c r="AH335">
        <v>14.09</v>
      </c>
      <c r="AI335">
        <v>1</v>
      </c>
      <c r="AJ335">
        <v>1</v>
      </c>
      <c r="AK335">
        <v>1</v>
      </c>
      <c r="AL335">
        <v>6.53</v>
      </c>
      <c r="AN335">
        <v>0</v>
      </c>
      <c r="AO335">
        <v>1</v>
      </c>
      <c r="AP335">
        <v>1</v>
      </c>
      <c r="AQ335">
        <v>0</v>
      </c>
      <c r="AR335">
        <v>0</v>
      </c>
      <c r="AS335" t="s">
        <v>3</v>
      </c>
      <c r="AT335">
        <v>1.7</v>
      </c>
      <c r="AU335" t="s">
        <v>211</v>
      </c>
      <c r="AV335">
        <v>1</v>
      </c>
      <c r="AW335">
        <v>2</v>
      </c>
      <c r="AX335">
        <v>39099966</v>
      </c>
      <c r="AY335">
        <v>1</v>
      </c>
      <c r="AZ335">
        <v>0</v>
      </c>
      <c r="BA335">
        <v>319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Y335*Source!I197</f>
        <v>59.84</v>
      </c>
      <c r="CY335">
        <f t="shared" si="27"/>
        <v>92.01</v>
      </c>
      <c r="CZ335">
        <f t="shared" si="28"/>
        <v>14.09</v>
      </c>
      <c r="DA335">
        <f t="shared" si="29"/>
        <v>6.53</v>
      </c>
      <c r="DB335">
        <v>0</v>
      </c>
    </row>
    <row r="336" spans="1:106" x14ac:dyDescent="0.2">
      <c r="A336">
        <f>ROW(Source!A235)</f>
        <v>235</v>
      </c>
      <c r="B336">
        <v>39099382</v>
      </c>
      <c r="C336">
        <v>39491535</v>
      </c>
      <c r="D336">
        <v>37071037</v>
      </c>
      <c r="E336">
        <v>1</v>
      </c>
      <c r="F336">
        <v>1</v>
      </c>
      <c r="G336">
        <v>1</v>
      </c>
      <c r="H336">
        <v>1</v>
      </c>
      <c r="I336" t="s">
        <v>707</v>
      </c>
      <c r="J336" t="s">
        <v>3</v>
      </c>
      <c r="K336" t="s">
        <v>708</v>
      </c>
      <c r="L336">
        <v>1191</v>
      </c>
      <c r="N336">
        <v>1013</v>
      </c>
      <c r="O336" t="s">
        <v>641</v>
      </c>
      <c r="P336" t="s">
        <v>641</v>
      </c>
      <c r="Q336">
        <v>1</v>
      </c>
      <c r="W336">
        <v>0</v>
      </c>
      <c r="X336">
        <v>1069510174</v>
      </c>
      <c r="Y336">
        <v>0.252</v>
      </c>
      <c r="AA336">
        <v>0</v>
      </c>
      <c r="AB336">
        <v>0</v>
      </c>
      <c r="AC336">
        <v>0</v>
      </c>
      <c r="AD336">
        <v>62.82</v>
      </c>
      <c r="AE336">
        <v>0</v>
      </c>
      <c r="AF336">
        <v>0</v>
      </c>
      <c r="AG336">
        <v>0</v>
      </c>
      <c r="AH336">
        <v>9.6199999999999992</v>
      </c>
      <c r="AI336">
        <v>1</v>
      </c>
      <c r="AJ336">
        <v>1</v>
      </c>
      <c r="AK336">
        <v>1</v>
      </c>
      <c r="AL336">
        <v>6.53</v>
      </c>
      <c r="AN336">
        <v>0</v>
      </c>
      <c r="AO336">
        <v>1</v>
      </c>
      <c r="AP336">
        <v>1</v>
      </c>
      <c r="AQ336">
        <v>0</v>
      </c>
      <c r="AR336">
        <v>0</v>
      </c>
      <c r="AS336" t="s">
        <v>3</v>
      </c>
      <c r="AT336">
        <v>0.84</v>
      </c>
      <c r="AU336" t="s">
        <v>373</v>
      </c>
      <c r="AV336">
        <v>1</v>
      </c>
      <c r="AW336">
        <v>2</v>
      </c>
      <c r="AX336">
        <v>39491543</v>
      </c>
      <c r="AY336">
        <v>1</v>
      </c>
      <c r="AZ336">
        <v>0</v>
      </c>
      <c r="BA336">
        <v>320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Y336*Source!I235</f>
        <v>5.7960000000000003</v>
      </c>
      <c r="CY336">
        <f t="shared" si="27"/>
        <v>62.82</v>
      </c>
      <c r="CZ336">
        <f t="shared" si="28"/>
        <v>9.6199999999999992</v>
      </c>
      <c r="DA336">
        <f t="shared" si="29"/>
        <v>6.53</v>
      </c>
      <c r="DB336">
        <v>0</v>
      </c>
    </row>
    <row r="337" spans="1:106" x14ac:dyDescent="0.2">
      <c r="A337">
        <f>ROW(Source!A235)</f>
        <v>235</v>
      </c>
      <c r="B337">
        <v>39099382</v>
      </c>
      <c r="C337">
        <v>39491535</v>
      </c>
      <c r="D337">
        <v>36800424</v>
      </c>
      <c r="E337">
        <v>1</v>
      </c>
      <c r="F337">
        <v>1</v>
      </c>
      <c r="G337">
        <v>1</v>
      </c>
      <c r="H337">
        <v>3</v>
      </c>
      <c r="I337" t="s">
        <v>898</v>
      </c>
      <c r="J337" t="s">
        <v>899</v>
      </c>
      <c r="K337" t="s">
        <v>900</v>
      </c>
      <c r="L337">
        <v>1346</v>
      </c>
      <c r="N337">
        <v>1009</v>
      </c>
      <c r="O337" t="s">
        <v>97</v>
      </c>
      <c r="P337" t="s">
        <v>97</v>
      </c>
      <c r="Q337">
        <v>1</v>
      </c>
      <c r="W337">
        <v>0</v>
      </c>
      <c r="X337">
        <v>1559187994</v>
      </c>
      <c r="Y337">
        <v>0</v>
      </c>
      <c r="AA337">
        <v>181.14</v>
      </c>
      <c r="AB337">
        <v>0</v>
      </c>
      <c r="AC337">
        <v>0</v>
      </c>
      <c r="AD337">
        <v>0</v>
      </c>
      <c r="AE337">
        <v>27.74</v>
      </c>
      <c r="AF337">
        <v>0</v>
      </c>
      <c r="AG337">
        <v>0</v>
      </c>
      <c r="AH337">
        <v>0</v>
      </c>
      <c r="AI337">
        <v>6.53</v>
      </c>
      <c r="AJ337">
        <v>1</v>
      </c>
      <c r="AK337">
        <v>1</v>
      </c>
      <c r="AL337">
        <v>1</v>
      </c>
      <c r="AN337">
        <v>0</v>
      </c>
      <c r="AO337">
        <v>1</v>
      </c>
      <c r="AP337">
        <v>1</v>
      </c>
      <c r="AQ337">
        <v>0</v>
      </c>
      <c r="AR337">
        <v>0</v>
      </c>
      <c r="AS337" t="s">
        <v>3</v>
      </c>
      <c r="AT337">
        <v>2.0000000000000001E-4</v>
      </c>
      <c r="AU337" t="s">
        <v>210</v>
      </c>
      <c r="AV337">
        <v>0</v>
      </c>
      <c r="AW337">
        <v>2</v>
      </c>
      <c r="AX337">
        <v>39491544</v>
      </c>
      <c r="AY337">
        <v>1</v>
      </c>
      <c r="AZ337">
        <v>0</v>
      </c>
      <c r="BA337">
        <v>321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Y337*Source!I235</f>
        <v>0</v>
      </c>
      <c r="CY337">
        <f t="shared" ref="CY337:CY342" si="30">AA337</f>
        <v>181.14</v>
      </c>
      <c r="CZ337">
        <f t="shared" ref="CZ337:CZ342" si="31">AE337</f>
        <v>27.74</v>
      </c>
      <c r="DA337">
        <f t="shared" ref="DA337:DA342" si="32">AI337</f>
        <v>6.53</v>
      </c>
      <c r="DB337">
        <v>0</v>
      </c>
    </row>
    <row r="338" spans="1:106" x14ac:dyDescent="0.2">
      <c r="A338">
        <f>ROW(Source!A235)</f>
        <v>235</v>
      </c>
      <c r="B338">
        <v>39099382</v>
      </c>
      <c r="C338">
        <v>39491535</v>
      </c>
      <c r="D338">
        <v>36804578</v>
      </c>
      <c r="E338">
        <v>1</v>
      </c>
      <c r="F338">
        <v>1</v>
      </c>
      <c r="G338">
        <v>1</v>
      </c>
      <c r="H338">
        <v>3</v>
      </c>
      <c r="I338" t="s">
        <v>901</v>
      </c>
      <c r="J338" t="s">
        <v>902</v>
      </c>
      <c r="K338" t="s">
        <v>903</v>
      </c>
      <c r="L338">
        <v>1355</v>
      </c>
      <c r="N338">
        <v>1010</v>
      </c>
      <c r="O338" t="s">
        <v>120</v>
      </c>
      <c r="P338" t="s">
        <v>120</v>
      </c>
      <c r="Q338">
        <v>100</v>
      </c>
      <c r="W338">
        <v>0</v>
      </c>
      <c r="X338">
        <v>-66531260</v>
      </c>
      <c r="Y338">
        <v>0</v>
      </c>
      <c r="AA338">
        <v>541.99</v>
      </c>
      <c r="AB338">
        <v>0</v>
      </c>
      <c r="AC338">
        <v>0</v>
      </c>
      <c r="AD338">
        <v>0</v>
      </c>
      <c r="AE338">
        <v>83</v>
      </c>
      <c r="AF338">
        <v>0</v>
      </c>
      <c r="AG338">
        <v>0</v>
      </c>
      <c r="AH338">
        <v>0</v>
      </c>
      <c r="AI338">
        <v>6.53</v>
      </c>
      <c r="AJ338">
        <v>1</v>
      </c>
      <c r="AK338">
        <v>1</v>
      </c>
      <c r="AL338">
        <v>1</v>
      </c>
      <c r="AN338">
        <v>0</v>
      </c>
      <c r="AO338">
        <v>1</v>
      </c>
      <c r="AP338">
        <v>1</v>
      </c>
      <c r="AQ338">
        <v>0</v>
      </c>
      <c r="AR338">
        <v>0</v>
      </c>
      <c r="AS338" t="s">
        <v>3</v>
      </c>
      <c r="AT338">
        <v>0.01</v>
      </c>
      <c r="AU338" t="s">
        <v>210</v>
      </c>
      <c r="AV338">
        <v>0</v>
      </c>
      <c r="AW338">
        <v>2</v>
      </c>
      <c r="AX338">
        <v>39491545</v>
      </c>
      <c r="AY338">
        <v>1</v>
      </c>
      <c r="AZ338">
        <v>0</v>
      </c>
      <c r="BA338">
        <v>322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Y338*Source!I235</f>
        <v>0</v>
      </c>
      <c r="CY338">
        <f t="shared" si="30"/>
        <v>541.99</v>
      </c>
      <c r="CZ338">
        <f t="shared" si="31"/>
        <v>83</v>
      </c>
      <c r="DA338">
        <f t="shared" si="32"/>
        <v>6.53</v>
      </c>
      <c r="DB338">
        <v>0</v>
      </c>
    </row>
    <row r="339" spans="1:106" x14ac:dyDescent="0.2">
      <c r="A339">
        <f>ROW(Source!A235)</f>
        <v>235</v>
      </c>
      <c r="B339">
        <v>39099382</v>
      </c>
      <c r="C339">
        <v>39491535</v>
      </c>
      <c r="D339">
        <v>36806488</v>
      </c>
      <c r="E339">
        <v>1</v>
      </c>
      <c r="F339">
        <v>1</v>
      </c>
      <c r="G339">
        <v>1</v>
      </c>
      <c r="H339">
        <v>3</v>
      </c>
      <c r="I339" t="s">
        <v>653</v>
      </c>
      <c r="J339" t="s">
        <v>654</v>
      </c>
      <c r="K339" t="s">
        <v>655</v>
      </c>
      <c r="L339">
        <v>1348</v>
      </c>
      <c r="N339">
        <v>1009</v>
      </c>
      <c r="O339" t="s">
        <v>189</v>
      </c>
      <c r="P339" t="s">
        <v>189</v>
      </c>
      <c r="Q339">
        <v>1000</v>
      </c>
      <c r="W339">
        <v>0</v>
      </c>
      <c r="X339">
        <v>-1421715385</v>
      </c>
      <c r="Y339">
        <v>0</v>
      </c>
      <c r="AA339">
        <v>4766.7700000000004</v>
      </c>
      <c r="AB339">
        <v>0</v>
      </c>
      <c r="AC339">
        <v>0</v>
      </c>
      <c r="AD339">
        <v>0</v>
      </c>
      <c r="AE339">
        <v>729.98</v>
      </c>
      <c r="AF339">
        <v>0</v>
      </c>
      <c r="AG339">
        <v>0</v>
      </c>
      <c r="AH339">
        <v>0</v>
      </c>
      <c r="AI339">
        <v>6.53</v>
      </c>
      <c r="AJ339">
        <v>1</v>
      </c>
      <c r="AK339">
        <v>1</v>
      </c>
      <c r="AL339">
        <v>1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3</v>
      </c>
      <c r="AT339">
        <v>1.0000000000000001E-5</v>
      </c>
      <c r="AU339" t="s">
        <v>210</v>
      </c>
      <c r="AV339">
        <v>0</v>
      </c>
      <c r="AW339">
        <v>2</v>
      </c>
      <c r="AX339">
        <v>39491546</v>
      </c>
      <c r="AY339">
        <v>1</v>
      </c>
      <c r="AZ339">
        <v>0</v>
      </c>
      <c r="BA339">
        <v>323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Y339*Source!I235</f>
        <v>0</v>
      </c>
      <c r="CY339">
        <f t="shared" si="30"/>
        <v>4766.7700000000004</v>
      </c>
      <c r="CZ339">
        <f t="shared" si="31"/>
        <v>729.98</v>
      </c>
      <c r="DA339">
        <f t="shared" si="32"/>
        <v>6.53</v>
      </c>
      <c r="DB339">
        <v>0</v>
      </c>
    </row>
    <row r="340" spans="1:106" x14ac:dyDescent="0.2">
      <c r="A340">
        <f>ROW(Source!A235)</f>
        <v>235</v>
      </c>
      <c r="B340">
        <v>39099382</v>
      </c>
      <c r="C340">
        <v>39491535</v>
      </c>
      <c r="D340">
        <v>36829536</v>
      </c>
      <c r="E340">
        <v>1</v>
      </c>
      <c r="F340">
        <v>1</v>
      </c>
      <c r="G340">
        <v>1</v>
      </c>
      <c r="H340">
        <v>3</v>
      </c>
      <c r="I340" t="s">
        <v>904</v>
      </c>
      <c r="J340" t="s">
        <v>905</v>
      </c>
      <c r="K340" t="s">
        <v>906</v>
      </c>
      <c r="L340">
        <v>1346</v>
      </c>
      <c r="N340">
        <v>1009</v>
      </c>
      <c r="O340" t="s">
        <v>97</v>
      </c>
      <c r="P340" t="s">
        <v>97</v>
      </c>
      <c r="Q340">
        <v>1</v>
      </c>
      <c r="W340">
        <v>0</v>
      </c>
      <c r="X340">
        <v>-1726842289</v>
      </c>
      <c r="Y340">
        <v>0</v>
      </c>
      <c r="AA340">
        <v>429.35</v>
      </c>
      <c r="AB340">
        <v>0</v>
      </c>
      <c r="AC340">
        <v>0</v>
      </c>
      <c r="AD340">
        <v>0</v>
      </c>
      <c r="AE340">
        <v>65.75</v>
      </c>
      <c r="AF340">
        <v>0</v>
      </c>
      <c r="AG340">
        <v>0</v>
      </c>
      <c r="AH340">
        <v>0</v>
      </c>
      <c r="AI340">
        <v>6.53</v>
      </c>
      <c r="AJ340">
        <v>1</v>
      </c>
      <c r="AK340">
        <v>1</v>
      </c>
      <c r="AL340">
        <v>1</v>
      </c>
      <c r="AN340">
        <v>0</v>
      </c>
      <c r="AO340">
        <v>1</v>
      </c>
      <c r="AP340">
        <v>1</v>
      </c>
      <c r="AQ340">
        <v>0</v>
      </c>
      <c r="AR340">
        <v>0</v>
      </c>
      <c r="AS340" t="s">
        <v>3</v>
      </c>
      <c r="AT340">
        <v>2E-3</v>
      </c>
      <c r="AU340" t="s">
        <v>210</v>
      </c>
      <c r="AV340">
        <v>0</v>
      </c>
      <c r="AW340">
        <v>2</v>
      </c>
      <c r="AX340">
        <v>39491547</v>
      </c>
      <c r="AY340">
        <v>1</v>
      </c>
      <c r="AZ340">
        <v>0</v>
      </c>
      <c r="BA340">
        <v>324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Y340*Source!I235</f>
        <v>0</v>
      </c>
      <c r="CY340">
        <f t="shared" si="30"/>
        <v>429.35</v>
      </c>
      <c r="CZ340">
        <f t="shared" si="31"/>
        <v>65.75</v>
      </c>
      <c r="DA340">
        <f t="shared" si="32"/>
        <v>6.53</v>
      </c>
      <c r="DB340">
        <v>0</v>
      </c>
    </row>
    <row r="341" spans="1:106" x14ac:dyDescent="0.2">
      <c r="A341">
        <f>ROW(Source!A235)</f>
        <v>235</v>
      </c>
      <c r="B341">
        <v>39099382</v>
      </c>
      <c r="C341">
        <v>39491535</v>
      </c>
      <c r="D341">
        <v>36836995</v>
      </c>
      <c r="E341">
        <v>1</v>
      </c>
      <c r="F341">
        <v>1</v>
      </c>
      <c r="G341">
        <v>1</v>
      </c>
      <c r="H341">
        <v>3</v>
      </c>
      <c r="I341" t="s">
        <v>907</v>
      </c>
      <c r="J341" t="s">
        <v>908</v>
      </c>
      <c r="K341" t="s">
        <v>909</v>
      </c>
      <c r="L341">
        <v>1346</v>
      </c>
      <c r="N341">
        <v>1009</v>
      </c>
      <c r="O341" t="s">
        <v>97</v>
      </c>
      <c r="P341" t="s">
        <v>97</v>
      </c>
      <c r="Q341">
        <v>1</v>
      </c>
      <c r="W341">
        <v>0</v>
      </c>
      <c r="X341">
        <v>497371595</v>
      </c>
      <c r="Y341">
        <v>0</v>
      </c>
      <c r="AA341">
        <v>188.91</v>
      </c>
      <c r="AB341">
        <v>0</v>
      </c>
      <c r="AC341">
        <v>0</v>
      </c>
      <c r="AD341">
        <v>0</v>
      </c>
      <c r="AE341">
        <v>28.93</v>
      </c>
      <c r="AF341">
        <v>0</v>
      </c>
      <c r="AG341">
        <v>0</v>
      </c>
      <c r="AH341">
        <v>0</v>
      </c>
      <c r="AI341">
        <v>6.53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1</v>
      </c>
      <c r="AQ341">
        <v>0</v>
      </c>
      <c r="AR341">
        <v>0</v>
      </c>
      <c r="AS341" t="s">
        <v>3</v>
      </c>
      <c r="AT341">
        <v>5.0000000000000001E-3</v>
      </c>
      <c r="AU341" t="s">
        <v>210</v>
      </c>
      <c r="AV341">
        <v>0</v>
      </c>
      <c r="AW341">
        <v>2</v>
      </c>
      <c r="AX341">
        <v>39491548</v>
      </c>
      <c r="AY341">
        <v>1</v>
      </c>
      <c r="AZ341">
        <v>0</v>
      </c>
      <c r="BA341">
        <v>325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Y341*Source!I235</f>
        <v>0</v>
      </c>
      <c r="CY341">
        <f t="shared" si="30"/>
        <v>188.91</v>
      </c>
      <c r="CZ341">
        <f t="shared" si="31"/>
        <v>28.93</v>
      </c>
      <c r="DA341">
        <f t="shared" si="32"/>
        <v>6.53</v>
      </c>
      <c r="DB341">
        <v>0</v>
      </c>
    </row>
    <row r="342" spans="1:106" x14ac:dyDescent="0.2">
      <c r="A342">
        <f>ROW(Source!A235)</f>
        <v>235</v>
      </c>
      <c r="B342">
        <v>39099382</v>
      </c>
      <c r="C342">
        <v>39491535</v>
      </c>
      <c r="D342">
        <v>36799065</v>
      </c>
      <c r="E342">
        <v>17</v>
      </c>
      <c r="F342">
        <v>1</v>
      </c>
      <c r="G342">
        <v>1</v>
      </c>
      <c r="H342">
        <v>3</v>
      </c>
      <c r="I342" t="s">
        <v>801</v>
      </c>
      <c r="J342" t="s">
        <v>3</v>
      </c>
      <c r="K342" t="s">
        <v>802</v>
      </c>
      <c r="L342">
        <v>1374</v>
      </c>
      <c r="N342">
        <v>1013</v>
      </c>
      <c r="O342" t="s">
        <v>803</v>
      </c>
      <c r="P342" t="s">
        <v>803</v>
      </c>
      <c r="Q342">
        <v>1</v>
      </c>
      <c r="W342">
        <v>0</v>
      </c>
      <c r="X342">
        <v>-1731369543</v>
      </c>
      <c r="Y342">
        <v>0</v>
      </c>
      <c r="AA342">
        <v>1</v>
      </c>
      <c r="AB342">
        <v>0</v>
      </c>
      <c r="AC342">
        <v>0</v>
      </c>
      <c r="AD342">
        <v>0</v>
      </c>
      <c r="AE342">
        <v>1</v>
      </c>
      <c r="AF342">
        <v>0</v>
      </c>
      <c r="AG342">
        <v>0</v>
      </c>
      <c r="AH342">
        <v>0</v>
      </c>
      <c r="AI342">
        <v>1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1</v>
      </c>
      <c r="AQ342">
        <v>0</v>
      </c>
      <c r="AR342">
        <v>0</v>
      </c>
      <c r="AS342" t="s">
        <v>3</v>
      </c>
      <c r="AT342">
        <v>0.16</v>
      </c>
      <c r="AU342" t="s">
        <v>210</v>
      </c>
      <c r="AV342">
        <v>0</v>
      </c>
      <c r="AW342">
        <v>2</v>
      </c>
      <c r="AX342">
        <v>39491549</v>
      </c>
      <c r="AY342">
        <v>1</v>
      </c>
      <c r="AZ342">
        <v>0</v>
      </c>
      <c r="BA342">
        <v>326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Y342*Source!I235</f>
        <v>0</v>
      </c>
      <c r="CY342">
        <f t="shared" si="30"/>
        <v>1</v>
      </c>
      <c r="CZ342">
        <f t="shared" si="31"/>
        <v>1</v>
      </c>
      <c r="DA342">
        <f t="shared" si="32"/>
        <v>1</v>
      </c>
      <c r="DB342">
        <v>0</v>
      </c>
    </row>
    <row r="343" spans="1:106" x14ac:dyDescent="0.2">
      <c r="A343">
        <f>ROW(Source!A236)</f>
        <v>236</v>
      </c>
      <c r="B343">
        <v>39099382</v>
      </c>
      <c r="C343">
        <v>39491550</v>
      </c>
      <c r="D343">
        <v>37071037</v>
      </c>
      <c r="E343">
        <v>1</v>
      </c>
      <c r="F343">
        <v>1</v>
      </c>
      <c r="G343">
        <v>1</v>
      </c>
      <c r="H343">
        <v>1</v>
      </c>
      <c r="I343" t="s">
        <v>707</v>
      </c>
      <c r="J343" t="s">
        <v>3</v>
      </c>
      <c r="K343" t="s">
        <v>708</v>
      </c>
      <c r="L343">
        <v>1191</v>
      </c>
      <c r="N343">
        <v>1013</v>
      </c>
      <c r="O343" t="s">
        <v>641</v>
      </c>
      <c r="P343" t="s">
        <v>641</v>
      </c>
      <c r="Q343">
        <v>1</v>
      </c>
      <c r="W343">
        <v>0</v>
      </c>
      <c r="X343">
        <v>1069510174</v>
      </c>
      <c r="Y343">
        <v>0.84</v>
      </c>
      <c r="AA343">
        <v>0</v>
      </c>
      <c r="AB343">
        <v>0</v>
      </c>
      <c r="AC343">
        <v>0</v>
      </c>
      <c r="AD343">
        <v>62.82</v>
      </c>
      <c r="AE343">
        <v>0</v>
      </c>
      <c r="AF343">
        <v>0</v>
      </c>
      <c r="AG343">
        <v>0</v>
      </c>
      <c r="AH343">
        <v>9.6199999999999992</v>
      </c>
      <c r="AI343">
        <v>1</v>
      </c>
      <c r="AJ343">
        <v>1</v>
      </c>
      <c r="AK343">
        <v>1</v>
      </c>
      <c r="AL343">
        <v>6.53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3</v>
      </c>
      <c r="AT343">
        <v>0.84</v>
      </c>
      <c r="AU343" t="s">
        <v>3</v>
      </c>
      <c r="AV343">
        <v>1</v>
      </c>
      <c r="AW343">
        <v>2</v>
      </c>
      <c r="AX343">
        <v>39491559</v>
      </c>
      <c r="AY343">
        <v>1</v>
      </c>
      <c r="AZ343">
        <v>0</v>
      </c>
      <c r="BA343">
        <v>327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Y343*Source!I236</f>
        <v>38.64</v>
      </c>
      <c r="CY343">
        <f>AD343</f>
        <v>62.82</v>
      </c>
      <c r="CZ343">
        <f>AH343</f>
        <v>9.6199999999999992</v>
      </c>
      <c r="DA343">
        <f>AL343</f>
        <v>6.53</v>
      </c>
      <c r="DB343">
        <v>0</v>
      </c>
    </row>
    <row r="344" spans="1:106" x14ac:dyDescent="0.2">
      <c r="A344">
        <f>ROW(Source!A236)</f>
        <v>236</v>
      </c>
      <c r="B344">
        <v>39099382</v>
      </c>
      <c r="C344">
        <v>39491550</v>
      </c>
      <c r="D344">
        <v>36800424</v>
      </c>
      <c r="E344">
        <v>1</v>
      </c>
      <c r="F344">
        <v>1</v>
      </c>
      <c r="G344">
        <v>1</v>
      </c>
      <c r="H344">
        <v>3</v>
      </c>
      <c r="I344" t="s">
        <v>898</v>
      </c>
      <c r="J344" t="s">
        <v>899</v>
      </c>
      <c r="K344" t="s">
        <v>900</v>
      </c>
      <c r="L344">
        <v>1346</v>
      </c>
      <c r="N344">
        <v>1009</v>
      </c>
      <c r="O344" t="s">
        <v>97</v>
      </c>
      <c r="P344" t="s">
        <v>97</v>
      </c>
      <c r="Q344">
        <v>1</v>
      </c>
      <c r="W344">
        <v>0</v>
      </c>
      <c r="X344">
        <v>1559187994</v>
      </c>
      <c r="Y344">
        <v>2.0000000000000001E-4</v>
      </c>
      <c r="AA344">
        <v>181.14</v>
      </c>
      <c r="AB344">
        <v>0</v>
      </c>
      <c r="AC344">
        <v>0</v>
      </c>
      <c r="AD344">
        <v>0</v>
      </c>
      <c r="AE344">
        <v>27.74</v>
      </c>
      <c r="AF344">
        <v>0</v>
      </c>
      <c r="AG344">
        <v>0</v>
      </c>
      <c r="AH344">
        <v>0</v>
      </c>
      <c r="AI344">
        <v>6.53</v>
      </c>
      <c r="AJ344">
        <v>1</v>
      </c>
      <c r="AK344">
        <v>1</v>
      </c>
      <c r="AL344">
        <v>1</v>
      </c>
      <c r="AN344">
        <v>0</v>
      </c>
      <c r="AO344">
        <v>1</v>
      </c>
      <c r="AP344">
        <v>0</v>
      </c>
      <c r="AQ344">
        <v>0</v>
      </c>
      <c r="AR344">
        <v>0</v>
      </c>
      <c r="AS344" t="s">
        <v>3</v>
      </c>
      <c r="AT344">
        <v>2.0000000000000001E-4</v>
      </c>
      <c r="AU344" t="s">
        <v>3</v>
      </c>
      <c r="AV344">
        <v>0</v>
      </c>
      <c r="AW344">
        <v>2</v>
      </c>
      <c r="AX344">
        <v>39491560</v>
      </c>
      <c r="AY344">
        <v>1</v>
      </c>
      <c r="AZ344">
        <v>0</v>
      </c>
      <c r="BA344">
        <v>328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Y344*Source!I236</f>
        <v>9.1999999999999998E-3</v>
      </c>
      <c r="CY344">
        <f t="shared" ref="CY344:CY350" si="33">AA344</f>
        <v>181.14</v>
      </c>
      <c r="CZ344">
        <f t="shared" ref="CZ344:CZ350" si="34">AE344</f>
        <v>27.74</v>
      </c>
      <c r="DA344">
        <f t="shared" ref="DA344:DA350" si="35">AI344</f>
        <v>6.53</v>
      </c>
      <c r="DB344">
        <v>0</v>
      </c>
    </row>
    <row r="345" spans="1:106" x14ac:dyDescent="0.2">
      <c r="A345">
        <f>ROW(Source!A236)</f>
        <v>236</v>
      </c>
      <c r="B345">
        <v>39099382</v>
      </c>
      <c r="C345">
        <v>39491550</v>
      </c>
      <c r="D345">
        <v>36804578</v>
      </c>
      <c r="E345">
        <v>1</v>
      </c>
      <c r="F345">
        <v>1</v>
      </c>
      <c r="G345">
        <v>1</v>
      </c>
      <c r="H345">
        <v>3</v>
      </c>
      <c r="I345" t="s">
        <v>901</v>
      </c>
      <c r="J345" t="s">
        <v>902</v>
      </c>
      <c r="K345" t="s">
        <v>903</v>
      </c>
      <c r="L345">
        <v>1355</v>
      </c>
      <c r="N345">
        <v>1010</v>
      </c>
      <c r="O345" t="s">
        <v>120</v>
      </c>
      <c r="P345" t="s">
        <v>120</v>
      </c>
      <c r="Q345">
        <v>100</v>
      </c>
      <c r="W345">
        <v>0</v>
      </c>
      <c r="X345">
        <v>-66531260</v>
      </c>
      <c r="Y345">
        <v>0.01</v>
      </c>
      <c r="AA345">
        <v>541.99</v>
      </c>
      <c r="AB345">
        <v>0</v>
      </c>
      <c r="AC345">
        <v>0</v>
      </c>
      <c r="AD345">
        <v>0</v>
      </c>
      <c r="AE345">
        <v>83</v>
      </c>
      <c r="AF345">
        <v>0</v>
      </c>
      <c r="AG345">
        <v>0</v>
      </c>
      <c r="AH345">
        <v>0</v>
      </c>
      <c r="AI345">
        <v>6.53</v>
      </c>
      <c r="AJ345">
        <v>1</v>
      </c>
      <c r="AK345">
        <v>1</v>
      </c>
      <c r="AL345">
        <v>1</v>
      </c>
      <c r="AN345">
        <v>0</v>
      </c>
      <c r="AO345">
        <v>1</v>
      </c>
      <c r="AP345">
        <v>0</v>
      </c>
      <c r="AQ345">
        <v>0</v>
      </c>
      <c r="AR345">
        <v>0</v>
      </c>
      <c r="AS345" t="s">
        <v>3</v>
      </c>
      <c r="AT345">
        <v>0.01</v>
      </c>
      <c r="AU345" t="s">
        <v>3</v>
      </c>
      <c r="AV345">
        <v>0</v>
      </c>
      <c r="AW345">
        <v>2</v>
      </c>
      <c r="AX345">
        <v>39491561</v>
      </c>
      <c r="AY345">
        <v>1</v>
      </c>
      <c r="AZ345">
        <v>0</v>
      </c>
      <c r="BA345">
        <v>329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Y345*Source!I236</f>
        <v>0.46</v>
      </c>
      <c r="CY345">
        <f t="shared" si="33"/>
        <v>541.99</v>
      </c>
      <c r="CZ345">
        <f t="shared" si="34"/>
        <v>83</v>
      </c>
      <c r="DA345">
        <f t="shared" si="35"/>
        <v>6.53</v>
      </c>
      <c r="DB345">
        <v>0</v>
      </c>
    </row>
    <row r="346" spans="1:106" x14ac:dyDescent="0.2">
      <c r="A346">
        <f>ROW(Source!A236)</f>
        <v>236</v>
      </c>
      <c r="B346">
        <v>39099382</v>
      </c>
      <c r="C346">
        <v>39491550</v>
      </c>
      <c r="D346">
        <v>36806488</v>
      </c>
      <c r="E346">
        <v>1</v>
      </c>
      <c r="F346">
        <v>1</v>
      </c>
      <c r="G346">
        <v>1</v>
      </c>
      <c r="H346">
        <v>3</v>
      </c>
      <c r="I346" t="s">
        <v>653</v>
      </c>
      <c r="J346" t="s">
        <v>654</v>
      </c>
      <c r="K346" t="s">
        <v>655</v>
      </c>
      <c r="L346">
        <v>1348</v>
      </c>
      <c r="N346">
        <v>1009</v>
      </c>
      <c r="O346" t="s">
        <v>189</v>
      </c>
      <c r="P346" t="s">
        <v>189</v>
      </c>
      <c r="Q346">
        <v>1000</v>
      </c>
      <c r="W346">
        <v>0</v>
      </c>
      <c r="X346">
        <v>-1421715385</v>
      </c>
      <c r="Y346">
        <v>1.0000000000000001E-5</v>
      </c>
      <c r="AA346">
        <v>4766.7700000000004</v>
      </c>
      <c r="AB346">
        <v>0</v>
      </c>
      <c r="AC346">
        <v>0</v>
      </c>
      <c r="AD346">
        <v>0</v>
      </c>
      <c r="AE346">
        <v>729.98</v>
      </c>
      <c r="AF346">
        <v>0</v>
      </c>
      <c r="AG346">
        <v>0</v>
      </c>
      <c r="AH346">
        <v>0</v>
      </c>
      <c r="AI346">
        <v>6.53</v>
      </c>
      <c r="AJ346">
        <v>1</v>
      </c>
      <c r="AK346">
        <v>1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3</v>
      </c>
      <c r="AT346">
        <v>1.0000000000000001E-5</v>
      </c>
      <c r="AU346" t="s">
        <v>3</v>
      </c>
      <c r="AV346">
        <v>0</v>
      </c>
      <c r="AW346">
        <v>2</v>
      </c>
      <c r="AX346">
        <v>39491562</v>
      </c>
      <c r="AY346">
        <v>1</v>
      </c>
      <c r="AZ346">
        <v>0</v>
      </c>
      <c r="BA346">
        <v>330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Y346*Source!I236</f>
        <v>4.6000000000000001E-4</v>
      </c>
      <c r="CY346">
        <f t="shared" si="33"/>
        <v>4766.7700000000004</v>
      </c>
      <c r="CZ346">
        <f t="shared" si="34"/>
        <v>729.98</v>
      </c>
      <c r="DA346">
        <f t="shared" si="35"/>
        <v>6.53</v>
      </c>
      <c r="DB346">
        <v>0</v>
      </c>
    </row>
    <row r="347" spans="1:106" x14ac:dyDescent="0.2">
      <c r="A347">
        <f>ROW(Source!A236)</f>
        <v>236</v>
      </c>
      <c r="B347">
        <v>39099382</v>
      </c>
      <c r="C347">
        <v>39491550</v>
      </c>
      <c r="D347">
        <v>36829536</v>
      </c>
      <c r="E347">
        <v>1</v>
      </c>
      <c r="F347">
        <v>1</v>
      </c>
      <c r="G347">
        <v>1</v>
      </c>
      <c r="H347">
        <v>3</v>
      </c>
      <c r="I347" t="s">
        <v>904</v>
      </c>
      <c r="J347" t="s">
        <v>905</v>
      </c>
      <c r="K347" t="s">
        <v>906</v>
      </c>
      <c r="L347">
        <v>1346</v>
      </c>
      <c r="N347">
        <v>1009</v>
      </c>
      <c r="O347" t="s">
        <v>97</v>
      </c>
      <c r="P347" t="s">
        <v>97</v>
      </c>
      <c r="Q347">
        <v>1</v>
      </c>
      <c r="W347">
        <v>0</v>
      </c>
      <c r="X347">
        <v>-1726842289</v>
      </c>
      <c r="Y347">
        <v>2E-3</v>
      </c>
      <c r="AA347">
        <v>429.35</v>
      </c>
      <c r="AB347">
        <v>0</v>
      </c>
      <c r="AC347">
        <v>0</v>
      </c>
      <c r="AD347">
        <v>0</v>
      </c>
      <c r="AE347">
        <v>65.75</v>
      </c>
      <c r="AF347">
        <v>0</v>
      </c>
      <c r="AG347">
        <v>0</v>
      </c>
      <c r="AH347">
        <v>0</v>
      </c>
      <c r="AI347">
        <v>6.53</v>
      </c>
      <c r="AJ347">
        <v>1</v>
      </c>
      <c r="AK347">
        <v>1</v>
      </c>
      <c r="AL347">
        <v>1</v>
      </c>
      <c r="AN347">
        <v>0</v>
      </c>
      <c r="AO347">
        <v>1</v>
      </c>
      <c r="AP347">
        <v>0</v>
      </c>
      <c r="AQ347">
        <v>0</v>
      </c>
      <c r="AR347">
        <v>0</v>
      </c>
      <c r="AS347" t="s">
        <v>3</v>
      </c>
      <c r="AT347">
        <v>2E-3</v>
      </c>
      <c r="AU347" t="s">
        <v>3</v>
      </c>
      <c r="AV347">
        <v>0</v>
      </c>
      <c r="AW347">
        <v>2</v>
      </c>
      <c r="AX347">
        <v>39491563</v>
      </c>
      <c r="AY347">
        <v>1</v>
      </c>
      <c r="AZ347">
        <v>0</v>
      </c>
      <c r="BA347">
        <v>331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Y347*Source!I236</f>
        <v>9.1999999999999998E-2</v>
      </c>
      <c r="CY347">
        <f t="shared" si="33"/>
        <v>429.35</v>
      </c>
      <c r="CZ347">
        <f t="shared" si="34"/>
        <v>65.75</v>
      </c>
      <c r="DA347">
        <f t="shared" si="35"/>
        <v>6.53</v>
      </c>
      <c r="DB347">
        <v>0</v>
      </c>
    </row>
    <row r="348" spans="1:106" x14ac:dyDescent="0.2">
      <c r="A348">
        <f>ROW(Source!A236)</f>
        <v>236</v>
      </c>
      <c r="B348">
        <v>39099382</v>
      </c>
      <c r="C348">
        <v>39491550</v>
      </c>
      <c r="D348">
        <v>36836995</v>
      </c>
      <c r="E348">
        <v>1</v>
      </c>
      <c r="F348">
        <v>1</v>
      </c>
      <c r="G348">
        <v>1</v>
      </c>
      <c r="H348">
        <v>3</v>
      </c>
      <c r="I348" t="s">
        <v>907</v>
      </c>
      <c r="J348" t="s">
        <v>908</v>
      </c>
      <c r="K348" t="s">
        <v>909</v>
      </c>
      <c r="L348">
        <v>1346</v>
      </c>
      <c r="N348">
        <v>1009</v>
      </c>
      <c r="O348" t="s">
        <v>97</v>
      </c>
      <c r="P348" t="s">
        <v>97</v>
      </c>
      <c r="Q348">
        <v>1</v>
      </c>
      <c r="W348">
        <v>0</v>
      </c>
      <c r="X348">
        <v>497371595</v>
      </c>
      <c r="Y348">
        <v>5.0000000000000001E-3</v>
      </c>
      <c r="AA348">
        <v>188.91</v>
      </c>
      <c r="AB348">
        <v>0</v>
      </c>
      <c r="AC348">
        <v>0</v>
      </c>
      <c r="AD348">
        <v>0</v>
      </c>
      <c r="AE348">
        <v>28.93</v>
      </c>
      <c r="AF348">
        <v>0</v>
      </c>
      <c r="AG348">
        <v>0</v>
      </c>
      <c r="AH348">
        <v>0</v>
      </c>
      <c r="AI348">
        <v>6.53</v>
      </c>
      <c r="AJ348">
        <v>1</v>
      </c>
      <c r="AK348">
        <v>1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3</v>
      </c>
      <c r="AT348">
        <v>5.0000000000000001E-3</v>
      </c>
      <c r="AU348" t="s">
        <v>3</v>
      </c>
      <c r="AV348">
        <v>0</v>
      </c>
      <c r="AW348">
        <v>2</v>
      </c>
      <c r="AX348">
        <v>39491564</v>
      </c>
      <c r="AY348">
        <v>1</v>
      </c>
      <c r="AZ348">
        <v>0</v>
      </c>
      <c r="BA348">
        <v>332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Y348*Source!I236</f>
        <v>0.23</v>
      </c>
      <c r="CY348">
        <f t="shared" si="33"/>
        <v>188.91</v>
      </c>
      <c r="CZ348">
        <f t="shared" si="34"/>
        <v>28.93</v>
      </c>
      <c r="DA348">
        <f t="shared" si="35"/>
        <v>6.53</v>
      </c>
      <c r="DB348">
        <v>0</v>
      </c>
    </row>
    <row r="349" spans="1:106" x14ac:dyDescent="0.2">
      <c r="A349">
        <f>ROW(Source!A236)</f>
        <v>236</v>
      </c>
      <c r="B349">
        <v>39099382</v>
      </c>
      <c r="C349">
        <v>39491550</v>
      </c>
      <c r="D349">
        <v>36872161</v>
      </c>
      <c r="E349">
        <v>1</v>
      </c>
      <c r="F349">
        <v>1</v>
      </c>
      <c r="G349">
        <v>1</v>
      </c>
      <c r="H349">
        <v>3</v>
      </c>
      <c r="I349" t="s">
        <v>546</v>
      </c>
      <c r="J349" t="s">
        <v>548</v>
      </c>
      <c r="K349" t="s">
        <v>547</v>
      </c>
      <c r="L349">
        <v>1358</v>
      </c>
      <c r="N349">
        <v>1010</v>
      </c>
      <c r="O349" t="s">
        <v>417</v>
      </c>
      <c r="P349" t="s">
        <v>417</v>
      </c>
      <c r="Q349">
        <v>10</v>
      </c>
      <c r="W349">
        <v>0</v>
      </c>
      <c r="X349">
        <v>-1633447119</v>
      </c>
      <c r="Y349">
        <v>0.1</v>
      </c>
      <c r="AA349">
        <v>1875.94</v>
      </c>
      <c r="AB349">
        <v>0</v>
      </c>
      <c r="AC349">
        <v>0</v>
      </c>
      <c r="AD349">
        <v>0</v>
      </c>
      <c r="AE349">
        <v>287.27999999999997</v>
      </c>
      <c r="AF349">
        <v>0</v>
      </c>
      <c r="AG349">
        <v>0</v>
      </c>
      <c r="AH349">
        <v>0</v>
      </c>
      <c r="AI349">
        <v>6.53</v>
      </c>
      <c r="AJ349">
        <v>1</v>
      </c>
      <c r="AK349">
        <v>1</v>
      </c>
      <c r="AL349">
        <v>1</v>
      </c>
      <c r="AN349">
        <v>0</v>
      </c>
      <c r="AO349">
        <v>0</v>
      </c>
      <c r="AP349">
        <v>0</v>
      </c>
      <c r="AQ349">
        <v>0</v>
      </c>
      <c r="AR349">
        <v>0</v>
      </c>
      <c r="AS349" t="s">
        <v>3</v>
      </c>
      <c r="AT349">
        <v>0.1</v>
      </c>
      <c r="AU349" t="s">
        <v>3</v>
      </c>
      <c r="AV349">
        <v>0</v>
      </c>
      <c r="AW349">
        <v>1</v>
      </c>
      <c r="AX349">
        <v>-1</v>
      </c>
      <c r="AY349">
        <v>0</v>
      </c>
      <c r="AZ349">
        <v>0</v>
      </c>
      <c r="BA349" t="s">
        <v>3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Y349*Source!I236</f>
        <v>4.6000000000000005</v>
      </c>
      <c r="CY349">
        <f t="shared" si="33"/>
        <v>1875.94</v>
      </c>
      <c r="CZ349">
        <f t="shared" si="34"/>
        <v>287.27999999999997</v>
      </c>
      <c r="DA349">
        <f t="shared" si="35"/>
        <v>6.53</v>
      </c>
      <c r="DB349">
        <v>0</v>
      </c>
    </row>
    <row r="350" spans="1:106" x14ac:dyDescent="0.2">
      <c r="A350">
        <f>ROW(Source!A236)</f>
        <v>236</v>
      </c>
      <c r="B350">
        <v>39099382</v>
      </c>
      <c r="C350">
        <v>39491550</v>
      </c>
      <c r="D350">
        <v>36799065</v>
      </c>
      <c r="E350">
        <v>17</v>
      </c>
      <c r="F350">
        <v>1</v>
      </c>
      <c r="G350">
        <v>1</v>
      </c>
      <c r="H350">
        <v>3</v>
      </c>
      <c r="I350" t="s">
        <v>801</v>
      </c>
      <c r="J350" t="s">
        <v>3</v>
      </c>
      <c r="K350" t="s">
        <v>802</v>
      </c>
      <c r="L350">
        <v>1374</v>
      </c>
      <c r="N350">
        <v>1013</v>
      </c>
      <c r="O350" t="s">
        <v>803</v>
      </c>
      <c r="P350" t="s">
        <v>803</v>
      </c>
      <c r="Q350">
        <v>1</v>
      </c>
      <c r="W350">
        <v>0</v>
      </c>
      <c r="X350">
        <v>-1731369543</v>
      </c>
      <c r="Y350">
        <v>0.16</v>
      </c>
      <c r="AA350">
        <v>1</v>
      </c>
      <c r="AB350">
        <v>0</v>
      </c>
      <c r="AC350">
        <v>0</v>
      </c>
      <c r="AD350">
        <v>0</v>
      </c>
      <c r="AE350">
        <v>1</v>
      </c>
      <c r="AF350">
        <v>0</v>
      </c>
      <c r="AG350">
        <v>0</v>
      </c>
      <c r="AH350">
        <v>0</v>
      </c>
      <c r="AI350">
        <v>1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3</v>
      </c>
      <c r="AT350">
        <v>0.16</v>
      </c>
      <c r="AU350" t="s">
        <v>3</v>
      </c>
      <c r="AV350">
        <v>0</v>
      </c>
      <c r="AW350">
        <v>2</v>
      </c>
      <c r="AX350">
        <v>39491565</v>
      </c>
      <c r="AY350">
        <v>1</v>
      </c>
      <c r="AZ350">
        <v>0</v>
      </c>
      <c r="BA350">
        <v>333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Y350*Source!I236</f>
        <v>7.36</v>
      </c>
      <c r="CY350">
        <f t="shared" si="33"/>
        <v>1</v>
      </c>
      <c r="CZ350">
        <f t="shared" si="34"/>
        <v>1</v>
      </c>
      <c r="DA350">
        <f t="shared" si="35"/>
        <v>1</v>
      </c>
      <c r="DB350">
        <v>0</v>
      </c>
    </row>
    <row r="351" spans="1:106" x14ac:dyDescent="0.2">
      <c r="A351">
        <f>ROW(Source!A238)</f>
        <v>238</v>
      </c>
      <c r="B351">
        <v>39099382</v>
      </c>
      <c r="C351">
        <v>39491567</v>
      </c>
      <c r="D351">
        <v>37080781</v>
      </c>
      <c r="E351">
        <v>1</v>
      </c>
      <c r="F351">
        <v>1</v>
      </c>
      <c r="G351">
        <v>1</v>
      </c>
      <c r="H351">
        <v>1</v>
      </c>
      <c r="I351" t="s">
        <v>804</v>
      </c>
      <c r="J351" t="s">
        <v>3</v>
      </c>
      <c r="K351" t="s">
        <v>805</v>
      </c>
      <c r="L351">
        <v>1191</v>
      </c>
      <c r="N351">
        <v>1013</v>
      </c>
      <c r="O351" t="s">
        <v>641</v>
      </c>
      <c r="P351" t="s">
        <v>641</v>
      </c>
      <c r="Q351">
        <v>1</v>
      </c>
      <c r="W351">
        <v>0</v>
      </c>
      <c r="X351">
        <v>912892513</v>
      </c>
      <c r="Y351">
        <v>5.4</v>
      </c>
      <c r="AA351">
        <v>0</v>
      </c>
      <c r="AB351">
        <v>0</v>
      </c>
      <c r="AC351">
        <v>0</v>
      </c>
      <c r="AD351">
        <v>64.78</v>
      </c>
      <c r="AE351">
        <v>0</v>
      </c>
      <c r="AF351">
        <v>0</v>
      </c>
      <c r="AG351">
        <v>0</v>
      </c>
      <c r="AH351">
        <v>9.92</v>
      </c>
      <c r="AI351">
        <v>1</v>
      </c>
      <c r="AJ351">
        <v>1</v>
      </c>
      <c r="AK351">
        <v>1</v>
      </c>
      <c r="AL351">
        <v>6.53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3</v>
      </c>
      <c r="AT351">
        <v>5.4</v>
      </c>
      <c r="AU351" t="s">
        <v>3</v>
      </c>
      <c r="AV351">
        <v>1</v>
      </c>
      <c r="AW351">
        <v>2</v>
      </c>
      <c r="AX351">
        <v>39491574</v>
      </c>
      <c r="AY351">
        <v>1</v>
      </c>
      <c r="AZ351">
        <v>0</v>
      </c>
      <c r="BA351">
        <v>334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Y351*Source!I238</f>
        <v>12.42</v>
      </c>
      <c r="CY351">
        <f>AD351</f>
        <v>64.78</v>
      </c>
      <c r="CZ351">
        <f>AH351</f>
        <v>9.92</v>
      </c>
      <c r="DA351">
        <f>AL351</f>
        <v>6.53</v>
      </c>
      <c r="DB351">
        <v>0</v>
      </c>
    </row>
    <row r="352" spans="1:106" x14ac:dyDescent="0.2">
      <c r="A352">
        <f>ROW(Source!A238)</f>
        <v>238</v>
      </c>
      <c r="B352">
        <v>39099382</v>
      </c>
      <c r="C352">
        <v>39491567</v>
      </c>
      <c r="D352">
        <v>36800424</v>
      </c>
      <c r="E352">
        <v>1</v>
      </c>
      <c r="F352">
        <v>1</v>
      </c>
      <c r="G352">
        <v>1</v>
      </c>
      <c r="H352">
        <v>3</v>
      </c>
      <c r="I352" t="s">
        <v>898</v>
      </c>
      <c r="J352" t="s">
        <v>899</v>
      </c>
      <c r="K352" t="s">
        <v>900</v>
      </c>
      <c r="L352">
        <v>1346</v>
      </c>
      <c r="N352">
        <v>1009</v>
      </c>
      <c r="O352" t="s">
        <v>97</v>
      </c>
      <c r="P352" t="s">
        <v>97</v>
      </c>
      <c r="Q352">
        <v>1</v>
      </c>
      <c r="W352">
        <v>0</v>
      </c>
      <c r="X352">
        <v>1559187994</v>
      </c>
      <c r="Y352">
        <v>1.2E-2</v>
      </c>
      <c r="AA352">
        <v>181.14</v>
      </c>
      <c r="AB352">
        <v>0</v>
      </c>
      <c r="AC352">
        <v>0</v>
      </c>
      <c r="AD352">
        <v>0</v>
      </c>
      <c r="AE352">
        <v>27.74</v>
      </c>
      <c r="AF352">
        <v>0</v>
      </c>
      <c r="AG352">
        <v>0</v>
      </c>
      <c r="AH352">
        <v>0</v>
      </c>
      <c r="AI352">
        <v>6.53</v>
      </c>
      <c r="AJ352">
        <v>1</v>
      </c>
      <c r="AK352">
        <v>1</v>
      </c>
      <c r="AL352">
        <v>1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3</v>
      </c>
      <c r="AT352">
        <v>1.2E-2</v>
      </c>
      <c r="AU352" t="s">
        <v>3</v>
      </c>
      <c r="AV352">
        <v>0</v>
      </c>
      <c r="AW352">
        <v>2</v>
      </c>
      <c r="AX352">
        <v>39491575</v>
      </c>
      <c r="AY352">
        <v>1</v>
      </c>
      <c r="AZ352">
        <v>0</v>
      </c>
      <c r="BA352">
        <v>335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Y352*Source!I238</f>
        <v>2.76E-2</v>
      </c>
      <c r="CY352">
        <f>AA352</f>
        <v>181.14</v>
      </c>
      <c r="CZ352">
        <f>AE352</f>
        <v>27.74</v>
      </c>
      <c r="DA352">
        <f>AI352</f>
        <v>6.53</v>
      </c>
      <c r="DB352">
        <v>0</v>
      </c>
    </row>
    <row r="353" spans="1:106" x14ac:dyDescent="0.2">
      <c r="A353">
        <f>ROW(Source!A238)</f>
        <v>238</v>
      </c>
      <c r="B353">
        <v>39099382</v>
      </c>
      <c r="C353">
        <v>39491567</v>
      </c>
      <c r="D353">
        <v>36804578</v>
      </c>
      <c r="E353">
        <v>1</v>
      </c>
      <c r="F353">
        <v>1</v>
      </c>
      <c r="G353">
        <v>1</v>
      </c>
      <c r="H353">
        <v>3</v>
      </c>
      <c r="I353" t="s">
        <v>901</v>
      </c>
      <c r="J353" t="s">
        <v>902</v>
      </c>
      <c r="K353" t="s">
        <v>903</v>
      </c>
      <c r="L353">
        <v>1355</v>
      </c>
      <c r="N353">
        <v>1010</v>
      </c>
      <c r="O353" t="s">
        <v>120</v>
      </c>
      <c r="P353" t="s">
        <v>120</v>
      </c>
      <c r="Q353">
        <v>100</v>
      </c>
      <c r="W353">
        <v>0</v>
      </c>
      <c r="X353">
        <v>-66531260</v>
      </c>
      <c r="Y353">
        <v>0.04</v>
      </c>
      <c r="AA353">
        <v>541.99</v>
      </c>
      <c r="AB353">
        <v>0</v>
      </c>
      <c r="AC353">
        <v>0</v>
      </c>
      <c r="AD353">
        <v>0</v>
      </c>
      <c r="AE353">
        <v>83</v>
      </c>
      <c r="AF353">
        <v>0</v>
      </c>
      <c r="AG353">
        <v>0</v>
      </c>
      <c r="AH353">
        <v>0</v>
      </c>
      <c r="AI353">
        <v>6.53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3</v>
      </c>
      <c r="AT353">
        <v>0.04</v>
      </c>
      <c r="AU353" t="s">
        <v>3</v>
      </c>
      <c r="AV353">
        <v>0</v>
      </c>
      <c r="AW353">
        <v>2</v>
      </c>
      <c r="AX353">
        <v>39491576</v>
      </c>
      <c r="AY353">
        <v>1</v>
      </c>
      <c r="AZ353">
        <v>0</v>
      </c>
      <c r="BA353">
        <v>336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Y353*Source!I238</f>
        <v>9.1999999999999998E-2</v>
      </c>
      <c r="CY353">
        <f>AA353</f>
        <v>541.99</v>
      </c>
      <c r="CZ353">
        <f>AE353</f>
        <v>83</v>
      </c>
      <c r="DA353">
        <f>AI353</f>
        <v>6.53</v>
      </c>
      <c r="DB353">
        <v>0</v>
      </c>
    </row>
    <row r="354" spans="1:106" x14ac:dyDescent="0.2">
      <c r="A354">
        <f>ROW(Source!A238)</f>
        <v>238</v>
      </c>
      <c r="B354">
        <v>39099382</v>
      </c>
      <c r="C354">
        <v>39491567</v>
      </c>
      <c r="D354">
        <v>36829536</v>
      </c>
      <c r="E354">
        <v>1</v>
      </c>
      <c r="F354">
        <v>1</v>
      </c>
      <c r="G354">
        <v>1</v>
      </c>
      <c r="H354">
        <v>3</v>
      </c>
      <c r="I354" t="s">
        <v>904</v>
      </c>
      <c r="J354" t="s">
        <v>905</v>
      </c>
      <c r="K354" t="s">
        <v>906</v>
      </c>
      <c r="L354">
        <v>1346</v>
      </c>
      <c r="N354">
        <v>1009</v>
      </c>
      <c r="O354" t="s">
        <v>97</v>
      </c>
      <c r="P354" t="s">
        <v>97</v>
      </c>
      <c r="Q354">
        <v>1</v>
      </c>
      <c r="W354">
        <v>0</v>
      </c>
      <c r="X354">
        <v>-1726842289</v>
      </c>
      <c r="Y354">
        <v>0.12</v>
      </c>
      <c r="AA354">
        <v>429.35</v>
      </c>
      <c r="AB354">
        <v>0</v>
      </c>
      <c r="AC354">
        <v>0</v>
      </c>
      <c r="AD354">
        <v>0</v>
      </c>
      <c r="AE354">
        <v>65.75</v>
      </c>
      <c r="AF354">
        <v>0</v>
      </c>
      <c r="AG354">
        <v>0</v>
      </c>
      <c r="AH354">
        <v>0</v>
      </c>
      <c r="AI354">
        <v>6.53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3</v>
      </c>
      <c r="AT354">
        <v>0.12</v>
      </c>
      <c r="AU354" t="s">
        <v>3</v>
      </c>
      <c r="AV354">
        <v>0</v>
      </c>
      <c r="AW354">
        <v>2</v>
      </c>
      <c r="AX354">
        <v>39491577</v>
      </c>
      <c r="AY354">
        <v>1</v>
      </c>
      <c r="AZ354">
        <v>0</v>
      </c>
      <c r="BA354">
        <v>337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Y354*Source!I238</f>
        <v>0.27599999999999997</v>
      </c>
      <c r="CY354">
        <f>AA354</f>
        <v>429.35</v>
      </c>
      <c r="CZ354">
        <f>AE354</f>
        <v>65.75</v>
      </c>
      <c r="DA354">
        <f>AI354</f>
        <v>6.53</v>
      </c>
      <c r="DB354">
        <v>0</v>
      </c>
    </row>
    <row r="355" spans="1:106" x14ac:dyDescent="0.2">
      <c r="A355">
        <f>ROW(Source!A238)</f>
        <v>238</v>
      </c>
      <c r="B355">
        <v>39099382</v>
      </c>
      <c r="C355">
        <v>39491567</v>
      </c>
      <c r="D355">
        <v>36872799</v>
      </c>
      <c r="E355">
        <v>1</v>
      </c>
      <c r="F355">
        <v>1</v>
      </c>
      <c r="G355">
        <v>1</v>
      </c>
      <c r="H355">
        <v>3</v>
      </c>
      <c r="I355" t="s">
        <v>555</v>
      </c>
      <c r="J355" t="s">
        <v>557</v>
      </c>
      <c r="K355" t="s">
        <v>556</v>
      </c>
      <c r="L355">
        <v>1354</v>
      </c>
      <c r="N355">
        <v>1010</v>
      </c>
      <c r="O355" t="s">
        <v>37</v>
      </c>
      <c r="P355" t="s">
        <v>37</v>
      </c>
      <c r="Q355">
        <v>1</v>
      </c>
      <c r="W355">
        <v>0</v>
      </c>
      <c r="X355">
        <v>-355802124</v>
      </c>
      <c r="Y355">
        <v>10</v>
      </c>
      <c r="AA355">
        <v>378.22</v>
      </c>
      <c r="AB355">
        <v>0</v>
      </c>
      <c r="AC355">
        <v>0</v>
      </c>
      <c r="AD355">
        <v>0</v>
      </c>
      <c r="AE355">
        <v>57.92</v>
      </c>
      <c r="AF355">
        <v>0</v>
      </c>
      <c r="AG355">
        <v>0</v>
      </c>
      <c r="AH355">
        <v>0</v>
      </c>
      <c r="AI355">
        <v>6.53</v>
      </c>
      <c r="AJ355">
        <v>1</v>
      </c>
      <c r="AK355">
        <v>1</v>
      </c>
      <c r="AL355">
        <v>1</v>
      </c>
      <c r="AN355">
        <v>0</v>
      </c>
      <c r="AO355">
        <v>0</v>
      </c>
      <c r="AP355">
        <v>0</v>
      </c>
      <c r="AQ355">
        <v>0</v>
      </c>
      <c r="AR355">
        <v>0</v>
      </c>
      <c r="AS355" t="s">
        <v>3</v>
      </c>
      <c r="AT355">
        <v>10</v>
      </c>
      <c r="AU355" t="s">
        <v>3</v>
      </c>
      <c r="AV355">
        <v>0</v>
      </c>
      <c r="AW355">
        <v>1</v>
      </c>
      <c r="AX355">
        <v>-1</v>
      </c>
      <c r="AY355">
        <v>0</v>
      </c>
      <c r="AZ355">
        <v>0</v>
      </c>
      <c r="BA355" t="s">
        <v>3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Y355*Source!I238</f>
        <v>23</v>
      </c>
      <c r="CY355">
        <f>AA355</f>
        <v>378.22</v>
      </c>
      <c r="CZ355">
        <f>AE355</f>
        <v>57.92</v>
      </c>
      <c r="DA355">
        <f>AI355</f>
        <v>6.53</v>
      </c>
      <c r="DB355">
        <v>0</v>
      </c>
    </row>
    <row r="356" spans="1:106" x14ac:dyDescent="0.2">
      <c r="A356">
        <f>ROW(Source!A238)</f>
        <v>238</v>
      </c>
      <c r="B356">
        <v>39099382</v>
      </c>
      <c r="C356">
        <v>39491567</v>
      </c>
      <c r="D356">
        <v>36799065</v>
      </c>
      <c r="E356">
        <v>17</v>
      </c>
      <c r="F356">
        <v>1</v>
      </c>
      <c r="G356">
        <v>1</v>
      </c>
      <c r="H356">
        <v>3</v>
      </c>
      <c r="I356" t="s">
        <v>801</v>
      </c>
      <c r="J356" t="s">
        <v>3</v>
      </c>
      <c r="K356" t="s">
        <v>802</v>
      </c>
      <c r="L356">
        <v>1374</v>
      </c>
      <c r="N356">
        <v>1013</v>
      </c>
      <c r="O356" t="s">
        <v>803</v>
      </c>
      <c r="P356" t="s">
        <v>803</v>
      </c>
      <c r="Q356">
        <v>1</v>
      </c>
      <c r="W356">
        <v>0</v>
      </c>
      <c r="X356">
        <v>-1731369543</v>
      </c>
      <c r="Y356">
        <v>1.07</v>
      </c>
      <c r="AA356">
        <v>1</v>
      </c>
      <c r="AB356">
        <v>0</v>
      </c>
      <c r="AC356">
        <v>0</v>
      </c>
      <c r="AD356">
        <v>0</v>
      </c>
      <c r="AE356">
        <v>1</v>
      </c>
      <c r="AF356">
        <v>0</v>
      </c>
      <c r="AG356">
        <v>0</v>
      </c>
      <c r="AH356">
        <v>0</v>
      </c>
      <c r="AI356">
        <v>1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3</v>
      </c>
      <c r="AT356">
        <v>1.07</v>
      </c>
      <c r="AU356" t="s">
        <v>3</v>
      </c>
      <c r="AV356">
        <v>0</v>
      </c>
      <c r="AW356">
        <v>2</v>
      </c>
      <c r="AX356">
        <v>39491578</v>
      </c>
      <c r="AY356">
        <v>1</v>
      </c>
      <c r="AZ356">
        <v>0</v>
      </c>
      <c r="BA356">
        <v>338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Y356*Source!I238</f>
        <v>2.4609999999999999</v>
      </c>
      <c r="CY356">
        <f>AA356</f>
        <v>1</v>
      </c>
      <c r="CZ356">
        <f>AE356</f>
        <v>1</v>
      </c>
      <c r="DA356">
        <f>AI356</f>
        <v>1</v>
      </c>
      <c r="DB356">
        <v>0</v>
      </c>
    </row>
    <row r="357" spans="1:106" x14ac:dyDescent="0.2">
      <c r="A357">
        <f>ROW(Source!A240)</f>
        <v>240</v>
      </c>
      <c r="B357">
        <v>39099382</v>
      </c>
      <c r="C357">
        <v>39099984</v>
      </c>
      <c r="D357">
        <v>37072767</v>
      </c>
      <c r="E357">
        <v>1</v>
      </c>
      <c r="F357">
        <v>1</v>
      </c>
      <c r="G357">
        <v>1</v>
      </c>
      <c r="H357">
        <v>1</v>
      </c>
      <c r="I357" t="s">
        <v>674</v>
      </c>
      <c r="J357" t="s">
        <v>3</v>
      </c>
      <c r="K357" t="s">
        <v>675</v>
      </c>
      <c r="L357">
        <v>1191</v>
      </c>
      <c r="N357">
        <v>1013</v>
      </c>
      <c r="O357" t="s">
        <v>641</v>
      </c>
      <c r="P357" t="s">
        <v>641</v>
      </c>
      <c r="Q357">
        <v>1</v>
      </c>
      <c r="W357">
        <v>0</v>
      </c>
      <c r="X357">
        <v>-1027537862</v>
      </c>
      <c r="Y357">
        <v>15.2</v>
      </c>
      <c r="AA357">
        <v>0</v>
      </c>
      <c r="AB357">
        <v>0</v>
      </c>
      <c r="AC357">
        <v>0</v>
      </c>
      <c r="AD357">
        <v>59.95</v>
      </c>
      <c r="AE357">
        <v>0</v>
      </c>
      <c r="AF357">
        <v>0</v>
      </c>
      <c r="AG357">
        <v>0</v>
      </c>
      <c r="AH357">
        <v>9.18</v>
      </c>
      <c r="AI357">
        <v>1</v>
      </c>
      <c r="AJ357">
        <v>1</v>
      </c>
      <c r="AK357">
        <v>1</v>
      </c>
      <c r="AL357">
        <v>6.53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3</v>
      </c>
      <c r="AT357">
        <v>15.2</v>
      </c>
      <c r="AU357" t="s">
        <v>3</v>
      </c>
      <c r="AV357">
        <v>1</v>
      </c>
      <c r="AW357">
        <v>2</v>
      </c>
      <c r="AX357">
        <v>39099989</v>
      </c>
      <c r="AY357">
        <v>1</v>
      </c>
      <c r="AZ357">
        <v>0</v>
      </c>
      <c r="BA357">
        <v>339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Y357*Source!I240</f>
        <v>7.2959999999999994</v>
      </c>
      <c r="CY357">
        <f>AD357</f>
        <v>59.95</v>
      </c>
      <c r="CZ357">
        <f>AH357</f>
        <v>9.18</v>
      </c>
      <c r="DA357">
        <f>AL357</f>
        <v>6.53</v>
      </c>
      <c r="DB357">
        <v>0</v>
      </c>
    </row>
    <row r="358" spans="1:106" x14ac:dyDescent="0.2">
      <c r="A358">
        <f>ROW(Source!A240)</f>
        <v>240</v>
      </c>
      <c r="B358">
        <v>39099382</v>
      </c>
      <c r="C358">
        <v>39099984</v>
      </c>
      <c r="D358">
        <v>36804661</v>
      </c>
      <c r="E358">
        <v>1</v>
      </c>
      <c r="F358">
        <v>1</v>
      </c>
      <c r="G358">
        <v>1</v>
      </c>
      <c r="H358">
        <v>3</v>
      </c>
      <c r="I358" t="s">
        <v>867</v>
      </c>
      <c r="J358" t="s">
        <v>868</v>
      </c>
      <c r="K358" t="s">
        <v>869</v>
      </c>
      <c r="L358">
        <v>1355</v>
      </c>
      <c r="N358">
        <v>1010</v>
      </c>
      <c r="O358" t="s">
        <v>120</v>
      </c>
      <c r="P358" t="s">
        <v>120</v>
      </c>
      <c r="Q358">
        <v>100</v>
      </c>
      <c r="W358">
        <v>0</v>
      </c>
      <c r="X358">
        <v>1135215184</v>
      </c>
      <c r="Y358">
        <v>1.75</v>
      </c>
      <c r="AA358">
        <v>52.24</v>
      </c>
      <c r="AB358">
        <v>0</v>
      </c>
      <c r="AC358">
        <v>0</v>
      </c>
      <c r="AD358">
        <v>0</v>
      </c>
      <c r="AE358">
        <v>8</v>
      </c>
      <c r="AF358">
        <v>0</v>
      </c>
      <c r="AG358">
        <v>0</v>
      </c>
      <c r="AH358">
        <v>0</v>
      </c>
      <c r="AI358">
        <v>6.53</v>
      </c>
      <c r="AJ358">
        <v>1</v>
      </c>
      <c r="AK358">
        <v>1</v>
      </c>
      <c r="AL358">
        <v>1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3</v>
      </c>
      <c r="AT358">
        <v>1.75</v>
      </c>
      <c r="AU358" t="s">
        <v>3</v>
      </c>
      <c r="AV358">
        <v>0</v>
      </c>
      <c r="AW358">
        <v>2</v>
      </c>
      <c r="AX358">
        <v>39099990</v>
      </c>
      <c r="AY358">
        <v>1</v>
      </c>
      <c r="AZ358">
        <v>0</v>
      </c>
      <c r="BA358">
        <v>340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Y358*Source!I240</f>
        <v>0.84</v>
      </c>
      <c r="CY358">
        <f>AA358</f>
        <v>52.24</v>
      </c>
      <c r="CZ358">
        <f>AE358</f>
        <v>8</v>
      </c>
      <c r="DA358">
        <f>AI358</f>
        <v>6.53</v>
      </c>
      <c r="DB358">
        <v>0</v>
      </c>
    </row>
    <row r="359" spans="1:106" x14ac:dyDescent="0.2">
      <c r="A359">
        <f>ROW(Source!A240)</f>
        <v>240</v>
      </c>
      <c r="B359">
        <v>39099382</v>
      </c>
      <c r="C359">
        <v>39099984</v>
      </c>
      <c r="D359">
        <v>36868177</v>
      </c>
      <c r="E359">
        <v>1</v>
      </c>
      <c r="F359">
        <v>1</v>
      </c>
      <c r="G359">
        <v>1</v>
      </c>
      <c r="H359">
        <v>3</v>
      </c>
      <c r="I359" t="s">
        <v>560</v>
      </c>
      <c r="J359" t="s">
        <v>562</v>
      </c>
      <c r="K359" t="s">
        <v>561</v>
      </c>
      <c r="L359">
        <v>1302</v>
      </c>
      <c r="N359">
        <v>1003</v>
      </c>
      <c r="O359" t="s">
        <v>406</v>
      </c>
      <c r="P359" t="s">
        <v>406</v>
      </c>
      <c r="Q359">
        <v>10</v>
      </c>
      <c r="W359">
        <v>0</v>
      </c>
      <c r="X359">
        <v>1802750156</v>
      </c>
      <c r="Y359">
        <v>10</v>
      </c>
      <c r="AA359">
        <v>160.25</v>
      </c>
      <c r="AB359">
        <v>0</v>
      </c>
      <c r="AC359">
        <v>0</v>
      </c>
      <c r="AD359">
        <v>0</v>
      </c>
      <c r="AE359">
        <v>24.54</v>
      </c>
      <c r="AF359">
        <v>0</v>
      </c>
      <c r="AG359">
        <v>0</v>
      </c>
      <c r="AH359">
        <v>0</v>
      </c>
      <c r="AI359">
        <v>6.53</v>
      </c>
      <c r="AJ359">
        <v>1</v>
      </c>
      <c r="AK359">
        <v>1</v>
      </c>
      <c r="AL359">
        <v>1</v>
      </c>
      <c r="AN359">
        <v>0</v>
      </c>
      <c r="AO359">
        <v>0</v>
      </c>
      <c r="AP359">
        <v>0</v>
      </c>
      <c r="AQ359">
        <v>0</v>
      </c>
      <c r="AR359">
        <v>0</v>
      </c>
      <c r="AS359" t="s">
        <v>3</v>
      </c>
      <c r="AT359">
        <v>10</v>
      </c>
      <c r="AU359" t="s">
        <v>3</v>
      </c>
      <c r="AV359">
        <v>0</v>
      </c>
      <c r="AW359">
        <v>1</v>
      </c>
      <c r="AX359">
        <v>-1</v>
      </c>
      <c r="AY359">
        <v>0</v>
      </c>
      <c r="AZ359">
        <v>0</v>
      </c>
      <c r="BA359" t="s">
        <v>3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Y359*Source!I240</f>
        <v>4.8</v>
      </c>
      <c r="CY359">
        <f>AA359</f>
        <v>160.25</v>
      </c>
      <c r="CZ359">
        <f>AE359</f>
        <v>24.54</v>
      </c>
      <c r="DA359">
        <f>AI359</f>
        <v>6.53</v>
      </c>
      <c r="DB359">
        <v>0</v>
      </c>
    </row>
    <row r="360" spans="1:106" x14ac:dyDescent="0.2">
      <c r="A360">
        <f>ROW(Source!A240)</f>
        <v>240</v>
      </c>
      <c r="B360">
        <v>39099382</v>
      </c>
      <c r="C360">
        <v>39099984</v>
      </c>
      <c r="D360">
        <v>36799065</v>
      </c>
      <c r="E360">
        <v>17</v>
      </c>
      <c r="F360">
        <v>1</v>
      </c>
      <c r="G360">
        <v>1</v>
      </c>
      <c r="H360">
        <v>3</v>
      </c>
      <c r="I360" t="s">
        <v>801</v>
      </c>
      <c r="J360" t="s">
        <v>3</v>
      </c>
      <c r="K360" t="s">
        <v>802</v>
      </c>
      <c r="L360">
        <v>1374</v>
      </c>
      <c r="N360">
        <v>1013</v>
      </c>
      <c r="O360" t="s">
        <v>803</v>
      </c>
      <c r="P360" t="s">
        <v>803</v>
      </c>
      <c r="Q360">
        <v>1</v>
      </c>
      <c r="W360">
        <v>0</v>
      </c>
      <c r="X360">
        <v>-1731369543</v>
      </c>
      <c r="Y360">
        <v>2.79</v>
      </c>
      <c r="AA360">
        <v>1</v>
      </c>
      <c r="AB360">
        <v>0</v>
      </c>
      <c r="AC360">
        <v>0</v>
      </c>
      <c r="AD360">
        <v>0</v>
      </c>
      <c r="AE360">
        <v>1</v>
      </c>
      <c r="AF360">
        <v>0</v>
      </c>
      <c r="AG360">
        <v>0</v>
      </c>
      <c r="AH360">
        <v>0</v>
      </c>
      <c r="AI360">
        <v>1</v>
      </c>
      <c r="AJ360">
        <v>1</v>
      </c>
      <c r="AK360">
        <v>1</v>
      </c>
      <c r="AL360">
        <v>1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3</v>
      </c>
      <c r="AT360">
        <v>2.79</v>
      </c>
      <c r="AU360" t="s">
        <v>3</v>
      </c>
      <c r="AV360">
        <v>0</v>
      </c>
      <c r="AW360">
        <v>2</v>
      </c>
      <c r="AX360">
        <v>39099991</v>
      </c>
      <c r="AY360">
        <v>1</v>
      </c>
      <c r="AZ360">
        <v>0</v>
      </c>
      <c r="BA360">
        <v>341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Y360*Source!I240</f>
        <v>1.3391999999999999</v>
      </c>
      <c r="CY360">
        <f>AA360</f>
        <v>1</v>
      </c>
      <c r="CZ360">
        <f>AE360</f>
        <v>1</v>
      </c>
      <c r="DA360">
        <f>AI360</f>
        <v>1</v>
      </c>
      <c r="DB360">
        <v>0</v>
      </c>
    </row>
    <row r="361" spans="1:106" x14ac:dyDescent="0.2">
      <c r="A361">
        <f>ROW(Source!A242)</f>
        <v>242</v>
      </c>
      <c r="B361">
        <v>39099382</v>
      </c>
      <c r="C361">
        <v>39099993</v>
      </c>
      <c r="D361">
        <v>37064878</v>
      </c>
      <c r="E361">
        <v>1</v>
      </c>
      <c r="F361">
        <v>1</v>
      </c>
      <c r="G361">
        <v>1</v>
      </c>
      <c r="H361">
        <v>1</v>
      </c>
      <c r="I361" t="s">
        <v>693</v>
      </c>
      <c r="J361" t="s">
        <v>3</v>
      </c>
      <c r="K361" t="s">
        <v>694</v>
      </c>
      <c r="L361">
        <v>1191</v>
      </c>
      <c r="N361">
        <v>1013</v>
      </c>
      <c r="O361" t="s">
        <v>641</v>
      </c>
      <c r="P361" t="s">
        <v>641</v>
      </c>
      <c r="Q361">
        <v>1</v>
      </c>
      <c r="W361">
        <v>0</v>
      </c>
      <c r="X361">
        <v>-1081351934</v>
      </c>
      <c r="Y361">
        <v>5.39</v>
      </c>
      <c r="AA361">
        <v>0</v>
      </c>
      <c r="AB361">
        <v>0</v>
      </c>
      <c r="AC361">
        <v>0</v>
      </c>
      <c r="AD361">
        <v>61.38</v>
      </c>
      <c r="AE361">
        <v>0</v>
      </c>
      <c r="AF361">
        <v>0</v>
      </c>
      <c r="AG361">
        <v>0</v>
      </c>
      <c r="AH361">
        <v>9.4</v>
      </c>
      <c r="AI361">
        <v>1</v>
      </c>
      <c r="AJ361">
        <v>1</v>
      </c>
      <c r="AK361">
        <v>1</v>
      </c>
      <c r="AL361">
        <v>6.53</v>
      </c>
      <c r="AN361">
        <v>0</v>
      </c>
      <c r="AO361">
        <v>1</v>
      </c>
      <c r="AP361">
        <v>0</v>
      </c>
      <c r="AQ361">
        <v>0</v>
      </c>
      <c r="AR361">
        <v>0</v>
      </c>
      <c r="AS361" t="s">
        <v>3</v>
      </c>
      <c r="AT361">
        <v>5.39</v>
      </c>
      <c r="AU361" t="s">
        <v>3</v>
      </c>
      <c r="AV361">
        <v>1</v>
      </c>
      <c r="AW361">
        <v>2</v>
      </c>
      <c r="AX361">
        <v>39100005</v>
      </c>
      <c r="AY361">
        <v>1</v>
      </c>
      <c r="AZ361">
        <v>0</v>
      </c>
      <c r="BA361">
        <v>342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Y361*Source!I242</f>
        <v>3.4495999999999998</v>
      </c>
      <c r="CY361">
        <f>AD361</f>
        <v>61.38</v>
      </c>
      <c r="CZ361">
        <f>AH361</f>
        <v>9.4</v>
      </c>
      <c r="DA361">
        <f>AL361</f>
        <v>6.53</v>
      </c>
      <c r="DB361">
        <v>0</v>
      </c>
    </row>
    <row r="362" spans="1:106" x14ac:dyDescent="0.2">
      <c r="A362">
        <f>ROW(Source!A242)</f>
        <v>242</v>
      </c>
      <c r="B362">
        <v>39099382</v>
      </c>
      <c r="C362">
        <v>39099993</v>
      </c>
      <c r="D362">
        <v>37064876</v>
      </c>
      <c r="E362">
        <v>1</v>
      </c>
      <c r="F362">
        <v>1</v>
      </c>
      <c r="G362">
        <v>1</v>
      </c>
      <c r="H362">
        <v>1</v>
      </c>
      <c r="I362" t="s">
        <v>642</v>
      </c>
      <c r="J362" t="s">
        <v>3</v>
      </c>
      <c r="K362" t="s">
        <v>643</v>
      </c>
      <c r="L362">
        <v>1191</v>
      </c>
      <c r="N362">
        <v>1013</v>
      </c>
      <c r="O362" t="s">
        <v>641</v>
      </c>
      <c r="P362" t="s">
        <v>641</v>
      </c>
      <c r="Q362">
        <v>1</v>
      </c>
      <c r="W362">
        <v>0</v>
      </c>
      <c r="X362">
        <v>-1417349443</v>
      </c>
      <c r="Y362">
        <v>0.04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1</v>
      </c>
      <c r="AJ362">
        <v>1</v>
      </c>
      <c r="AK362">
        <v>6.53</v>
      </c>
      <c r="AL362">
        <v>1</v>
      </c>
      <c r="AN362">
        <v>0</v>
      </c>
      <c r="AO362">
        <v>1</v>
      </c>
      <c r="AP362">
        <v>0</v>
      </c>
      <c r="AQ362">
        <v>0</v>
      </c>
      <c r="AR362">
        <v>0</v>
      </c>
      <c r="AS362" t="s">
        <v>3</v>
      </c>
      <c r="AT362">
        <v>0.04</v>
      </c>
      <c r="AU362" t="s">
        <v>3</v>
      </c>
      <c r="AV362">
        <v>2</v>
      </c>
      <c r="AW362">
        <v>2</v>
      </c>
      <c r="AX362">
        <v>39100006</v>
      </c>
      <c r="AY362">
        <v>1</v>
      </c>
      <c r="AZ362">
        <v>0</v>
      </c>
      <c r="BA362">
        <v>343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Y362*Source!I242</f>
        <v>2.5600000000000001E-2</v>
      </c>
      <c r="CY362">
        <f>AD362</f>
        <v>0</v>
      </c>
      <c r="CZ362">
        <f>AH362</f>
        <v>0</v>
      </c>
      <c r="DA362">
        <f>AL362</f>
        <v>1</v>
      </c>
      <c r="DB362">
        <v>0</v>
      </c>
    </row>
    <row r="363" spans="1:106" x14ac:dyDescent="0.2">
      <c r="A363">
        <f>ROW(Source!A242)</f>
        <v>242</v>
      </c>
      <c r="B363">
        <v>39099382</v>
      </c>
      <c r="C363">
        <v>39099993</v>
      </c>
      <c r="D363">
        <v>36882159</v>
      </c>
      <c r="E363">
        <v>1</v>
      </c>
      <c r="F363">
        <v>1</v>
      </c>
      <c r="G363">
        <v>1</v>
      </c>
      <c r="H363">
        <v>2</v>
      </c>
      <c r="I363" t="s">
        <v>765</v>
      </c>
      <c r="J363" t="s">
        <v>766</v>
      </c>
      <c r="K363" t="s">
        <v>767</v>
      </c>
      <c r="L363">
        <v>1368</v>
      </c>
      <c r="N363">
        <v>1011</v>
      </c>
      <c r="O363" t="s">
        <v>647</v>
      </c>
      <c r="P363" t="s">
        <v>647</v>
      </c>
      <c r="Q363">
        <v>1</v>
      </c>
      <c r="W363">
        <v>0</v>
      </c>
      <c r="X363">
        <v>-1718674368</v>
      </c>
      <c r="Y363">
        <v>0.02</v>
      </c>
      <c r="AA363">
        <v>0</v>
      </c>
      <c r="AB363">
        <v>731.29</v>
      </c>
      <c r="AC363">
        <v>13.5</v>
      </c>
      <c r="AD363">
        <v>0</v>
      </c>
      <c r="AE363">
        <v>0</v>
      </c>
      <c r="AF363">
        <v>111.99</v>
      </c>
      <c r="AG363">
        <v>13.5</v>
      </c>
      <c r="AH363">
        <v>0</v>
      </c>
      <c r="AI363">
        <v>1</v>
      </c>
      <c r="AJ363">
        <v>6.53</v>
      </c>
      <c r="AK363">
        <v>1</v>
      </c>
      <c r="AL363">
        <v>1</v>
      </c>
      <c r="AN363">
        <v>0</v>
      </c>
      <c r="AO363">
        <v>1</v>
      </c>
      <c r="AP363">
        <v>0</v>
      </c>
      <c r="AQ363">
        <v>0</v>
      </c>
      <c r="AR363">
        <v>0</v>
      </c>
      <c r="AS363" t="s">
        <v>3</v>
      </c>
      <c r="AT363">
        <v>0.02</v>
      </c>
      <c r="AU363" t="s">
        <v>3</v>
      </c>
      <c r="AV363">
        <v>0</v>
      </c>
      <c r="AW363">
        <v>2</v>
      </c>
      <c r="AX363">
        <v>39100007</v>
      </c>
      <c r="AY363">
        <v>1</v>
      </c>
      <c r="AZ363">
        <v>0</v>
      </c>
      <c r="BA363">
        <v>344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Y363*Source!I242</f>
        <v>1.2800000000000001E-2</v>
      </c>
      <c r="CY363">
        <f>AB363</f>
        <v>731.29</v>
      </c>
      <c r="CZ363">
        <f>AF363</f>
        <v>111.99</v>
      </c>
      <c r="DA363">
        <f>AJ363</f>
        <v>6.53</v>
      </c>
      <c r="DB363">
        <v>0</v>
      </c>
    </row>
    <row r="364" spans="1:106" x14ac:dyDescent="0.2">
      <c r="A364">
        <f>ROW(Source!A242)</f>
        <v>242</v>
      </c>
      <c r="B364">
        <v>39099382</v>
      </c>
      <c r="C364">
        <v>39099993</v>
      </c>
      <c r="D364">
        <v>36883554</v>
      </c>
      <c r="E364">
        <v>1</v>
      </c>
      <c r="F364">
        <v>1</v>
      </c>
      <c r="G364">
        <v>1</v>
      </c>
      <c r="H364">
        <v>2</v>
      </c>
      <c r="I364" t="s">
        <v>665</v>
      </c>
      <c r="J364" t="s">
        <v>666</v>
      </c>
      <c r="K364" t="s">
        <v>667</v>
      </c>
      <c r="L364">
        <v>1368</v>
      </c>
      <c r="N364">
        <v>1011</v>
      </c>
      <c r="O364" t="s">
        <v>647</v>
      </c>
      <c r="P364" t="s">
        <v>647</v>
      </c>
      <c r="Q364">
        <v>1</v>
      </c>
      <c r="W364">
        <v>0</v>
      </c>
      <c r="X364">
        <v>1372534845</v>
      </c>
      <c r="Y364">
        <v>0.02</v>
      </c>
      <c r="AA364">
        <v>0</v>
      </c>
      <c r="AB364">
        <v>429.09</v>
      </c>
      <c r="AC364">
        <v>11.6</v>
      </c>
      <c r="AD364">
        <v>0</v>
      </c>
      <c r="AE364">
        <v>0</v>
      </c>
      <c r="AF364">
        <v>65.709999999999994</v>
      </c>
      <c r="AG364">
        <v>11.6</v>
      </c>
      <c r="AH364">
        <v>0</v>
      </c>
      <c r="AI364">
        <v>1</v>
      </c>
      <c r="AJ364">
        <v>6.53</v>
      </c>
      <c r="AK364">
        <v>1</v>
      </c>
      <c r="AL364">
        <v>1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3</v>
      </c>
      <c r="AT364">
        <v>0.02</v>
      </c>
      <c r="AU364" t="s">
        <v>3</v>
      </c>
      <c r="AV364">
        <v>0</v>
      </c>
      <c r="AW364">
        <v>2</v>
      </c>
      <c r="AX364">
        <v>39100008</v>
      </c>
      <c r="AY364">
        <v>1</v>
      </c>
      <c r="AZ364">
        <v>0</v>
      </c>
      <c r="BA364">
        <v>345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Y364*Source!I242</f>
        <v>1.2800000000000001E-2</v>
      </c>
      <c r="CY364">
        <f>AB364</f>
        <v>429.09</v>
      </c>
      <c r="CZ364">
        <f>AF364</f>
        <v>65.709999999999994</v>
      </c>
      <c r="DA364">
        <f>AJ364</f>
        <v>6.53</v>
      </c>
      <c r="DB364">
        <v>0</v>
      </c>
    </row>
    <row r="365" spans="1:106" x14ac:dyDescent="0.2">
      <c r="A365">
        <f>ROW(Source!A242)</f>
        <v>242</v>
      </c>
      <c r="B365">
        <v>39099382</v>
      </c>
      <c r="C365">
        <v>39099993</v>
      </c>
      <c r="D365">
        <v>36802094</v>
      </c>
      <c r="E365">
        <v>1</v>
      </c>
      <c r="F365">
        <v>1</v>
      </c>
      <c r="G365">
        <v>1</v>
      </c>
      <c r="H365">
        <v>3</v>
      </c>
      <c r="I365" t="s">
        <v>820</v>
      </c>
      <c r="J365" t="s">
        <v>821</v>
      </c>
      <c r="K365" t="s">
        <v>822</v>
      </c>
      <c r="L365">
        <v>1346</v>
      </c>
      <c r="N365">
        <v>1009</v>
      </c>
      <c r="O365" t="s">
        <v>97</v>
      </c>
      <c r="P365" t="s">
        <v>97</v>
      </c>
      <c r="Q365">
        <v>1</v>
      </c>
      <c r="W365">
        <v>0</v>
      </c>
      <c r="X365">
        <v>-1088866022</v>
      </c>
      <c r="Y365">
        <v>0.16</v>
      </c>
      <c r="AA365">
        <v>198.51</v>
      </c>
      <c r="AB365">
        <v>0</v>
      </c>
      <c r="AC365">
        <v>0</v>
      </c>
      <c r="AD365">
        <v>0</v>
      </c>
      <c r="AE365">
        <v>30.4</v>
      </c>
      <c r="AF365">
        <v>0</v>
      </c>
      <c r="AG365">
        <v>0</v>
      </c>
      <c r="AH365">
        <v>0</v>
      </c>
      <c r="AI365">
        <v>6.53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0</v>
      </c>
      <c r="AQ365">
        <v>0</v>
      </c>
      <c r="AR365">
        <v>0</v>
      </c>
      <c r="AS365" t="s">
        <v>3</v>
      </c>
      <c r="AT365">
        <v>0.16</v>
      </c>
      <c r="AU365" t="s">
        <v>3</v>
      </c>
      <c r="AV365">
        <v>0</v>
      </c>
      <c r="AW365">
        <v>2</v>
      </c>
      <c r="AX365">
        <v>39100009</v>
      </c>
      <c r="AY365">
        <v>1</v>
      </c>
      <c r="AZ365">
        <v>0</v>
      </c>
      <c r="BA365">
        <v>346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Y365*Source!I242</f>
        <v>0.1024</v>
      </c>
      <c r="CY365">
        <f t="shared" ref="CY365:CY371" si="36">AA365</f>
        <v>198.51</v>
      </c>
      <c r="CZ365">
        <f t="shared" ref="CZ365:CZ371" si="37">AE365</f>
        <v>30.4</v>
      </c>
      <c r="DA365">
        <f t="shared" ref="DA365:DA371" si="38">AI365</f>
        <v>6.53</v>
      </c>
      <c r="DB365">
        <v>0</v>
      </c>
    </row>
    <row r="366" spans="1:106" x14ac:dyDescent="0.2">
      <c r="A366">
        <f>ROW(Source!A242)</f>
        <v>242</v>
      </c>
      <c r="B366">
        <v>39099382</v>
      </c>
      <c r="C366">
        <v>39099993</v>
      </c>
      <c r="D366">
        <v>36802373</v>
      </c>
      <c r="E366">
        <v>1</v>
      </c>
      <c r="F366">
        <v>1</v>
      </c>
      <c r="G366">
        <v>1</v>
      </c>
      <c r="H366">
        <v>3</v>
      </c>
      <c r="I366" t="s">
        <v>873</v>
      </c>
      <c r="J366" t="s">
        <v>874</v>
      </c>
      <c r="K366" t="s">
        <v>875</v>
      </c>
      <c r="L366">
        <v>1348</v>
      </c>
      <c r="N366">
        <v>1009</v>
      </c>
      <c r="O366" t="s">
        <v>189</v>
      </c>
      <c r="P366" t="s">
        <v>189</v>
      </c>
      <c r="Q366">
        <v>1000</v>
      </c>
      <c r="W366">
        <v>0</v>
      </c>
      <c r="X366">
        <v>1012095217</v>
      </c>
      <c r="Y366">
        <v>5.9999999999999995E-4</v>
      </c>
      <c r="AA366">
        <v>11884.6</v>
      </c>
      <c r="AB366">
        <v>0</v>
      </c>
      <c r="AC366">
        <v>0</v>
      </c>
      <c r="AD366">
        <v>0</v>
      </c>
      <c r="AE366">
        <v>1820</v>
      </c>
      <c r="AF366">
        <v>0</v>
      </c>
      <c r="AG366">
        <v>0</v>
      </c>
      <c r="AH366">
        <v>0</v>
      </c>
      <c r="AI366">
        <v>6.53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3</v>
      </c>
      <c r="AT366">
        <v>5.9999999999999995E-4</v>
      </c>
      <c r="AU366" t="s">
        <v>3</v>
      </c>
      <c r="AV366">
        <v>0</v>
      </c>
      <c r="AW366">
        <v>2</v>
      </c>
      <c r="AX366">
        <v>39100010</v>
      </c>
      <c r="AY366">
        <v>1</v>
      </c>
      <c r="AZ366">
        <v>0</v>
      </c>
      <c r="BA366">
        <v>347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Y366*Source!I242</f>
        <v>3.8399999999999996E-4</v>
      </c>
      <c r="CY366">
        <f t="shared" si="36"/>
        <v>11884.6</v>
      </c>
      <c r="CZ366">
        <f t="shared" si="37"/>
        <v>1820</v>
      </c>
      <c r="DA366">
        <f t="shared" si="38"/>
        <v>6.53</v>
      </c>
      <c r="DB366">
        <v>0</v>
      </c>
    </row>
    <row r="367" spans="1:106" x14ac:dyDescent="0.2">
      <c r="A367">
        <f>ROW(Source!A242)</f>
        <v>242</v>
      </c>
      <c r="B367">
        <v>39099382</v>
      </c>
      <c r="C367">
        <v>39099993</v>
      </c>
      <c r="D367">
        <v>36838317</v>
      </c>
      <c r="E367">
        <v>1</v>
      </c>
      <c r="F367">
        <v>1</v>
      </c>
      <c r="G367">
        <v>1</v>
      </c>
      <c r="H367">
        <v>3</v>
      </c>
      <c r="I367" t="s">
        <v>838</v>
      </c>
      <c r="J367" t="s">
        <v>839</v>
      </c>
      <c r="K367" t="s">
        <v>840</v>
      </c>
      <c r="L367">
        <v>1346</v>
      </c>
      <c r="N367">
        <v>1009</v>
      </c>
      <c r="O367" t="s">
        <v>97</v>
      </c>
      <c r="P367" t="s">
        <v>97</v>
      </c>
      <c r="Q367">
        <v>1</v>
      </c>
      <c r="W367">
        <v>0</v>
      </c>
      <c r="X367">
        <v>210558753</v>
      </c>
      <c r="Y367">
        <v>0.02</v>
      </c>
      <c r="AA367">
        <v>186.76</v>
      </c>
      <c r="AB367">
        <v>0</v>
      </c>
      <c r="AC367">
        <v>0</v>
      </c>
      <c r="AD367">
        <v>0</v>
      </c>
      <c r="AE367">
        <v>28.6</v>
      </c>
      <c r="AF367">
        <v>0</v>
      </c>
      <c r="AG367">
        <v>0</v>
      </c>
      <c r="AH367">
        <v>0</v>
      </c>
      <c r="AI367">
        <v>6.53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3</v>
      </c>
      <c r="AT367">
        <v>0.02</v>
      </c>
      <c r="AU367" t="s">
        <v>3</v>
      </c>
      <c r="AV367">
        <v>0</v>
      </c>
      <c r="AW367">
        <v>2</v>
      </c>
      <c r="AX367">
        <v>39100011</v>
      </c>
      <c r="AY367">
        <v>1</v>
      </c>
      <c r="AZ367">
        <v>0</v>
      </c>
      <c r="BA367">
        <v>348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Y367*Source!I242</f>
        <v>1.2800000000000001E-2</v>
      </c>
      <c r="CY367">
        <f t="shared" si="36"/>
        <v>186.76</v>
      </c>
      <c r="CZ367">
        <f t="shared" si="37"/>
        <v>28.6</v>
      </c>
      <c r="DA367">
        <f t="shared" si="38"/>
        <v>6.53</v>
      </c>
      <c r="DB367">
        <v>0</v>
      </c>
    </row>
    <row r="368" spans="1:106" x14ac:dyDescent="0.2">
      <c r="A368">
        <f>ROW(Source!A242)</f>
        <v>242</v>
      </c>
      <c r="B368">
        <v>39099382</v>
      </c>
      <c r="C368">
        <v>39099993</v>
      </c>
      <c r="D368">
        <v>36852009</v>
      </c>
      <c r="E368">
        <v>1</v>
      </c>
      <c r="F368">
        <v>1</v>
      </c>
      <c r="G368">
        <v>1</v>
      </c>
      <c r="H368">
        <v>3</v>
      </c>
      <c r="I368" t="s">
        <v>910</v>
      </c>
      <c r="J368" t="s">
        <v>911</v>
      </c>
      <c r="K368" t="s">
        <v>912</v>
      </c>
      <c r="L368">
        <v>1355</v>
      </c>
      <c r="N368">
        <v>1010</v>
      </c>
      <c r="O368" t="s">
        <v>120</v>
      </c>
      <c r="P368" t="s">
        <v>120</v>
      </c>
      <c r="Q368">
        <v>100</v>
      </c>
      <c r="W368">
        <v>0</v>
      </c>
      <c r="X368">
        <v>-423136440</v>
      </c>
      <c r="Y368">
        <v>0.05</v>
      </c>
      <c r="AA368">
        <v>718.3</v>
      </c>
      <c r="AB368">
        <v>0</v>
      </c>
      <c r="AC368">
        <v>0</v>
      </c>
      <c r="AD368">
        <v>0</v>
      </c>
      <c r="AE368">
        <v>110</v>
      </c>
      <c r="AF368">
        <v>0</v>
      </c>
      <c r="AG368">
        <v>0</v>
      </c>
      <c r="AH368">
        <v>0</v>
      </c>
      <c r="AI368">
        <v>6.53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3</v>
      </c>
      <c r="AT368">
        <v>0.05</v>
      </c>
      <c r="AU368" t="s">
        <v>3</v>
      </c>
      <c r="AV368">
        <v>0</v>
      </c>
      <c r="AW368">
        <v>2</v>
      </c>
      <c r="AX368">
        <v>39100012</v>
      </c>
      <c r="AY368">
        <v>1</v>
      </c>
      <c r="AZ368">
        <v>0</v>
      </c>
      <c r="BA368">
        <v>349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Y368*Source!I242</f>
        <v>3.2000000000000001E-2</v>
      </c>
      <c r="CY368">
        <f t="shared" si="36"/>
        <v>718.3</v>
      </c>
      <c r="CZ368">
        <f t="shared" si="37"/>
        <v>110</v>
      </c>
      <c r="DA368">
        <f t="shared" si="38"/>
        <v>6.53</v>
      </c>
      <c r="DB368">
        <v>0</v>
      </c>
    </row>
    <row r="369" spans="1:106" x14ac:dyDescent="0.2">
      <c r="A369">
        <f>ROW(Source!A242)</f>
        <v>242</v>
      </c>
      <c r="B369">
        <v>39099382</v>
      </c>
      <c r="C369">
        <v>39099993</v>
      </c>
      <c r="D369">
        <v>36852060</v>
      </c>
      <c r="E369">
        <v>1</v>
      </c>
      <c r="F369">
        <v>1</v>
      </c>
      <c r="G369">
        <v>1</v>
      </c>
      <c r="H369">
        <v>3</v>
      </c>
      <c r="I369" t="s">
        <v>913</v>
      </c>
      <c r="J369" t="s">
        <v>914</v>
      </c>
      <c r="K369" t="s">
        <v>915</v>
      </c>
      <c r="L369">
        <v>1356</v>
      </c>
      <c r="N369">
        <v>1010</v>
      </c>
      <c r="O369" t="s">
        <v>690</v>
      </c>
      <c r="P369" t="s">
        <v>690</v>
      </c>
      <c r="Q369">
        <v>1000</v>
      </c>
      <c r="W369">
        <v>0</v>
      </c>
      <c r="X369">
        <v>537827188</v>
      </c>
      <c r="Y369">
        <v>1.2200000000000001E-2</v>
      </c>
      <c r="AA369">
        <v>777.07</v>
      </c>
      <c r="AB369">
        <v>0</v>
      </c>
      <c r="AC369">
        <v>0</v>
      </c>
      <c r="AD369">
        <v>0</v>
      </c>
      <c r="AE369">
        <v>119</v>
      </c>
      <c r="AF369">
        <v>0</v>
      </c>
      <c r="AG369">
        <v>0</v>
      </c>
      <c r="AH369">
        <v>0</v>
      </c>
      <c r="AI369">
        <v>6.53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3</v>
      </c>
      <c r="AT369">
        <v>1.2200000000000001E-2</v>
      </c>
      <c r="AU369" t="s">
        <v>3</v>
      </c>
      <c r="AV369">
        <v>0</v>
      </c>
      <c r="AW369">
        <v>2</v>
      </c>
      <c r="AX369">
        <v>39100013</v>
      </c>
      <c r="AY369">
        <v>1</v>
      </c>
      <c r="AZ369">
        <v>0</v>
      </c>
      <c r="BA369">
        <v>350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Y369*Source!I242</f>
        <v>7.8080000000000007E-3</v>
      </c>
      <c r="CY369">
        <f t="shared" si="36"/>
        <v>777.07</v>
      </c>
      <c r="CZ369">
        <f t="shared" si="37"/>
        <v>119</v>
      </c>
      <c r="DA369">
        <f t="shared" si="38"/>
        <v>6.53</v>
      </c>
      <c r="DB369">
        <v>0</v>
      </c>
    </row>
    <row r="370" spans="1:106" x14ac:dyDescent="0.2">
      <c r="A370">
        <f>ROW(Source!A242)</f>
        <v>242</v>
      </c>
      <c r="B370">
        <v>39099382</v>
      </c>
      <c r="C370">
        <v>39099993</v>
      </c>
      <c r="D370">
        <v>36858717</v>
      </c>
      <c r="E370">
        <v>1</v>
      </c>
      <c r="F370">
        <v>1</v>
      </c>
      <c r="G370">
        <v>1</v>
      </c>
      <c r="H370">
        <v>3</v>
      </c>
      <c r="I370" t="s">
        <v>568</v>
      </c>
      <c r="J370" t="s">
        <v>569</v>
      </c>
      <c r="K370" t="s">
        <v>940</v>
      </c>
      <c r="L370">
        <v>1477</v>
      </c>
      <c r="N370">
        <v>1013</v>
      </c>
      <c r="O370" t="s">
        <v>442</v>
      </c>
      <c r="P370" t="s">
        <v>444</v>
      </c>
      <c r="Q370">
        <v>1</v>
      </c>
      <c r="W370">
        <v>0</v>
      </c>
      <c r="X370">
        <v>1970573084</v>
      </c>
      <c r="Y370">
        <v>0.1</v>
      </c>
      <c r="AA370">
        <v>27974.65</v>
      </c>
      <c r="AB370">
        <v>0</v>
      </c>
      <c r="AC370">
        <v>0</v>
      </c>
      <c r="AD370">
        <v>0</v>
      </c>
      <c r="AE370">
        <v>4284.0200000000004</v>
      </c>
      <c r="AF370">
        <v>0</v>
      </c>
      <c r="AG370">
        <v>0</v>
      </c>
      <c r="AH370">
        <v>0</v>
      </c>
      <c r="AI370">
        <v>6.53</v>
      </c>
      <c r="AJ370">
        <v>1</v>
      </c>
      <c r="AK370">
        <v>1</v>
      </c>
      <c r="AL370">
        <v>1</v>
      </c>
      <c r="AN370">
        <v>0</v>
      </c>
      <c r="AO370">
        <v>0</v>
      </c>
      <c r="AP370">
        <v>0</v>
      </c>
      <c r="AQ370">
        <v>0</v>
      </c>
      <c r="AR370">
        <v>0</v>
      </c>
      <c r="AS370" t="s">
        <v>3</v>
      </c>
      <c r="AT370">
        <v>0.1</v>
      </c>
      <c r="AU370" t="s">
        <v>3</v>
      </c>
      <c r="AV370">
        <v>0</v>
      </c>
      <c r="AW370">
        <v>1</v>
      </c>
      <c r="AX370">
        <v>-1</v>
      </c>
      <c r="AY370">
        <v>0</v>
      </c>
      <c r="AZ370">
        <v>0</v>
      </c>
      <c r="BA370" t="s">
        <v>3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Y370*Source!I242</f>
        <v>6.4000000000000001E-2</v>
      </c>
      <c r="CY370">
        <f t="shared" si="36"/>
        <v>27974.65</v>
      </c>
      <c r="CZ370">
        <f t="shared" si="37"/>
        <v>4284.0200000000004</v>
      </c>
      <c r="DA370">
        <f t="shared" si="38"/>
        <v>6.53</v>
      </c>
      <c r="DB370">
        <v>0</v>
      </c>
    </row>
    <row r="371" spans="1:106" x14ac:dyDescent="0.2">
      <c r="A371">
        <f>ROW(Source!A242)</f>
        <v>242</v>
      </c>
      <c r="B371">
        <v>39099382</v>
      </c>
      <c r="C371">
        <v>39099993</v>
      </c>
      <c r="D371">
        <v>36799065</v>
      </c>
      <c r="E371">
        <v>17</v>
      </c>
      <c r="F371">
        <v>1</v>
      </c>
      <c r="G371">
        <v>1</v>
      </c>
      <c r="H371">
        <v>3</v>
      </c>
      <c r="I371" t="s">
        <v>801</v>
      </c>
      <c r="J371" t="s">
        <v>3</v>
      </c>
      <c r="K371" t="s">
        <v>802</v>
      </c>
      <c r="L371">
        <v>1374</v>
      </c>
      <c r="N371">
        <v>1013</v>
      </c>
      <c r="O371" t="s">
        <v>803</v>
      </c>
      <c r="P371" t="s">
        <v>803</v>
      </c>
      <c r="Q371">
        <v>1</v>
      </c>
      <c r="W371">
        <v>0</v>
      </c>
      <c r="X371">
        <v>-1731369543</v>
      </c>
      <c r="Y371">
        <v>1.01</v>
      </c>
      <c r="AA371">
        <v>1</v>
      </c>
      <c r="AB371">
        <v>0</v>
      </c>
      <c r="AC371">
        <v>0</v>
      </c>
      <c r="AD371">
        <v>0</v>
      </c>
      <c r="AE371">
        <v>1</v>
      </c>
      <c r="AF371">
        <v>0</v>
      </c>
      <c r="AG371">
        <v>0</v>
      </c>
      <c r="AH371">
        <v>0</v>
      </c>
      <c r="AI371">
        <v>1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3</v>
      </c>
      <c r="AT371">
        <v>1.01</v>
      </c>
      <c r="AU371" t="s">
        <v>3</v>
      </c>
      <c r="AV371">
        <v>0</v>
      </c>
      <c r="AW371">
        <v>2</v>
      </c>
      <c r="AX371">
        <v>39100014</v>
      </c>
      <c r="AY371">
        <v>1</v>
      </c>
      <c r="AZ371">
        <v>0</v>
      </c>
      <c r="BA371">
        <v>351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Y371*Source!I242</f>
        <v>0.64639999999999997</v>
      </c>
      <c r="CY371">
        <f t="shared" si="36"/>
        <v>1</v>
      </c>
      <c r="CZ371">
        <f t="shared" si="37"/>
        <v>1</v>
      </c>
      <c r="DA371">
        <f t="shared" si="38"/>
        <v>1</v>
      </c>
      <c r="DB371">
        <v>0</v>
      </c>
    </row>
    <row r="372" spans="1:106" x14ac:dyDescent="0.2">
      <c r="A372">
        <f>ROW(Source!A244)</f>
        <v>244</v>
      </c>
      <c r="B372">
        <v>39099382</v>
      </c>
      <c r="C372">
        <v>39100830</v>
      </c>
      <c r="D372">
        <v>37113247</v>
      </c>
      <c r="E372">
        <v>1</v>
      </c>
      <c r="F372">
        <v>1</v>
      </c>
      <c r="G372">
        <v>1</v>
      </c>
      <c r="H372">
        <v>1</v>
      </c>
      <c r="I372" t="s">
        <v>916</v>
      </c>
      <c r="J372" t="s">
        <v>3</v>
      </c>
      <c r="K372" t="s">
        <v>917</v>
      </c>
      <c r="L372">
        <v>1191</v>
      </c>
      <c r="N372">
        <v>1013</v>
      </c>
      <c r="O372" t="s">
        <v>641</v>
      </c>
      <c r="P372" t="s">
        <v>641</v>
      </c>
      <c r="Q372">
        <v>1</v>
      </c>
      <c r="W372">
        <v>0</v>
      </c>
      <c r="X372">
        <v>1446053411</v>
      </c>
      <c r="Y372">
        <v>0.4</v>
      </c>
      <c r="AA372">
        <v>0</v>
      </c>
      <c r="AB372">
        <v>0</v>
      </c>
      <c r="AC372">
        <v>0</v>
      </c>
      <c r="AD372">
        <v>72.42</v>
      </c>
      <c r="AE372">
        <v>0</v>
      </c>
      <c r="AF372">
        <v>0</v>
      </c>
      <c r="AG372">
        <v>0</v>
      </c>
      <c r="AH372">
        <v>11.09</v>
      </c>
      <c r="AI372">
        <v>1</v>
      </c>
      <c r="AJ372">
        <v>1</v>
      </c>
      <c r="AK372">
        <v>1</v>
      </c>
      <c r="AL372">
        <v>6.53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3</v>
      </c>
      <c r="AT372">
        <v>0.4</v>
      </c>
      <c r="AU372" t="s">
        <v>3</v>
      </c>
      <c r="AV372">
        <v>1</v>
      </c>
      <c r="AW372">
        <v>2</v>
      </c>
      <c r="AX372">
        <v>39100833</v>
      </c>
      <c r="AY372">
        <v>1</v>
      </c>
      <c r="AZ372">
        <v>0</v>
      </c>
      <c r="BA372">
        <v>352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Y372*Source!I244</f>
        <v>0.4</v>
      </c>
      <c r="CY372">
        <f>AD372</f>
        <v>72.42</v>
      </c>
      <c r="CZ372">
        <f>AH372</f>
        <v>11.09</v>
      </c>
      <c r="DA372">
        <f>AL372</f>
        <v>6.53</v>
      </c>
      <c r="DB372">
        <v>0</v>
      </c>
    </row>
    <row r="373" spans="1:106" x14ac:dyDescent="0.2">
      <c r="A373">
        <f>ROW(Source!A244)</f>
        <v>244</v>
      </c>
      <c r="B373">
        <v>39099382</v>
      </c>
      <c r="C373">
        <v>39100830</v>
      </c>
      <c r="D373">
        <v>36799065</v>
      </c>
      <c r="E373">
        <v>17</v>
      </c>
      <c r="F373">
        <v>1</v>
      </c>
      <c r="G373">
        <v>1</v>
      </c>
      <c r="H373">
        <v>3</v>
      </c>
      <c r="I373" t="s">
        <v>801</v>
      </c>
      <c r="J373" t="s">
        <v>3</v>
      </c>
      <c r="K373" t="s">
        <v>802</v>
      </c>
      <c r="L373">
        <v>1374</v>
      </c>
      <c r="N373">
        <v>1013</v>
      </c>
      <c r="O373" t="s">
        <v>803</v>
      </c>
      <c r="P373" t="s">
        <v>803</v>
      </c>
      <c r="Q373">
        <v>1</v>
      </c>
      <c r="W373">
        <v>0</v>
      </c>
      <c r="X373">
        <v>-1731369543</v>
      </c>
      <c r="Y373">
        <v>0.09</v>
      </c>
      <c r="AA373">
        <v>1</v>
      </c>
      <c r="AB373">
        <v>0</v>
      </c>
      <c r="AC373">
        <v>0</v>
      </c>
      <c r="AD373">
        <v>0</v>
      </c>
      <c r="AE373">
        <v>1</v>
      </c>
      <c r="AF373">
        <v>0</v>
      </c>
      <c r="AG373">
        <v>0</v>
      </c>
      <c r="AH373">
        <v>0</v>
      </c>
      <c r="AI373">
        <v>1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0</v>
      </c>
      <c r="AQ373">
        <v>0</v>
      </c>
      <c r="AR373">
        <v>0</v>
      </c>
      <c r="AS373" t="s">
        <v>3</v>
      </c>
      <c r="AT373">
        <v>0.09</v>
      </c>
      <c r="AU373" t="s">
        <v>3</v>
      </c>
      <c r="AV373">
        <v>0</v>
      </c>
      <c r="AW373">
        <v>2</v>
      </c>
      <c r="AX373">
        <v>39100834</v>
      </c>
      <c r="AY373">
        <v>1</v>
      </c>
      <c r="AZ373">
        <v>0</v>
      </c>
      <c r="BA373">
        <v>353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Y373*Source!I244</f>
        <v>0.09</v>
      </c>
      <c r="CY373">
        <f>AA373</f>
        <v>1</v>
      </c>
      <c r="CZ373">
        <f>AE373</f>
        <v>1</v>
      </c>
      <c r="DA373">
        <f>AI373</f>
        <v>1</v>
      </c>
      <c r="DB373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53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39100098</v>
      </c>
      <c r="C1">
        <v>39100096</v>
      </c>
      <c r="D1">
        <v>37064998</v>
      </c>
      <c r="E1">
        <v>1</v>
      </c>
      <c r="F1">
        <v>1</v>
      </c>
      <c r="G1">
        <v>1</v>
      </c>
      <c r="H1">
        <v>1</v>
      </c>
      <c r="I1" t="s">
        <v>639</v>
      </c>
      <c r="J1" t="s">
        <v>3</v>
      </c>
      <c r="K1" t="s">
        <v>640</v>
      </c>
      <c r="L1">
        <v>1191</v>
      </c>
      <c r="N1">
        <v>1013</v>
      </c>
      <c r="O1" t="s">
        <v>641</v>
      </c>
      <c r="P1" t="s">
        <v>641</v>
      </c>
      <c r="Q1">
        <v>1</v>
      </c>
      <c r="X1">
        <v>3.77</v>
      </c>
      <c r="Y1">
        <v>0</v>
      </c>
      <c r="Z1">
        <v>0</v>
      </c>
      <c r="AA1">
        <v>0</v>
      </c>
      <c r="AB1">
        <v>7.8</v>
      </c>
      <c r="AC1">
        <v>0</v>
      </c>
      <c r="AD1">
        <v>1</v>
      </c>
      <c r="AE1">
        <v>1</v>
      </c>
      <c r="AF1" t="s">
        <v>3</v>
      </c>
      <c r="AG1">
        <v>3.77</v>
      </c>
      <c r="AH1">
        <v>2</v>
      </c>
      <c r="AI1">
        <v>39100097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39100099</v>
      </c>
      <c r="C2">
        <v>39100096</v>
      </c>
      <c r="D2">
        <v>36799072</v>
      </c>
      <c r="E2">
        <v>17</v>
      </c>
      <c r="F2">
        <v>1</v>
      </c>
      <c r="G2">
        <v>1</v>
      </c>
      <c r="H2">
        <v>3</v>
      </c>
      <c r="I2" t="s">
        <v>918</v>
      </c>
      <c r="J2" t="s">
        <v>3</v>
      </c>
      <c r="K2" t="s">
        <v>919</v>
      </c>
      <c r="L2">
        <v>1348</v>
      </c>
      <c r="N2">
        <v>1009</v>
      </c>
      <c r="O2" t="s">
        <v>189</v>
      </c>
      <c r="P2" t="s">
        <v>189</v>
      </c>
      <c r="Q2">
        <v>1000</v>
      </c>
      <c r="X2">
        <v>0.11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 t="s">
        <v>3</v>
      </c>
      <c r="AG2">
        <v>0.11</v>
      </c>
      <c r="AH2">
        <v>3</v>
      </c>
      <c r="AI2">
        <v>-1</v>
      </c>
      <c r="AJ2" t="s">
        <v>3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ROW(Source!A29)</f>
        <v>29</v>
      </c>
      <c r="B3">
        <v>39100104</v>
      </c>
      <c r="C3">
        <v>39100100</v>
      </c>
      <c r="D3">
        <v>37064998</v>
      </c>
      <c r="E3">
        <v>1</v>
      </c>
      <c r="F3">
        <v>1</v>
      </c>
      <c r="G3">
        <v>1</v>
      </c>
      <c r="H3">
        <v>1</v>
      </c>
      <c r="I3" t="s">
        <v>639</v>
      </c>
      <c r="J3" t="s">
        <v>3</v>
      </c>
      <c r="K3" t="s">
        <v>640</v>
      </c>
      <c r="L3">
        <v>1191</v>
      </c>
      <c r="N3">
        <v>1013</v>
      </c>
      <c r="O3" t="s">
        <v>641</v>
      </c>
      <c r="P3" t="s">
        <v>641</v>
      </c>
      <c r="Q3">
        <v>1</v>
      </c>
      <c r="X3">
        <v>11.39</v>
      </c>
      <c r="Y3">
        <v>0</v>
      </c>
      <c r="Z3">
        <v>0</v>
      </c>
      <c r="AA3">
        <v>0</v>
      </c>
      <c r="AB3">
        <v>7.8</v>
      </c>
      <c r="AC3">
        <v>0</v>
      </c>
      <c r="AD3">
        <v>1</v>
      </c>
      <c r="AE3">
        <v>1</v>
      </c>
      <c r="AF3" t="s">
        <v>3</v>
      </c>
      <c r="AG3">
        <v>11.39</v>
      </c>
      <c r="AH3">
        <v>2</v>
      </c>
      <c r="AI3">
        <v>39100101</v>
      </c>
      <c r="AJ3">
        <v>2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ROW(Source!A29)</f>
        <v>29</v>
      </c>
      <c r="B4">
        <v>39100105</v>
      </c>
      <c r="C4">
        <v>39100100</v>
      </c>
      <c r="D4">
        <v>37064876</v>
      </c>
      <c r="E4">
        <v>1</v>
      </c>
      <c r="F4">
        <v>1</v>
      </c>
      <c r="G4">
        <v>1</v>
      </c>
      <c r="H4">
        <v>1</v>
      </c>
      <c r="I4" t="s">
        <v>642</v>
      </c>
      <c r="J4" t="s">
        <v>3</v>
      </c>
      <c r="K4" t="s">
        <v>643</v>
      </c>
      <c r="L4">
        <v>1191</v>
      </c>
      <c r="N4">
        <v>1013</v>
      </c>
      <c r="O4" t="s">
        <v>641</v>
      </c>
      <c r="P4" t="s">
        <v>641</v>
      </c>
      <c r="Q4">
        <v>1</v>
      </c>
      <c r="X4">
        <v>0.13</v>
      </c>
      <c r="Y4">
        <v>0</v>
      </c>
      <c r="Z4">
        <v>0</v>
      </c>
      <c r="AA4">
        <v>0</v>
      </c>
      <c r="AB4">
        <v>0</v>
      </c>
      <c r="AC4">
        <v>0</v>
      </c>
      <c r="AD4">
        <v>1</v>
      </c>
      <c r="AE4">
        <v>2</v>
      </c>
      <c r="AF4" t="s">
        <v>3</v>
      </c>
      <c r="AG4">
        <v>0.13</v>
      </c>
      <c r="AH4">
        <v>2</v>
      </c>
      <c r="AI4">
        <v>39100102</v>
      </c>
      <c r="AJ4">
        <v>3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ROW(Source!A29)</f>
        <v>29</v>
      </c>
      <c r="B5">
        <v>39100106</v>
      </c>
      <c r="C5">
        <v>39100100</v>
      </c>
      <c r="D5">
        <v>36882452</v>
      </c>
      <c r="E5">
        <v>1</v>
      </c>
      <c r="F5">
        <v>1</v>
      </c>
      <c r="G5">
        <v>1</v>
      </c>
      <c r="H5">
        <v>2</v>
      </c>
      <c r="I5" t="s">
        <v>644</v>
      </c>
      <c r="J5" t="s">
        <v>645</v>
      </c>
      <c r="K5" t="s">
        <v>646</v>
      </c>
      <c r="L5">
        <v>1368</v>
      </c>
      <c r="N5">
        <v>1011</v>
      </c>
      <c r="O5" t="s">
        <v>647</v>
      </c>
      <c r="P5" t="s">
        <v>647</v>
      </c>
      <c r="Q5">
        <v>1</v>
      </c>
      <c r="X5">
        <v>0.13</v>
      </c>
      <c r="Y5">
        <v>0</v>
      </c>
      <c r="Z5">
        <v>31.26</v>
      </c>
      <c r="AA5">
        <v>13.5</v>
      </c>
      <c r="AB5">
        <v>0</v>
      </c>
      <c r="AC5">
        <v>0</v>
      </c>
      <c r="AD5">
        <v>1</v>
      </c>
      <c r="AE5">
        <v>0</v>
      </c>
      <c r="AF5" t="s">
        <v>3</v>
      </c>
      <c r="AG5">
        <v>0.13</v>
      </c>
      <c r="AH5">
        <v>2</v>
      </c>
      <c r="AI5">
        <v>39100103</v>
      </c>
      <c r="AJ5">
        <v>4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ROW(Source!A29)</f>
        <v>29</v>
      </c>
      <c r="B6">
        <v>39100107</v>
      </c>
      <c r="C6">
        <v>39100100</v>
      </c>
      <c r="D6">
        <v>36799072</v>
      </c>
      <c r="E6">
        <v>17</v>
      </c>
      <c r="F6">
        <v>1</v>
      </c>
      <c r="G6">
        <v>1</v>
      </c>
      <c r="H6">
        <v>3</v>
      </c>
      <c r="I6" t="s">
        <v>918</v>
      </c>
      <c r="J6" t="s">
        <v>3</v>
      </c>
      <c r="K6" t="s">
        <v>919</v>
      </c>
      <c r="L6">
        <v>1348</v>
      </c>
      <c r="N6">
        <v>1009</v>
      </c>
      <c r="O6" t="s">
        <v>189</v>
      </c>
      <c r="P6" t="s">
        <v>189</v>
      </c>
      <c r="Q6">
        <v>1000</v>
      </c>
      <c r="X6">
        <v>0.47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 t="s">
        <v>3</v>
      </c>
      <c r="AG6">
        <v>0.47</v>
      </c>
      <c r="AH6">
        <v>3</v>
      </c>
      <c r="AI6">
        <v>-1</v>
      </c>
      <c r="AJ6" t="s">
        <v>3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ROW(Source!A30)</f>
        <v>30</v>
      </c>
      <c r="B7">
        <v>39100119</v>
      </c>
      <c r="C7">
        <v>39100112</v>
      </c>
      <c r="D7">
        <v>37065248</v>
      </c>
      <c r="E7">
        <v>1</v>
      </c>
      <c r="F7">
        <v>1</v>
      </c>
      <c r="G7">
        <v>1</v>
      </c>
      <c r="H7">
        <v>1</v>
      </c>
      <c r="I7" t="s">
        <v>648</v>
      </c>
      <c r="J7" t="s">
        <v>3</v>
      </c>
      <c r="K7" t="s">
        <v>649</v>
      </c>
      <c r="L7">
        <v>1191</v>
      </c>
      <c r="N7">
        <v>1013</v>
      </c>
      <c r="O7" t="s">
        <v>641</v>
      </c>
      <c r="P7" t="s">
        <v>641</v>
      </c>
      <c r="Q7">
        <v>1</v>
      </c>
      <c r="X7">
        <v>46.19</v>
      </c>
      <c r="Y7">
        <v>0</v>
      </c>
      <c r="Z7">
        <v>0</v>
      </c>
      <c r="AA7">
        <v>0</v>
      </c>
      <c r="AB7">
        <v>8.5299999999999994</v>
      </c>
      <c r="AC7">
        <v>0</v>
      </c>
      <c r="AD7">
        <v>1</v>
      </c>
      <c r="AE7">
        <v>1</v>
      </c>
      <c r="AF7" t="s">
        <v>3</v>
      </c>
      <c r="AG7">
        <v>46.19</v>
      </c>
      <c r="AH7">
        <v>2</v>
      </c>
      <c r="AI7">
        <v>39100113</v>
      </c>
      <c r="AJ7">
        <v>5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ROW(Source!A30)</f>
        <v>30</v>
      </c>
      <c r="B8">
        <v>39100120</v>
      </c>
      <c r="C8">
        <v>39100112</v>
      </c>
      <c r="D8">
        <v>37064876</v>
      </c>
      <c r="E8">
        <v>1</v>
      </c>
      <c r="F8">
        <v>1</v>
      </c>
      <c r="G8">
        <v>1</v>
      </c>
      <c r="H8">
        <v>1</v>
      </c>
      <c r="I8" t="s">
        <v>642</v>
      </c>
      <c r="J8" t="s">
        <v>3</v>
      </c>
      <c r="K8" t="s">
        <v>643</v>
      </c>
      <c r="L8">
        <v>1191</v>
      </c>
      <c r="N8">
        <v>1013</v>
      </c>
      <c r="O8" t="s">
        <v>641</v>
      </c>
      <c r="P8" t="s">
        <v>641</v>
      </c>
      <c r="Q8">
        <v>1</v>
      </c>
      <c r="X8">
        <v>0.01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3</v>
      </c>
      <c r="AG8">
        <v>0.01</v>
      </c>
      <c r="AH8">
        <v>2</v>
      </c>
      <c r="AI8">
        <v>39100114</v>
      </c>
      <c r="AJ8">
        <v>6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ROW(Source!A30)</f>
        <v>30</v>
      </c>
      <c r="B9">
        <v>39100121</v>
      </c>
      <c r="C9">
        <v>39100112</v>
      </c>
      <c r="D9">
        <v>36882452</v>
      </c>
      <c r="E9">
        <v>1</v>
      </c>
      <c r="F9">
        <v>1</v>
      </c>
      <c r="G9">
        <v>1</v>
      </c>
      <c r="H9">
        <v>2</v>
      </c>
      <c r="I9" t="s">
        <v>644</v>
      </c>
      <c r="J9" t="s">
        <v>645</v>
      </c>
      <c r="K9" t="s">
        <v>646</v>
      </c>
      <c r="L9">
        <v>1368</v>
      </c>
      <c r="N9">
        <v>1011</v>
      </c>
      <c r="O9" t="s">
        <v>647</v>
      </c>
      <c r="P9" t="s">
        <v>647</v>
      </c>
      <c r="Q9">
        <v>1</v>
      </c>
      <c r="X9">
        <v>0.01</v>
      </c>
      <c r="Y9">
        <v>0</v>
      </c>
      <c r="Z9">
        <v>31.26</v>
      </c>
      <c r="AA9">
        <v>13.5</v>
      </c>
      <c r="AB9">
        <v>0</v>
      </c>
      <c r="AC9">
        <v>0</v>
      </c>
      <c r="AD9">
        <v>1</v>
      </c>
      <c r="AE9">
        <v>0</v>
      </c>
      <c r="AF9" t="s">
        <v>3</v>
      </c>
      <c r="AG9">
        <v>0.01</v>
      </c>
      <c r="AH9">
        <v>2</v>
      </c>
      <c r="AI9">
        <v>39100115</v>
      </c>
      <c r="AJ9">
        <v>7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ROW(Source!A30)</f>
        <v>30</v>
      </c>
      <c r="B10">
        <v>39100122</v>
      </c>
      <c r="C10">
        <v>39100112</v>
      </c>
      <c r="D10">
        <v>36801792</v>
      </c>
      <c r="E10">
        <v>1</v>
      </c>
      <c r="F10">
        <v>1</v>
      </c>
      <c r="G10">
        <v>1</v>
      </c>
      <c r="H10">
        <v>3</v>
      </c>
      <c r="I10" t="s">
        <v>650</v>
      </c>
      <c r="J10" t="s">
        <v>651</v>
      </c>
      <c r="K10" t="s">
        <v>652</v>
      </c>
      <c r="L10">
        <v>1339</v>
      </c>
      <c r="N10">
        <v>1007</v>
      </c>
      <c r="O10" t="s">
        <v>56</v>
      </c>
      <c r="P10" t="s">
        <v>56</v>
      </c>
      <c r="Q10">
        <v>1</v>
      </c>
      <c r="X10">
        <v>0.02</v>
      </c>
      <c r="Y10">
        <v>2.44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3</v>
      </c>
      <c r="AG10">
        <v>0.02</v>
      </c>
      <c r="AH10">
        <v>2</v>
      </c>
      <c r="AI10">
        <v>39100116</v>
      </c>
      <c r="AJ10">
        <v>8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ROW(Source!A30)</f>
        <v>30</v>
      </c>
      <c r="B11">
        <v>39100123</v>
      </c>
      <c r="C11">
        <v>39100112</v>
      </c>
      <c r="D11">
        <v>36799072</v>
      </c>
      <c r="E11">
        <v>17</v>
      </c>
      <c r="F11">
        <v>1</v>
      </c>
      <c r="G11">
        <v>1</v>
      </c>
      <c r="H11">
        <v>3</v>
      </c>
      <c r="I11" t="s">
        <v>918</v>
      </c>
      <c r="J11" t="s">
        <v>3</v>
      </c>
      <c r="K11" t="s">
        <v>919</v>
      </c>
      <c r="L11">
        <v>1348</v>
      </c>
      <c r="N11">
        <v>1009</v>
      </c>
      <c r="O11" t="s">
        <v>189</v>
      </c>
      <c r="P11" t="s">
        <v>189</v>
      </c>
      <c r="Q11">
        <v>1000</v>
      </c>
      <c r="X11">
        <v>7.0000000000000007E-2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 t="s">
        <v>3</v>
      </c>
      <c r="AG11">
        <v>7.0000000000000007E-2</v>
      </c>
      <c r="AH11">
        <v>3</v>
      </c>
      <c r="AI11">
        <v>-1</v>
      </c>
      <c r="AJ11" t="s">
        <v>3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ROW(Source!A30)</f>
        <v>30</v>
      </c>
      <c r="B12">
        <v>39100124</v>
      </c>
      <c r="C12">
        <v>39100112</v>
      </c>
      <c r="D12">
        <v>36806488</v>
      </c>
      <c r="E12">
        <v>1</v>
      </c>
      <c r="F12">
        <v>1</v>
      </c>
      <c r="G12">
        <v>1</v>
      </c>
      <c r="H12">
        <v>3</v>
      </c>
      <c r="I12" t="s">
        <v>653</v>
      </c>
      <c r="J12" t="s">
        <v>654</v>
      </c>
      <c r="K12" t="s">
        <v>655</v>
      </c>
      <c r="L12">
        <v>1348</v>
      </c>
      <c r="N12">
        <v>1009</v>
      </c>
      <c r="O12" t="s">
        <v>189</v>
      </c>
      <c r="P12" t="s">
        <v>189</v>
      </c>
      <c r="Q12">
        <v>1000</v>
      </c>
      <c r="X12">
        <v>0.05</v>
      </c>
      <c r="Y12">
        <v>729.98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3</v>
      </c>
      <c r="AG12">
        <v>0.05</v>
      </c>
      <c r="AH12">
        <v>2</v>
      </c>
      <c r="AI12">
        <v>39100117</v>
      </c>
      <c r="AJ12">
        <v>9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ROW(Source!A30)</f>
        <v>30</v>
      </c>
      <c r="B13">
        <v>39100125</v>
      </c>
      <c r="C13">
        <v>39100112</v>
      </c>
      <c r="D13">
        <v>36797058</v>
      </c>
      <c r="E13">
        <v>17</v>
      </c>
      <c r="F13">
        <v>1</v>
      </c>
      <c r="G13">
        <v>1</v>
      </c>
      <c r="H13">
        <v>3</v>
      </c>
      <c r="I13" t="s">
        <v>920</v>
      </c>
      <c r="J13" t="s">
        <v>3</v>
      </c>
      <c r="K13" t="s">
        <v>921</v>
      </c>
      <c r="L13">
        <v>1354</v>
      </c>
      <c r="N13">
        <v>1010</v>
      </c>
      <c r="O13" t="s">
        <v>37</v>
      </c>
      <c r="P13" t="s">
        <v>37</v>
      </c>
      <c r="Q13">
        <v>1</v>
      </c>
      <c r="X13">
        <v>100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 t="s">
        <v>3</v>
      </c>
      <c r="AG13">
        <v>100</v>
      </c>
      <c r="AH13">
        <v>3</v>
      </c>
      <c r="AI13">
        <v>-1</v>
      </c>
      <c r="AJ13" t="s">
        <v>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ROW(Source!A32)</f>
        <v>32</v>
      </c>
      <c r="B14">
        <v>39100129</v>
      </c>
      <c r="C14">
        <v>39100127</v>
      </c>
      <c r="D14">
        <v>37064998</v>
      </c>
      <c r="E14">
        <v>1</v>
      </c>
      <c r="F14">
        <v>1</v>
      </c>
      <c r="G14">
        <v>1</v>
      </c>
      <c r="H14">
        <v>1</v>
      </c>
      <c r="I14" t="s">
        <v>639</v>
      </c>
      <c r="J14" t="s">
        <v>3</v>
      </c>
      <c r="K14" t="s">
        <v>640</v>
      </c>
      <c r="L14">
        <v>1191</v>
      </c>
      <c r="N14">
        <v>1013</v>
      </c>
      <c r="O14" t="s">
        <v>641</v>
      </c>
      <c r="P14" t="s">
        <v>641</v>
      </c>
      <c r="Q14">
        <v>1</v>
      </c>
      <c r="X14">
        <v>22.82</v>
      </c>
      <c r="Y14">
        <v>0</v>
      </c>
      <c r="Z14">
        <v>0</v>
      </c>
      <c r="AA14">
        <v>0</v>
      </c>
      <c r="AB14">
        <v>7.8</v>
      </c>
      <c r="AC14">
        <v>0</v>
      </c>
      <c r="AD14">
        <v>1</v>
      </c>
      <c r="AE14">
        <v>1</v>
      </c>
      <c r="AF14" t="s">
        <v>3</v>
      </c>
      <c r="AG14">
        <v>22.82</v>
      </c>
      <c r="AH14">
        <v>2</v>
      </c>
      <c r="AI14">
        <v>39100128</v>
      </c>
      <c r="AJ14">
        <v>11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ROW(Source!A33)</f>
        <v>33</v>
      </c>
      <c r="B15">
        <v>39100158</v>
      </c>
      <c r="C15">
        <v>39100151</v>
      </c>
      <c r="D15">
        <v>37065248</v>
      </c>
      <c r="E15">
        <v>1</v>
      </c>
      <c r="F15">
        <v>1</v>
      </c>
      <c r="G15">
        <v>1</v>
      </c>
      <c r="H15">
        <v>1</v>
      </c>
      <c r="I15" t="s">
        <v>648</v>
      </c>
      <c r="J15" t="s">
        <v>3</v>
      </c>
      <c r="K15" t="s">
        <v>649</v>
      </c>
      <c r="L15">
        <v>1191</v>
      </c>
      <c r="N15">
        <v>1013</v>
      </c>
      <c r="O15" t="s">
        <v>641</v>
      </c>
      <c r="P15" t="s">
        <v>641</v>
      </c>
      <c r="Q15">
        <v>1</v>
      </c>
      <c r="X15">
        <v>124.23</v>
      </c>
      <c r="Y15">
        <v>0</v>
      </c>
      <c r="Z15">
        <v>0</v>
      </c>
      <c r="AA15">
        <v>0</v>
      </c>
      <c r="AB15">
        <v>8.5299999999999994</v>
      </c>
      <c r="AC15">
        <v>0</v>
      </c>
      <c r="AD15">
        <v>1</v>
      </c>
      <c r="AE15">
        <v>1</v>
      </c>
      <c r="AF15" t="s">
        <v>3</v>
      </c>
      <c r="AG15">
        <v>124.23</v>
      </c>
      <c r="AH15">
        <v>2</v>
      </c>
      <c r="AI15">
        <v>39100152</v>
      </c>
      <c r="AJ15">
        <v>12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ROW(Source!A33)</f>
        <v>33</v>
      </c>
      <c r="B16">
        <v>39100159</v>
      </c>
      <c r="C16">
        <v>39100151</v>
      </c>
      <c r="D16">
        <v>36883883</v>
      </c>
      <c r="E16">
        <v>1</v>
      </c>
      <c r="F16">
        <v>1</v>
      </c>
      <c r="G16">
        <v>1</v>
      </c>
      <c r="H16">
        <v>2</v>
      </c>
      <c r="I16" t="s">
        <v>656</v>
      </c>
      <c r="J16" t="s">
        <v>657</v>
      </c>
      <c r="K16" t="s">
        <v>658</v>
      </c>
      <c r="L16">
        <v>1368</v>
      </c>
      <c r="N16">
        <v>1011</v>
      </c>
      <c r="O16" t="s">
        <v>647</v>
      </c>
      <c r="P16" t="s">
        <v>647</v>
      </c>
      <c r="Q16">
        <v>1</v>
      </c>
      <c r="X16">
        <v>1.38</v>
      </c>
      <c r="Y16">
        <v>0</v>
      </c>
      <c r="Z16">
        <v>32.5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3</v>
      </c>
      <c r="AG16">
        <v>1.38</v>
      </c>
      <c r="AH16">
        <v>2</v>
      </c>
      <c r="AI16">
        <v>39100153</v>
      </c>
      <c r="AJ16">
        <v>13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ROW(Source!A33)</f>
        <v>33</v>
      </c>
      <c r="B17">
        <v>39100160</v>
      </c>
      <c r="C17">
        <v>39100151</v>
      </c>
      <c r="D17">
        <v>36884481</v>
      </c>
      <c r="E17">
        <v>1</v>
      </c>
      <c r="F17">
        <v>1</v>
      </c>
      <c r="G17">
        <v>1</v>
      </c>
      <c r="H17">
        <v>2</v>
      </c>
      <c r="I17" t="s">
        <v>659</v>
      </c>
      <c r="J17" t="s">
        <v>660</v>
      </c>
      <c r="K17" t="s">
        <v>661</v>
      </c>
      <c r="L17">
        <v>1368</v>
      </c>
      <c r="N17">
        <v>1011</v>
      </c>
      <c r="O17" t="s">
        <v>647</v>
      </c>
      <c r="P17" t="s">
        <v>647</v>
      </c>
      <c r="Q17">
        <v>1</v>
      </c>
      <c r="X17">
        <v>1.38</v>
      </c>
      <c r="Y17">
        <v>0</v>
      </c>
      <c r="Z17">
        <v>1.53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3</v>
      </c>
      <c r="AG17">
        <v>1.38</v>
      </c>
      <c r="AH17">
        <v>2</v>
      </c>
      <c r="AI17">
        <v>39100154</v>
      </c>
      <c r="AJ17">
        <v>14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ROW(Source!A33)</f>
        <v>33</v>
      </c>
      <c r="B18">
        <v>39100161</v>
      </c>
      <c r="C18">
        <v>39100151</v>
      </c>
      <c r="D18">
        <v>36801792</v>
      </c>
      <c r="E18">
        <v>1</v>
      </c>
      <c r="F18">
        <v>1</v>
      </c>
      <c r="G18">
        <v>1</v>
      </c>
      <c r="H18">
        <v>3</v>
      </c>
      <c r="I18" t="s">
        <v>650</v>
      </c>
      <c r="J18" t="s">
        <v>651</v>
      </c>
      <c r="K18" t="s">
        <v>652</v>
      </c>
      <c r="L18">
        <v>1339</v>
      </c>
      <c r="N18">
        <v>1007</v>
      </c>
      <c r="O18" t="s">
        <v>56</v>
      </c>
      <c r="P18" t="s">
        <v>56</v>
      </c>
      <c r="Q18">
        <v>1</v>
      </c>
      <c r="X18">
        <v>0.1</v>
      </c>
      <c r="Y18">
        <v>2.44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3</v>
      </c>
      <c r="AG18">
        <v>0.1</v>
      </c>
      <c r="AH18">
        <v>2</v>
      </c>
      <c r="AI18">
        <v>39100155</v>
      </c>
      <c r="AJ18">
        <v>15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ROW(Source!A33)</f>
        <v>33</v>
      </c>
      <c r="B19">
        <v>39100162</v>
      </c>
      <c r="C19">
        <v>39100151</v>
      </c>
      <c r="D19">
        <v>36799072</v>
      </c>
      <c r="E19">
        <v>17</v>
      </c>
      <c r="F19">
        <v>1</v>
      </c>
      <c r="G19">
        <v>1</v>
      </c>
      <c r="H19">
        <v>3</v>
      </c>
      <c r="I19" t="s">
        <v>918</v>
      </c>
      <c r="J19" t="s">
        <v>3</v>
      </c>
      <c r="K19" t="s">
        <v>919</v>
      </c>
      <c r="L19">
        <v>1348</v>
      </c>
      <c r="N19">
        <v>1009</v>
      </c>
      <c r="O19" t="s">
        <v>189</v>
      </c>
      <c r="P19" t="s">
        <v>189</v>
      </c>
      <c r="Q19">
        <v>1000</v>
      </c>
      <c r="X19">
        <v>1.48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 t="s">
        <v>3</v>
      </c>
      <c r="AG19">
        <v>1.48</v>
      </c>
      <c r="AH19">
        <v>3</v>
      </c>
      <c r="AI19">
        <v>-1</v>
      </c>
      <c r="AJ19" t="s">
        <v>3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ROW(Source!A33)</f>
        <v>33</v>
      </c>
      <c r="B20">
        <v>39100163</v>
      </c>
      <c r="C20">
        <v>39100151</v>
      </c>
      <c r="D20">
        <v>36796482</v>
      </c>
      <c r="E20">
        <v>17</v>
      </c>
      <c r="F20">
        <v>1</v>
      </c>
      <c r="G20">
        <v>1</v>
      </c>
      <c r="H20">
        <v>3</v>
      </c>
      <c r="I20" t="s">
        <v>922</v>
      </c>
      <c r="J20" t="s">
        <v>3</v>
      </c>
      <c r="K20" t="s">
        <v>923</v>
      </c>
      <c r="L20">
        <v>1348</v>
      </c>
      <c r="N20">
        <v>1009</v>
      </c>
      <c r="O20" t="s">
        <v>189</v>
      </c>
      <c r="P20" t="s">
        <v>189</v>
      </c>
      <c r="Q20">
        <v>1000</v>
      </c>
      <c r="X20">
        <v>4.4999999999999998E-2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 t="s">
        <v>3</v>
      </c>
      <c r="AG20">
        <v>4.4999999999999998E-2</v>
      </c>
      <c r="AH20">
        <v>3</v>
      </c>
      <c r="AI20">
        <v>-1</v>
      </c>
      <c r="AJ20" t="s">
        <v>3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ROW(Source!A33)</f>
        <v>33</v>
      </c>
      <c r="B21">
        <v>39100164</v>
      </c>
      <c r="C21">
        <v>39100151</v>
      </c>
      <c r="D21">
        <v>36796210</v>
      </c>
      <c r="E21">
        <v>17</v>
      </c>
      <c r="F21">
        <v>1</v>
      </c>
      <c r="G21">
        <v>1</v>
      </c>
      <c r="H21">
        <v>3</v>
      </c>
      <c r="I21" t="s">
        <v>54</v>
      </c>
      <c r="J21" t="s">
        <v>3</v>
      </c>
      <c r="K21" t="s">
        <v>55</v>
      </c>
      <c r="L21">
        <v>1339</v>
      </c>
      <c r="N21">
        <v>1007</v>
      </c>
      <c r="O21" t="s">
        <v>56</v>
      </c>
      <c r="P21" t="s">
        <v>56</v>
      </c>
      <c r="Q21">
        <v>1</v>
      </c>
      <c r="X21">
        <v>2.14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 t="s">
        <v>3</v>
      </c>
      <c r="AG21">
        <v>2.14</v>
      </c>
      <c r="AH21">
        <v>2</v>
      </c>
      <c r="AI21">
        <v>39100156</v>
      </c>
      <c r="AJ21">
        <v>16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ROW(Source!A36)</f>
        <v>36</v>
      </c>
      <c r="B22">
        <v>39100175</v>
      </c>
      <c r="C22">
        <v>39100167</v>
      </c>
      <c r="D22">
        <v>37065248</v>
      </c>
      <c r="E22">
        <v>1</v>
      </c>
      <c r="F22">
        <v>1</v>
      </c>
      <c r="G22">
        <v>1</v>
      </c>
      <c r="H22">
        <v>1</v>
      </c>
      <c r="I22" t="s">
        <v>648</v>
      </c>
      <c r="J22" t="s">
        <v>3</v>
      </c>
      <c r="K22" t="s">
        <v>649</v>
      </c>
      <c r="L22">
        <v>1191</v>
      </c>
      <c r="N22">
        <v>1013</v>
      </c>
      <c r="O22" t="s">
        <v>641</v>
      </c>
      <c r="P22" t="s">
        <v>641</v>
      </c>
      <c r="Q22">
        <v>1</v>
      </c>
      <c r="X22">
        <v>37.67</v>
      </c>
      <c r="Y22">
        <v>0</v>
      </c>
      <c r="Z22">
        <v>0</v>
      </c>
      <c r="AA22">
        <v>0</v>
      </c>
      <c r="AB22">
        <v>8.5299999999999994</v>
      </c>
      <c r="AC22">
        <v>0</v>
      </c>
      <c r="AD22">
        <v>1</v>
      </c>
      <c r="AE22">
        <v>1</v>
      </c>
      <c r="AF22" t="s">
        <v>66</v>
      </c>
      <c r="AG22">
        <v>43.320499999999996</v>
      </c>
      <c r="AH22">
        <v>2</v>
      </c>
      <c r="AI22">
        <v>39100168</v>
      </c>
      <c r="AJ22">
        <v>18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ROW(Source!A36)</f>
        <v>36</v>
      </c>
      <c r="B23">
        <v>39100176</v>
      </c>
      <c r="C23">
        <v>39100167</v>
      </c>
      <c r="D23">
        <v>37064876</v>
      </c>
      <c r="E23">
        <v>1</v>
      </c>
      <c r="F23">
        <v>1</v>
      </c>
      <c r="G23">
        <v>1</v>
      </c>
      <c r="H23">
        <v>1</v>
      </c>
      <c r="I23" t="s">
        <v>642</v>
      </c>
      <c r="J23" t="s">
        <v>3</v>
      </c>
      <c r="K23" t="s">
        <v>643</v>
      </c>
      <c r="L23">
        <v>1191</v>
      </c>
      <c r="N23">
        <v>1013</v>
      </c>
      <c r="O23" t="s">
        <v>641</v>
      </c>
      <c r="P23" t="s">
        <v>641</v>
      </c>
      <c r="Q23">
        <v>1</v>
      </c>
      <c r="X23">
        <v>0.17</v>
      </c>
      <c r="Y23">
        <v>0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2</v>
      </c>
      <c r="AF23" t="s">
        <v>65</v>
      </c>
      <c r="AG23">
        <v>0.21250000000000002</v>
      </c>
      <c r="AH23">
        <v>2</v>
      </c>
      <c r="AI23">
        <v>39100169</v>
      </c>
      <c r="AJ23">
        <v>19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ROW(Source!A36)</f>
        <v>36</v>
      </c>
      <c r="B24">
        <v>39100177</v>
      </c>
      <c r="C24">
        <v>39100167</v>
      </c>
      <c r="D24">
        <v>36882448</v>
      </c>
      <c r="E24">
        <v>1</v>
      </c>
      <c r="F24">
        <v>1</v>
      </c>
      <c r="G24">
        <v>1</v>
      </c>
      <c r="H24">
        <v>2</v>
      </c>
      <c r="I24" t="s">
        <v>662</v>
      </c>
      <c r="J24" t="s">
        <v>663</v>
      </c>
      <c r="K24" t="s">
        <v>664</v>
      </c>
      <c r="L24">
        <v>1368</v>
      </c>
      <c r="N24">
        <v>1011</v>
      </c>
      <c r="O24" t="s">
        <v>647</v>
      </c>
      <c r="P24" t="s">
        <v>647</v>
      </c>
      <c r="Q24">
        <v>1</v>
      </c>
      <c r="X24">
        <v>0.13</v>
      </c>
      <c r="Y24">
        <v>0</v>
      </c>
      <c r="Z24">
        <v>27.66</v>
      </c>
      <c r="AA24">
        <v>11.6</v>
      </c>
      <c r="AB24">
        <v>0</v>
      </c>
      <c r="AC24">
        <v>0</v>
      </c>
      <c r="AD24">
        <v>1</v>
      </c>
      <c r="AE24">
        <v>0</v>
      </c>
      <c r="AF24" t="s">
        <v>65</v>
      </c>
      <c r="AG24">
        <v>0.16250000000000001</v>
      </c>
      <c r="AH24">
        <v>2</v>
      </c>
      <c r="AI24">
        <v>39100170</v>
      </c>
      <c r="AJ24">
        <v>20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ROW(Source!A36)</f>
        <v>36</v>
      </c>
      <c r="B25">
        <v>39100178</v>
      </c>
      <c r="C25">
        <v>39100167</v>
      </c>
      <c r="D25">
        <v>36883554</v>
      </c>
      <c r="E25">
        <v>1</v>
      </c>
      <c r="F25">
        <v>1</v>
      </c>
      <c r="G25">
        <v>1</v>
      </c>
      <c r="H25">
        <v>2</v>
      </c>
      <c r="I25" t="s">
        <v>665</v>
      </c>
      <c r="J25" t="s">
        <v>666</v>
      </c>
      <c r="K25" t="s">
        <v>667</v>
      </c>
      <c r="L25">
        <v>1368</v>
      </c>
      <c r="N25">
        <v>1011</v>
      </c>
      <c r="O25" t="s">
        <v>647</v>
      </c>
      <c r="P25" t="s">
        <v>647</v>
      </c>
      <c r="Q25">
        <v>1</v>
      </c>
      <c r="X25">
        <v>0.04</v>
      </c>
      <c r="Y25">
        <v>0</v>
      </c>
      <c r="Z25">
        <v>65.709999999999994</v>
      </c>
      <c r="AA25">
        <v>11.6</v>
      </c>
      <c r="AB25">
        <v>0</v>
      </c>
      <c r="AC25">
        <v>0</v>
      </c>
      <c r="AD25">
        <v>1</v>
      </c>
      <c r="AE25">
        <v>0</v>
      </c>
      <c r="AF25" t="s">
        <v>65</v>
      </c>
      <c r="AG25">
        <v>0.05</v>
      </c>
      <c r="AH25">
        <v>2</v>
      </c>
      <c r="AI25">
        <v>39100171</v>
      </c>
      <c r="AJ25">
        <v>21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ROW(Source!A36)</f>
        <v>36</v>
      </c>
      <c r="B26">
        <v>39100179</v>
      </c>
      <c r="C26">
        <v>39100167</v>
      </c>
      <c r="D26">
        <v>36801792</v>
      </c>
      <c r="E26">
        <v>1</v>
      </c>
      <c r="F26">
        <v>1</v>
      </c>
      <c r="G26">
        <v>1</v>
      </c>
      <c r="H26">
        <v>3</v>
      </c>
      <c r="I26" t="s">
        <v>650</v>
      </c>
      <c r="J26" t="s">
        <v>651</v>
      </c>
      <c r="K26" t="s">
        <v>652</v>
      </c>
      <c r="L26">
        <v>1339</v>
      </c>
      <c r="N26">
        <v>1007</v>
      </c>
      <c r="O26" t="s">
        <v>56</v>
      </c>
      <c r="P26" t="s">
        <v>56</v>
      </c>
      <c r="Q26">
        <v>1</v>
      </c>
      <c r="X26">
        <v>0.17399999999999999</v>
      </c>
      <c r="Y26">
        <v>2.44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3</v>
      </c>
      <c r="AG26">
        <v>0.17399999999999999</v>
      </c>
      <c r="AH26">
        <v>2</v>
      </c>
      <c r="AI26">
        <v>39100172</v>
      </c>
      <c r="AJ26">
        <v>22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ROW(Source!A36)</f>
        <v>36</v>
      </c>
      <c r="B27">
        <v>39100180</v>
      </c>
      <c r="C27">
        <v>39100167</v>
      </c>
      <c r="D27">
        <v>36807412</v>
      </c>
      <c r="E27">
        <v>1</v>
      </c>
      <c r="F27">
        <v>1</v>
      </c>
      <c r="G27">
        <v>1</v>
      </c>
      <c r="H27">
        <v>3</v>
      </c>
      <c r="I27" t="s">
        <v>668</v>
      </c>
      <c r="J27" t="s">
        <v>669</v>
      </c>
      <c r="K27" t="s">
        <v>670</v>
      </c>
      <c r="L27">
        <v>1348</v>
      </c>
      <c r="N27">
        <v>1009</v>
      </c>
      <c r="O27" t="s">
        <v>189</v>
      </c>
      <c r="P27" t="s">
        <v>189</v>
      </c>
      <c r="Q27">
        <v>1000</v>
      </c>
      <c r="X27">
        <v>0.9</v>
      </c>
      <c r="Y27">
        <v>11381.57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3</v>
      </c>
      <c r="AG27">
        <v>0.9</v>
      </c>
      <c r="AH27">
        <v>2</v>
      </c>
      <c r="AI27">
        <v>39100173</v>
      </c>
      <c r="AJ27">
        <v>23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ROW(Source!A36)</f>
        <v>36</v>
      </c>
      <c r="B28">
        <v>39100181</v>
      </c>
      <c r="C28">
        <v>39100167</v>
      </c>
      <c r="D28">
        <v>36837972</v>
      </c>
      <c r="E28">
        <v>1</v>
      </c>
      <c r="F28">
        <v>1</v>
      </c>
      <c r="G28">
        <v>1</v>
      </c>
      <c r="H28">
        <v>3</v>
      </c>
      <c r="I28" t="s">
        <v>671</v>
      </c>
      <c r="J28" t="s">
        <v>672</v>
      </c>
      <c r="K28" t="s">
        <v>673</v>
      </c>
      <c r="L28">
        <v>1346</v>
      </c>
      <c r="N28">
        <v>1009</v>
      </c>
      <c r="O28" t="s">
        <v>97</v>
      </c>
      <c r="P28" t="s">
        <v>97</v>
      </c>
      <c r="Q28">
        <v>1</v>
      </c>
      <c r="X28">
        <v>30</v>
      </c>
      <c r="Y28">
        <v>15.25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3</v>
      </c>
      <c r="AG28">
        <v>30</v>
      </c>
      <c r="AH28">
        <v>2</v>
      </c>
      <c r="AI28">
        <v>39100174</v>
      </c>
      <c r="AJ28">
        <v>24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ROW(Source!A37)</f>
        <v>37</v>
      </c>
      <c r="B29">
        <v>39101065</v>
      </c>
      <c r="C29">
        <v>39101064</v>
      </c>
      <c r="D29">
        <v>37065248</v>
      </c>
      <c r="E29">
        <v>1</v>
      </c>
      <c r="F29">
        <v>1</v>
      </c>
      <c r="G29">
        <v>1</v>
      </c>
      <c r="H29">
        <v>1</v>
      </c>
      <c r="I29" t="s">
        <v>648</v>
      </c>
      <c r="J29" t="s">
        <v>3</v>
      </c>
      <c r="K29" t="s">
        <v>649</v>
      </c>
      <c r="L29">
        <v>1191</v>
      </c>
      <c r="N29">
        <v>1013</v>
      </c>
      <c r="O29" t="s">
        <v>641</v>
      </c>
      <c r="P29" t="s">
        <v>641</v>
      </c>
      <c r="Q29">
        <v>1</v>
      </c>
      <c r="X29">
        <v>2.42</v>
      </c>
      <c r="Y29">
        <v>0</v>
      </c>
      <c r="Z29">
        <v>0</v>
      </c>
      <c r="AA29">
        <v>0</v>
      </c>
      <c r="AB29">
        <v>8.5299999999999994</v>
      </c>
      <c r="AC29">
        <v>0</v>
      </c>
      <c r="AD29">
        <v>1</v>
      </c>
      <c r="AE29">
        <v>1</v>
      </c>
      <c r="AF29" t="s">
        <v>75</v>
      </c>
      <c r="AG29">
        <v>13.914999999999999</v>
      </c>
      <c r="AH29">
        <v>2</v>
      </c>
      <c r="AI29">
        <v>39101065</v>
      </c>
      <c r="AJ29">
        <v>25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ROW(Source!A37)</f>
        <v>37</v>
      </c>
      <c r="B30">
        <v>39101066</v>
      </c>
      <c r="C30">
        <v>39101064</v>
      </c>
      <c r="D30">
        <v>37064876</v>
      </c>
      <c r="E30">
        <v>1</v>
      </c>
      <c r="F30">
        <v>1</v>
      </c>
      <c r="G30">
        <v>1</v>
      </c>
      <c r="H30">
        <v>1</v>
      </c>
      <c r="I30" t="s">
        <v>642</v>
      </c>
      <c r="J30" t="s">
        <v>3</v>
      </c>
      <c r="K30" t="s">
        <v>643</v>
      </c>
      <c r="L30">
        <v>1191</v>
      </c>
      <c r="N30">
        <v>1013</v>
      </c>
      <c r="O30" t="s">
        <v>641</v>
      </c>
      <c r="P30" t="s">
        <v>641</v>
      </c>
      <c r="Q30">
        <v>1</v>
      </c>
      <c r="X30">
        <v>0.03</v>
      </c>
      <c r="Y30">
        <v>0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2</v>
      </c>
      <c r="AF30" t="s">
        <v>74</v>
      </c>
      <c r="AG30">
        <v>0.1875</v>
      </c>
      <c r="AH30">
        <v>2</v>
      </c>
      <c r="AI30">
        <v>39101066</v>
      </c>
      <c r="AJ30">
        <v>26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ROW(Source!A37)</f>
        <v>37</v>
      </c>
      <c r="B31">
        <v>39101067</v>
      </c>
      <c r="C31">
        <v>39101064</v>
      </c>
      <c r="D31">
        <v>36882448</v>
      </c>
      <c r="E31">
        <v>1</v>
      </c>
      <c r="F31">
        <v>1</v>
      </c>
      <c r="G31">
        <v>1</v>
      </c>
      <c r="H31">
        <v>2</v>
      </c>
      <c r="I31" t="s">
        <v>662</v>
      </c>
      <c r="J31" t="s">
        <v>663</v>
      </c>
      <c r="K31" t="s">
        <v>664</v>
      </c>
      <c r="L31">
        <v>1368</v>
      </c>
      <c r="N31">
        <v>1011</v>
      </c>
      <c r="O31" t="s">
        <v>647</v>
      </c>
      <c r="P31" t="s">
        <v>647</v>
      </c>
      <c r="Q31">
        <v>1</v>
      </c>
      <c r="X31">
        <v>0.02</v>
      </c>
      <c r="Y31">
        <v>0</v>
      </c>
      <c r="Z31">
        <v>27.66</v>
      </c>
      <c r="AA31">
        <v>11.6</v>
      </c>
      <c r="AB31">
        <v>0</v>
      </c>
      <c r="AC31">
        <v>0</v>
      </c>
      <c r="AD31">
        <v>1</v>
      </c>
      <c r="AE31">
        <v>0</v>
      </c>
      <c r="AF31" t="s">
        <v>74</v>
      </c>
      <c r="AG31">
        <v>0.125</v>
      </c>
      <c r="AH31">
        <v>2</v>
      </c>
      <c r="AI31">
        <v>39101067</v>
      </c>
      <c r="AJ31">
        <v>27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ROW(Source!A37)</f>
        <v>37</v>
      </c>
      <c r="B32">
        <v>39101068</v>
      </c>
      <c r="C32">
        <v>39101064</v>
      </c>
      <c r="D32">
        <v>36883554</v>
      </c>
      <c r="E32">
        <v>1</v>
      </c>
      <c r="F32">
        <v>1</v>
      </c>
      <c r="G32">
        <v>1</v>
      </c>
      <c r="H32">
        <v>2</v>
      </c>
      <c r="I32" t="s">
        <v>665</v>
      </c>
      <c r="J32" t="s">
        <v>666</v>
      </c>
      <c r="K32" t="s">
        <v>667</v>
      </c>
      <c r="L32">
        <v>1368</v>
      </c>
      <c r="N32">
        <v>1011</v>
      </c>
      <c r="O32" t="s">
        <v>647</v>
      </c>
      <c r="P32" t="s">
        <v>647</v>
      </c>
      <c r="Q32">
        <v>1</v>
      </c>
      <c r="X32">
        <v>0.01</v>
      </c>
      <c r="Y32">
        <v>0</v>
      </c>
      <c r="Z32">
        <v>65.709999999999994</v>
      </c>
      <c r="AA32">
        <v>11.6</v>
      </c>
      <c r="AB32">
        <v>0</v>
      </c>
      <c r="AC32">
        <v>0</v>
      </c>
      <c r="AD32">
        <v>1</v>
      </c>
      <c r="AE32">
        <v>0</v>
      </c>
      <c r="AF32" t="s">
        <v>74</v>
      </c>
      <c r="AG32">
        <v>6.25E-2</v>
      </c>
      <c r="AH32">
        <v>2</v>
      </c>
      <c r="AI32">
        <v>39101068</v>
      </c>
      <c r="AJ32">
        <v>28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ROW(Source!A37)</f>
        <v>37</v>
      </c>
      <c r="B33">
        <v>39101069</v>
      </c>
      <c r="C33">
        <v>39101064</v>
      </c>
      <c r="D33">
        <v>36801792</v>
      </c>
      <c r="E33">
        <v>1</v>
      </c>
      <c r="F33">
        <v>1</v>
      </c>
      <c r="G33">
        <v>1</v>
      </c>
      <c r="H33">
        <v>3</v>
      </c>
      <c r="I33" t="s">
        <v>650</v>
      </c>
      <c r="J33" t="s">
        <v>651</v>
      </c>
      <c r="K33" t="s">
        <v>652</v>
      </c>
      <c r="L33">
        <v>1339</v>
      </c>
      <c r="N33">
        <v>1007</v>
      </c>
      <c r="O33" t="s">
        <v>56</v>
      </c>
      <c r="P33" t="s">
        <v>56</v>
      </c>
      <c r="Q33">
        <v>1</v>
      </c>
      <c r="X33">
        <v>0.03</v>
      </c>
      <c r="Y33">
        <v>2.44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73</v>
      </c>
      <c r="AG33">
        <v>0.15</v>
      </c>
      <c r="AH33">
        <v>2</v>
      </c>
      <c r="AI33">
        <v>39101069</v>
      </c>
      <c r="AJ33">
        <v>29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ROW(Source!A37)</f>
        <v>37</v>
      </c>
      <c r="B34">
        <v>39101070</v>
      </c>
      <c r="C34">
        <v>39101064</v>
      </c>
      <c r="D34">
        <v>36807412</v>
      </c>
      <c r="E34">
        <v>1</v>
      </c>
      <c r="F34">
        <v>1</v>
      </c>
      <c r="G34">
        <v>1</v>
      </c>
      <c r="H34">
        <v>3</v>
      </c>
      <c r="I34" t="s">
        <v>668</v>
      </c>
      <c r="J34" t="s">
        <v>669</v>
      </c>
      <c r="K34" t="s">
        <v>670</v>
      </c>
      <c r="L34">
        <v>1348</v>
      </c>
      <c r="N34">
        <v>1009</v>
      </c>
      <c r="O34" t="s">
        <v>189</v>
      </c>
      <c r="P34" t="s">
        <v>189</v>
      </c>
      <c r="Q34">
        <v>1000</v>
      </c>
      <c r="X34">
        <v>0.18</v>
      </c>
      <c r="Y34">
        <v>11381.57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73</v>
      </c>
      <c r="AG34">
        <v>0.89999999999999991</v>
      </c>
      <c r="AH34">
        <v>2</v>
      </c>
      <c r="AI34">
        <v>39101070</v>
      </c>
      <c r="AJ34">
        <v>30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ROW(Source!A38)</f>
        <v>38</v>
      </c>
      <c r="B35">
        <v>39100205</v>
      </c>
      <c r="C35">
        <v>39100196</v>
      </c>
      <c r="D35">
        <v>37072767</v>
      </c>
      <c r="E35">
        <v>1</v>
      </c>
      <c r="F35">
        <v>1</v>
      </c>
      <c r="G35">
        <v>1</v>
      </c>
      <c r="H35">
        <v>1</v>
      </c>
      <c r="I35" t="s">
        <v>674</v>
      </c>
      <c r="J35" t="s">
        <v>3</v>
      </c>
      <c r="K35" t="s">
        <v>675</v>
      </c>
      <c r="L35">
        <v>1191</v>
      </c>
      <c r="N35">
        <v>1013</v>
      </c>
      <c r="O35" t="s">
        <v>641</v>
      </c>
      <c r="P35" t="s">
        <v>641</v>
      </c>
      <c r="Q35">
        <v>1</v>
      </c>
      <c r="X35">
        <v>3.69</v>
      </c>
      <c r="Y35">
        <v>0</v>
      </c>
      <c r="Z35">
        <v>0</v>
      </c>
      <c r="AA35">
        <v>0</v>
      </c>
      <c r="AB35">
        <v>9.18</v>
      </c>
      <c r="AC35">
        <v>0</v>
      </c>
      <c r="AD35">
        <v>1</v>
      </c>
      <c r="AE35">
        <v>1</v>
      </c>
      <c r="AF35" t="s">
        <v>3</v>
      </c>
      <c r="AG35">
        <v>3.69</v>
      </c>
      <c r="AH35">
        <v>2</v>
      </c>
      <c r="AI35">
        <v>39100197</v>
      </c>
      <c r="AJ35">
        <v>31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ROW(Source!A38)</f>
        <v>38</v>
      </c>
      <c r="B36">
        <v>39100206</v>
      </c>
      <c r="C36">
        <v>39100196</v>
      </c>
      <c r="D36">
        <v>37064876</v>
      </c>
      <c r="E36">
        <v>1</v>
      </c>
      <c r="F36">
        <v>1</v>
      </c>
      <c r="G36">
        <v>1</v>
      </c>
      <c r="H36">
        <v>1</v>
      </c>
      <c r="I36" t="s">
        <v>642</v>
      </c>
      <c r="J36" t="s">
        <v>3</v>
      </c>
      <c r="K36" t="s">
        <v>643</v>
      </c>
      <c r="L36">
        <v>1191</v>
      </c>
      <c r="N36">
        <v>1013</v>
      </c>
      <c r="O36" t="s">
        <v>641</v>
      </c>
      <c r="P36" t="s">
        <v>641</v>
      </c>
      <c r="Q36">
        <v>1</v>
      </c>
      <c r="X36">
        <v>0.05</v>
      </c>
      <c r="Y36">
        <v>0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2</v>
      </c>
      <c r="AF36" t="s">
        <v>3</v>
      </c>
      <c r="AG36">
        <v>0.05</v>
      </c>
      <c r="AH36">
        <v>2</v>
      </c>
      <c r="AI36">
        <v>39100198</v>
      </c>
      <c r="AJ36">
        <v>32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ROW(Source!A38)</f>
        <v>38</v>
      </c>
      <c r="B37">
        <v>39100207</v>
      </c>
      <c r="C37">
        <v>39100196</v>
      </c>
      <c r="D37">
        <v>36882448</v>
      </c>
      <c r="E37">
        <v>1</v>
      </c>
      <c r="F37">
        <v>1</v>
      </c>
      <c r="G37">
        <v>1</v>
      </c>
      <c r="H37">
        <v>2</v>
      </c>
      <c r="I37" t="s">
        <v>662</v>
      </c>
      <c r="J37" t="s">
        <v>663</v>
      </c>
      <c r="K37" t="s">
        <v>664</v>
      </c>
      <c r="L37">
        <v>1368</v>
      </c>
      <c r="N37">
        <v>1011</v>
      </c>
      <c r="O37" t="s">
        <v>647</v>
      </c>
      <c r="P37" t="s">
        <v>647</v>
      </c>
      <c r="Q37">
        <v>1</v>
      </c>
      <c r="X37">
        <v>0.01</v>
      </c>
      <c r="Y37">
        <v>0</v>
      </c>
      <c r="Z37">
        <v>27.66</v>
      </c>
      <c r="AA37">
        <v>11.6</v>
      </c>
      <c r="AB37">
        <v>0</v>
      </c>
      <c r="AC37">
        <v>0</v>
      </c>
      <c r="AD37">
        <v>1</v>
      </c>
      <c r="AE37">
        <v>0</v>
      </c>
      <c r="AF37" t="s">
        <v>3</v>
      </c>
      <c r="AG37">
        <v>0.01</v>
      </c>
      <c r="AH37">
        <v>2</v>
      </c>
      <c r="AI37">
        <v>39100199</v>
      </c>
      <c r="AJ37">
        <v>33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ROW(Source!A38)</f>
        <v>38</v>
      </c>
      <c r="B38">
        <v>39100208</v>
      </c>
      <c r="C38">
        <v>39100196</v>
      </c>
      <c r="D38">
        <v>36883554</v>
      </c>
      <c r="E38">
        <v>1</v>
      </c>
      <c r="F38">
        <v>1</v>
      </c>
      <c r="G38">
        <v>1</v>
      </c>
      <c r="H38">
        <v>2</v>
      </c>
      <c r="I38" t="s">
        <v>665</v>
      </c>
      <c r="J38" t="s">
        <v>666</v>
      </c>
      <c r="K38" t="s">
        <v>667</v>
      </c>
      <c r="L38">
        <v>1368</v>
      </c>
      <c r="N38">
        <v>1011</v>
      </c>
      <c r="O38" t="s">
        <v>647</v>
      </c>
      <c r="P38" t="s">
        <v>647</v>
      </c>
      <c r="Q38">
        <v>1</v>
      </c>
      <c r="X38">
        <v>0.04</v>
      </c>
      <c r="Y38">
        <v>0</v>
      </c>
      <c r="Z38">
        <v>65.709999999999994</v>
      </c>
      <c r="AA38">
        <v>11.6</v>
      </c>
      <c r="AB38">
        <v>0</v>
      </c>
      <c r="AC38">
        <v>0</v>
      </c>
      <c r="AD38">
        <v>1</v>
      </c>
      <c r="AE38">
        <v>0</v>
      </c>
      <c r="AF38" t="s">
        <v>3</v>
      </c>
      <c r="AG38">
        <v>0.04</v>
      </c>
      <c r="AH38">
        <v>2</v>
      </c>
      <c r="AI38">
        <v>39100200</v>
      </c>
      <c r="AJ38">
        <v>34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ROW(Source!A38)</f>
        <v>38</v>
      </c>
      <c r="B39">
        <v>39100209</v>
      </c>
      <c r="C39">
        <v>39100196</v>
      </c>
      <c r="D39">
        <v>36884416</v>
      </c>
      <c r="E39">
        <v>1</v>
      </c>
      <c r="F39">
        <v>1</v>
      </c>
      <c r="G39">
        <v>1</v>
      </c>
      <c r="H39">
        <v>2</v>
      </c>
      <c r="I39" t="s">
        <v>676</v>
      </c>
      <c r="J39" t="s">
        <v>677</v>
      </c>
      <c r="K39" t="s">
        <v>678</v>
      </c>
      <c r="L39">
        <v>1368</v>
      </c>
      <c r="N39">
        <v>1011</v>
      </c>
      <c r="O39" t="s">
        <v>647</v>
      </c>
      <c r="P39" t="s">
        <v>647</v>
      </c>
      <c r="Q39">
        <v>1</v>
      </c>
      <c r="X39">
        <v>2.82</v>
      </c>
      <c r="Y39">
        <v>0</v>
      </c>
      <c r="Z39">
        <v>6.82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3</v>
      </c>
      <c r="AG39">
        <v>2.82</v>
      </c>
      <c r="AH39">
        <v>2</v>
      </c>
      <c r="AI39">
        <v>39100201</v>
      </c>
      <c r="AJ39">
        <v>35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ROW(Source!A38)</f>
        <v>38</v>
      </c>
      <c r="B40">
        <v>39100210</v>
      </c>
      <c r="C40">
        <v>39100196</v>
      </c>
      <c r="D40">
        <v>36801792</v>
      </c>
      <c r="E40">
        <v>1</v>
      </c>
      <c r="F40">
        <v>1</v>
      </c>
      <c r="G40">
        <v>1</v>
      </c>
      <c r="H40">
        <v>3</v>
      </c>
      <c r="I40" t="s">
        <v>650</v>
      </c>
      <c r="J40" t="s">
        <v>651</v>
      </c>
      <c r="K40" t="s">
        <v>652</v>
      </c>
      <c r="L40">
        <v>1339</v>
      </c>
      <c r="N40">
        <v>1007</v>
      </c>
      <c r="O40" t="s">
        <v>56</v>
      </c>
      <c r="P40" t="s">
        <v>56</v>
      </c>
      <c r="Q40">
        <v>1</v>
      </c>
      <c r="X40">
        <v>0.01</v>
      </c>
      <c r="Y40">
        <v>2.44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3</v>
      </c>
      <c r="AG40">
        <v>0.01</v>
      </c>
      <c r="AH40">
        <v>2</v>
      </c>
      <c r="AI40">
        <v>39100202</v>
      </c>
      <c r="AJ40">
        <v>36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ROW(Source!A38)</f>
        <v>38</v>
      </c>
      <c r="B41">
        <v>39100211</v>
      </c>
      <c r="C41">
        <v>39100196</v>
      </c>
      <c r="D41">
        <v>36805524</v>
      </c>
      <c r="E41">
        <v>1</v>
      </c>
      <c r="F41">
        <v>1</v>
      </c>
      <c r="G41">
        <v>1</v>
      </c>
      <c r="H41">
        <v>3</v>
      </c>
      <c r="I41" t="s">
        <v>679</v>
      </c>
      <c r="J41" t="s">
        <v>680</v>
      </c>
      <c r="K41" t="s">
        <v>681</v>
      </c>
      <c r="L41">
        <v>1346</v>
      </c>
      <c r="N41">
        <v>1009</v>
      </c>
      <c r="O41" t="s">
        <v>97</v>
      </c>
      <c r="P41" t="s">
        <v>97</v>
      </c>
      <c r="Q41">
        <v>1</v>
      </c>
      <c r="X41">
        <v>1</v>
      </c>
      <c r="Y41">
        <v>1.82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3</v>
      </c>
      <c r="AG41">
        <v>1</v>
      </c>
      <c r="AH41">
        <v>2</v>
      </c>
      <c r="AI41">
        <v>39100203</v>
      </c>
      <c r="AJ41">
        <v>37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ROW(Source!A38)</f>
        <v>38</v>
      </c>
      <c r="B42">
        <v>39100212</v>
      </c>
      <c r="C42">
        <v>39100196</v>
      </c>
      <c r="D42">
        <v>36837972</v>
      </c>
      <c r="E42">
        <v>1</v>
      </c>
      <c r="F42">
        <v>1</v>
      </c>
      <c r="G42">
        <v>1</v>
      </c>
      <c r="H42">
        <v>3</v>
      </c>
      <c r="I42" t="s">
        <v>671</v>
      </c>
      <c r="J42" t="s">
        <v>672</v>
      </c>
      <c r="K42" t="s">
        <v>673</v>
      </c>
      <c r="L42">
        <v>1346</v>
      </c>
      <c r="N42">
        <v>1009</v>
      </c>
      <c r="O42" t="s">
        <v>97</v>
      </c>
      <c r="P42" t="s">
        <v>97</v>
      </c>
      <c r="Q42">
        <v>1</v>
      </c>
      <c r="X42">
        <v>13.8</v>
      </c>
      <c r="Y42">
        <v>15.25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3</v>
      </c>
      <c r="AG42">
        <v>13.8</v>
      </c>
      <c r="AH42">
        <v>2</v>
      </c>
      <c r="AI42">
        <v>39100204</v>
      </c>
      <c r="AJ42">
        <v>38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ROW(Source!A39)</f>
        <v>39</v>
      </c>
      <c r="B43">
        <v>39100223</v>
      </c>
      <c r="C43">
        <v>39100213</v>
      </c>
      <c r="D43">
        <v>37066837</v>
      </c>
      <c r="E43">
        <v>1</v>
      </c>
      <c r="F43">
        <v>1</v>
      </c>
      <c r="G43">
        <v>1</v>
      </c>
      <c r="H43">
        <v>1</v>
      </c>
      <c r="I43" t="s">
        <v>682</v>
      </c>
      <c r="J43" t="s">
        <v>3</v>
      </c>
      <c r="K43" t="s">
        <v>683</v>
      </c>
      <c r="L43">
        <v>1191</v>
      </c>
      <c r="N43">
        <v>1013</v>
      </c>
      <c r="O43" t="s">
        <v>641</v>
      </c>
      <c r="P43" t="s">
        <v>641</v>
      </c>
      <c r="Q43">
        <v>1</v>
      </c>
      <c r="X43">
        <v>42.4</v>
      </c>
      <c r="Y43">
        <v>0</v>
      </c>
      <c r="Z43">
        <v>0</v>
      </c>
      <c r="AA43">
        <v>0</v>
      </c>
      <c r="AB43">
        <v>8.31</v>
      </c>
      <c r="AC43">
        <v>0</v>
      </c>
      <c r="AD43">
        <v>1</v>
      </c>
      <c r="AE43">
        <v>1</v>
      </c>
      <c r="AF43" t="s">
        <v>3</v>
      </c>
      <c r="AG43">
        <v>42.4</v>
      </c>
      <c r="AH43">
        <v>2</v>
      </c>
      <c r="AI43">
        <v>39100214</v>
      </c>
      <c r="AJ43">
        <v>39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ROW(Source!A39)</f>
        <v>39</v>
      </c>
      <c r="B44">
        <v>39100224</v>
      </c>
      <c r="C44">
        <v>39100213</v>
      </c>
      <c r="D44">
        <v>37064876</v>
      </c>
      <c r="E44">
        <v>1</v>
      </c>
      <c r="F44">
        <v>1</v>
      </c>
      <c r="G44">
        <v>1</v>
      </c>
      <c r="H44">
        <v>1</v>
      </c>
      <c r="I44" t="s">
        <v>642</v>
      </c>
      <c r="J44" t="s">
        <v>3</v>
      </c>
      <c r="K44" t="s">
        <v>643</v>
      </c>
      <c r="L44">
        <v>1191</v>
      </c>
      <c r="N44">
        <v>1013</v>
      </c>
      <c r="O44" t="s">
        <v>641</v>
      </c>
      <c r="P44" t="s">
        <v>641</v>
      </c>
      <c r="Q44">
        <v>1</v>
      </c>
      <c r="X44">
        <v>0.85</v>
      </c>
      <c r="Y44">
        <v>0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2</v>
      </c>
      <c r="AF44" t="s">
        <v>3</v>
      </c>
      <c r="AG44">
        <v>0.85</v>
      </c>
      <c r="AH44">
        <v>2</v>
      </c>
      <c r="AI44">
        <v>39100215</v>
      </c>
      <c r="AJ44">
        <v>40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ROW(Source!A39)</f>
        <v>39</v>
      </c>
      <c r="B45">
        <v>39100225</v>
      </c>
      <c r="C45">
        <v>39100213</v>
      </c>
      <c r="D45">
        <v>36882452</v>
      </c>
      <c r="E45">
        <v>1</v>
      </c>
      <c r="F45">
        <v>1</v>
      </c>
      <c r="G45">
        <v>1</v>
      </c>
      <c r="H45">
        <v>2</v>
      </c>
      <c r="I45" t="s">
        <v>644</v>
      </c>
      <c r="J45" t="s">
        <v>645</v>
      </c>
      <c r="K45" t="s">
        <v>646</v>
      </c>
      <c r="L45">
        <v>1368</v>
      </c>
      <c r="N45">
        <v>1011</v>
      </c>
      <c r="O45" t="s">
        <v>647</v>
      </c>
      <c r="P45" t="s">
        <v>647</v>
      </c>
      <c r="Q45">
        <v>1</v>
      </c>
      <c r="X45">
        <v>0.35</v>
      </c>
      <c r="Y45">
        <v>0</v>
      </c>
      <c r="Z45">
        <v>31.26</v>
      </c>
      <c r="AA45">
        <v>13.5</v>
      </c>
      <c r="AB45">
        <v>0</v>
      </c>
      <c r="AC45">
        <v>0</v>
      </c>
      <c r="AD45">
        <v>1</v>
      </c>
      <c r="AE45">
        <v>0</v>
      </c>
      <c r="AF45" t="s">
        <v>3</v>
      </c>
      <c r="AG45">
        <v>0.35</v>
      </c>
      <c r="AH45">
        <v>2</v>
      </c>
      <c r="AI45">
        <v>39100216</v>
      </c>
      <c r="AJ45">
        <v>41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ROW(Source!A39)</f>
        <v>39</v>
      </c>
      <c r="B46">
        <v>39100226</v>
      </c>
      <c r="C46">
        <v>39100213</v>
      </c>
      <c r="D46">
        <v>36883554</v>
      </c>
      <c r="E46">
        <v>1</v>
      </c>
      <c r="F46">
        <v>1</v>
      </c>
      <c r="G46">
        <v>1</v>
      </c>
      <c r="H46">
        <v>2</v>
      </c>
      <c r="I46" t="s">
        <v>665</v>
      </c>
      <c r="J46" t="s">
        <v>666</v>
      </c>
      <c r="K46" t="s">
        <v>667</v>
      </c>
      <c r="L46">
        <v>1368</v>
      </c>
      <c r="N46">
        <v>1011</v>
      </c>
      <c r="O46" t="s">
        <v>647</v>
      </c>
      <c r="P46" t="s">
        <v>647</v>
      </c>
      <c r="Q46">
        <v>1</v>
      </c>
      <c r="X46">
        <v>0.5</v>
      </c>
      <c r="Y46">
        <v>0</v>
      </c>
      <c r="Z46">
        <v>65.709999999999994</v>
      </c>
      <c r="AA46">
        <v>11.6</v>
      </c>
      <c r="AB46">
        <v>0</v>
      </c>
      <c r="AC46">
        <v>0</v>
      </c>
      <c r="AD46">
        <v>1</v>
      </c>
      <c r="AE46">
        <v>0</v>
      </c>
      <c r="AF46" t="s">
        <v>3</v>
      </c>
      <c r="AG46">
        <v>0.5</v>
      </c>
      <c r="AH46">
        <v>2</v>
      </c>
      <c r="AI46">
        <v>39100217</v>
      </c>
      <c r="AJ46">
        <v>42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ROW(Source!A39)</f>
        <v>39</v>
      </c>
      <c r="B47">
        <v>39100227</v>
      </c>
      <c r="C47">
        <v>39100213</v>
      </c>
      <c r="D47">
        <v>36797243</v>
      </c>
      <c r="E47">
        <v>17</v>
      </c>
      <c r="F47">
        <v>1</v>
      </c>
      <c r="G47">
        <v>1</v>
      </c>
      <c r="H47">
        <v>3</v>
      </c>
      <c r="I47" t="s">
        <v>87</v>
      </c>
      <c r="J47" t="s">
        <v>3</v>
      </c>
      <c r="K47" t="s">
        <v>88</v>
      </c>
      <c r="L47">
        <v>1327</v>
      </c>
      <c r="N47">
        <v>1005</v>
      </c>
      <c r="O47" t="s">
        <v>89</v>
      </c>
      <c r="P47" t="s">
        <v>89</v>
      </c>
      <c r="Q47">
        <v>1</v>
      </c>
      <c r="X47">
        <v>102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 t="s">
        <v>3</v>
      </c>
      <c r="AG47">
        <v>102</v>
      </c>
      <c r="AH47">
        <v>2</v>
      </c>
      <c r="AI47">
        <v>39100218</v>
      </c>
      <c r="AJ47">
        <v>43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ROW(Source!A39)</f>
        <v>39</v>
      </c>
      <c r="B48">
        <v>39100228</v>
      </c>
      <c r="C48">
        <v>39100213</v>
      </c>
      <c r="D48">
        <v>36805524</v>
      </c>
      <c r="E48">
        <v>1</v>
      </c>
      <c r="F48">
        <v>1</v>
      </c>
      <c r="G48">
        <v>1</v>
      </c>
      <c r="H48">
        <v>3</v>
      </c>
      <c r="I48" t="s">
        <v>679</v>
      </c>
      <c r="J48" t="s">
        <v>680</v>
      </c>
      <c r="K48" t="s">
        <v>681</v>
      </c>
      <c r="L48">
        <v>1346</v>
      </c>
      <c r="N48">
        <v>1009</v>
      </c>
      <c r="O48" t="s">
        <v>97</v>
      </c>
      <c r="P48" t="s">
        <v>97</v>
      </c>
      <c r="Q48">
        <v>1</v>
      </c>
      <c r="X48">
        <v>0.5</v>
      </c>
      <c r="Y48">
        <v>1.82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3</v>
      </c>
      <c r="AG48">
        <v>0.5</v>
      </c>
      <c r="AH48">
        <v>2</v>
      </c>
      <c r="AI48">
        <v>39100220</v>
      </c>
      <c r="AJ48">
        <v>45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ROW(Source!A39)</f>
        <v>39</v>
      </c>
      <c r="B49">
        <v>39100229</v>
      </c>
      <c r="C49">
        <v>39100213</v>
      </c>
      <c r="D49">
        <v>36796764</v>
      </c>
      <c r="E49">
        <v>17</v>
      </c>
      <c r="F49">
        <v>1</v>
      </c>
      <c r="G49">
        <v>1</v>
      </c>
      <c r="H49">
        <v>3</v>
      </c>
      <c r="I49" t="s">
        <v>95</v>
      </c>
      <c r="J49" t="s">
        <v>3</v>
      </c>
      <c r="K49" t="s">
        <v>96</v>
      </c>
      <c r="L49">
        <v>1346</v>
      </c>
      <c r="N49">
        <v>1009</v>
      </c>
      <c r="O49" t="s">
        <v>97</v>
      </c>
      <c r="P49" t="s">
        <v>97</v>
      </c>
      <c r="Q49">
        <v>1</v>
      </c>
      <c r="X49">
        <v>50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 t="s">
        <v>3</v>
      </c>
      <c r="AG49">
        <v>50</v>
      </c>
      <c r="AH49">
        <v>2</v>
      </c>
      <c r="AI49">
        <v>39100222</v>
      </c>
      <c r="AJ49">
        <v>47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ROW(Source!A44)</f>
        <v>44</v>
      </c>
      <c r="B50">
        <v>39100253</v>
      </c>
      <c r="C50">
        <v>39100234</v>
      </c>
      <c r="D50">
        <v>37072767</v>
      </c>
      <c r="E50">
        <v>1</v>
      </c>
      <c r="F50">
        <v>1</v>
      </c>
      <c r="G50">
        <v>1</v>
      </c>
      <c r="H50">
        <v>1</v>
      </c>
      <c r="I50" t="s">
        <v>674</v>
      </c>
      <c r="J50" t="s">
        <v>3</v>
      </c>
      <c r="K50" t="s">
        <v>675</v>
      </c>
      <c r="L50">
        <v>1191</v>
      </c>
      <c r="N50">
        <v>1013</v>
      </c>
      <c r="O50" t="s">
        <v>641</v>
      </c>
      <c r="P50" t="s">
        <v>641</v>
      </c>
      <c r="Q50">
        <v>1</v>
      </c>
      <c r="X50">
        <v>6.68</v>
      </c>
      <c r="Y50">
        <v>0</v>
      </c>
      <c r="Z50">
        <v>0</v>
      </c>
      <c r="AA50">
        <v>0</v>
      </c>
      <c r="AB50">
        <v>9.18</v>
      </c>
      <c r="AC50">
        <v>0</v>
      </c>
      <c r="AD50">
        <v>1</v>
      </c>
      <c r="AE50">
        <v>1</v>
      </c>
      <c r="AF50" t="s">
        <v>3</v>
      </c>
      <c r="AG50">
        <v>6.68</v>
      </c>
      <c r="AH50">
        <v>2</v>
      </c>
      <c r="AI50">
        <v>39100235</v>
      </c>
      <c r="AJ50">
        <v>48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ROW(Source!A44)</f>
        <v>44</v>
      </c>
      <c r="B51">
        <v>39100254</v>
      </c>
      <c r="C51">
        <v>39100234</v>
      </c>
      <c r="D51">
        <v>37064876</v>
      </c>
      <c r="E51">
        <v>1</v>
      </c>
      <c r="F51">
        <v>1</v>
      </c>
      <c r="G51">
        <v>1</v>
      </c>
      <c r="H51">
        <v>1</v>
      </c>
      <c r="I51" t="s">
        <v>642</v>
      </c>
      <c r="J51" t="s">
        <v>3</v>
      </c>
      <c r="K51" t="s">
        <v>643</v>
      </c>
      <c r="L51">
        <v>1191</v>
      </c>
      <c r="N51">
        <v>1013</v>
      </c>
      <c r="O51" t="s">
        <v>641</v>
      </c>
      <c r="P51" t="s">
        <v>641</v>
      </c>
      <c r="Q51">
        <v>1</v>
      </c>
      <c r="X51">
        <v>0.04</v>
      </c>
      <c r="Y51">
        <v>0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2</v>
      </c>
      <c r="AF51" t="s">
        <v>3</v>
      </c>
      <c r="AG51">
        <v>0.04</v>
      </c>
      <c r="AH51">
        <v>2</v>
      </c>
      <c r="AI51">
        <v>39100236</v>
      </c>
      <c r="AJ51">
        <v>49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ROW(Source!A44)</f>
        <v>44</v>
      </c>
      <c r="B52">
        <v>39100255</v>
      </c>
      <c r="C52">
        <v>39100234</v>
      </c>
      <c r="D52">
        <v>36882452</v>
      </c>
      <c r="E52">
        <v>1</v>
      </c>
      <c r="F52">
        <v>1</v>
      </c>
      <c r="G52">
        <v>1</v>
      </c>
      <c r="H52">
        <v>2</v>
      </c>
      <c r="I52" t="s">
        <v>644</v>
      </c>
      <c r="J52" t="s">
        <v>645</v>
      </c>
      <c r="K52" t="s">
        <v>646</v>
      </c>
      <c r="L52">
        <v>1368</v>
      </c>
      <c r="N52">
        <v>1011</v>
      </c>
      <c r="O52" t="s">
        <v>647</v>
      </c>
      <c r="P52" t="s">
        <v>647</v>
      </c>
      <c r="Q52">
        <v>1</v>
      </c>
      <c r="X52">
        <v>5.0000000000000001E-3</v>
      </c>
      <c r="Y52">
        <v>0</v>
      </c>
      <c r="Z52">
        <v>31.26</v>
      </c>
      <c r="AA52">
        <v>13.5</v>
      </c>
      <c r="AB52">
        <v>0</v>
      </c>
      <c r="AC52">
        <v>0</v>
      </c>
      <c r="AD52">
        <v>1</v>
      </c>
      <c r="AE52">
        <v>0</v>
      </c>
      <c r="AF52" t="s">
        <v>3</v>
      </c>
      <c r="AG52">
        <v>5.0000000000000001E-3</v>
      </c>
      <c r="AH52">
        <v>2</v>
      </c>
      <c r="AI52">
        <v>39100237</v>
      </c>
      <c r="AJ52">
        <v>50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ROW(Source!A44)</f>
        <v>44</v>
      </c>
      <c r="B53">
        <v>39100256</v>
      </c>
      <c r="C53">
        <v>39100234</v>
      </c>
      <c r="D53">
        <v>36883554</v>
      </c>
      <c r="E53">
        <v>1</v>
      </c>
      <c r="F53">
        <v>1</v>
      </c>
      <c r="G53">
        <v>1</v>
      </c>
      <c r="H53">
        <v>2</v>
      </c>
      <c r="I53" t="s">
        <v>665</v>
      </c>
      <c r="J53" t="s">
        <v>666</v>
      </c>
      <c r="K53" t="s">
        <v>667</v>
      </c>
      <c r="L53">
        <v>1368</v>
      </c>
      <c r="N53">
        <v>1011</v>
      </c>
      <c r="O53" t="s">
        <v>647</v>
      </c>
      <c r="P53" t="s">
        <v>647</v>
      </c>
      <c r="Q53">
        <v>1</v>
      </c>
      <c r="X53">
        <v>0.03</v>
      </c>
      <c r="Y53">
        <v>0</v>
      </c>
      <c r="Z53">
        <v>65.709999999999994</v>
      </c>
      <c r="AA53">
        <v>11.6</v>
      </c>
      <c r="AB53">
        <v>0</v>
      </c>
      <c r="AC53">
        <v>0</v>
      </c>
      <c r="AD53">
        <v>1</v>
      </c>
      <c r="AE53">
        <v>0</v>
      </c>
      <c r="AF53" t="s">
        <v>3</v>
      </c>
      <c r="AG53">
        <v>0.03</v>
      </c>
      <c r="AH53">
        <v>2</v>
      </c>
      <c r="AI53">
        <v>39100238</v>
      </c>
      <c r="AJ53">
        <v>51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ROW(Source!A44)</f>
        <v>44</v>
      </c>
      <c r="B54">
        <v>39100257</v>
      </c>
      <c r="C54">
        <v>39100234</v>
      </c>
      <c r="D54">
        <v>36804478</v>
      </c>
      <c r="E54">
        <v>1</v>
      </c>
      <c r="F54">
        <v>1</v>
      </c>
      <c r="G54">
        <v>1</v>
      </c>
      <c r="H54">
        <v>3</v>
      </c>
      <c r="I54" t="s">
        <v>684</v>
      </c>
      <c r="J54" t="s">
        <v>685</v>
      </c>
      <c r="K54" t="s">
        <v>686</v>
      </c>
      <c r="L54">
        <v>1355</v>
      </c>
      <c r="N54">
        <v>1010</v>
      </c>
      <c r="O54" t="s">
        <v>120</v>
      </c>
      <c r="P54" t="s">
        <v>120</v>
      </c>
      <c r="Q54">
        <v>100</v>
      </c>
      <c r="X54">
        <v>2.63</v>
      </c>
      <c r="Y54">
        <v>12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3</v>
      </c>
      <c r="AG54">
        <v>2.63</v>
      </c>
      <c r="AH54">
        <v>2</v>
      </c>
      <c r="AI54">
        <v>39100239</v>
      </c>
      <c r="AJ54">
        <v>52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ROW(Source!A44)</f>
        <v>44</v>
      </c>
      <c r="B55">
        <v>39100258</v>
      </c>
      <c r="C55">
        <v>39100234</v>
      </c>
      <c r="D55">
        <v>36804581</v>
      </c>
      <c r="E55">
        <v>1</v>
      </c>
      <c r="F55">
        <v>1</v>
      </c>
      <c r="G55">
        <v>1</v>
      </c>
      <c r="H55">
        <v>3</v>
      </c>
      <c r="I55" t="s">
        <v>687</v>
      </c>
      <c r="J55" t="s">
        <v>688</v>
      </c>
      <c r="K55" t="s">
        <v>689</v>
      </c>
      <c r="L55">
        <v>1356</v>
      </c>
      <c r="N55">
        <v>1010</v>
      </c>
      <c r="O55" t="s">
        <v>690</v>
      </c>
      <c r="P55" t="s">
        <v>690</v>
      </c>
      <c r="Q55">
        <v>1000</v>
      </c>
      <c r="X55">
        <v>0.26300000000000001</v>
      </c>
      <c r="Y55">
        <v>160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3</v>
      </c>
      <c r="AG55">
        <v>0.26300000000000001</v>
      </c>
      <c r="AH55">
        <v>2</v>
      </c>
      <c r="AI55">
        <v>39100240</v>
      </c>
      <c r="AJ55">
        <v>53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ROW(Source!A44)</f>
        <v>44</v>
      </c>
      <c r="B56">
        <v>39100259</v>
      </c>
      <c r="C56">
        <v>39100234</v>
      </c>
      <c r="D56">
        <v>36797263</v>
      </c>
      <c r="E56">
        <v>17</v>
      </c>
      <c r="F56">
        <v>1</v>
      </c>
      <c r="G56">
        <v>1</v>
      </c>
      <c r="H56">
        <v>3</v>
      </c>
      <c r="I56" t="s">
        <v>107</v>
      </c>
      <c r="J56" t="s">
        <v>3</v>
      </c>
      <c r="K56" t="s">
        <v>108</v>
      </c>
      <c r="L56">
        <v>1301</v>
      </c>
      <c r="N56">
        <v>1003</v>
      </c>
      <c r="O56" t="s">
        <v>109</v>
      </c>
      <c r="P56" t="s">
        <v>109</v>
      </c>
      <c r="Q56">
        <v>1</v>
      </c>
      <c r="X56">
        <v>101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 t="s">
        <v>3</v>
      </c>
      <c r="AG56">
        <v>101</v>
      </c>
      <c r="AH56">
        <v>2</v>
      </c>
      <c r="AI56">
        <v>39100241</v>
      </c>
      <c r="AJ56">
        <v>54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ROW(Source!A44)</f>
        <v>44</v>
      </c>
      <c r="B57">
        <v>39100260</v>
      </c>
      <c r="C57">
        <v>39100234</v>
      </c>
      <c r="D57">
        <v>36797266</v>
      </c>
      <c r="E57">
        <v>17</v>
      </c>
      <c r="F57">
        <v>1</v>
      </c>
      <c r="G57">
        <v>1</v>
      </c>
      <c r="H57">
        <v>3</v>
      </c>
      <c r="I57" t="s">
        <v>115</v>
      </c>
      <c r="J57" t="s">
        <v>3</v>
      </c>
      <c r="K57" t="s">
        <v>116</v>
      </c>
      <c r="L57">
        <v>1354</v>
      </c>
      <c r="N57">
        <v>1010</v>
      </c>
      <c r="O57" t="s">
        <v>37</v>
      </c>
      <c r="P57" t="s">
        <v>37</v>
      </c>
      <c r="Q57">
        <v>1</v>
      </c>
      <c r="X57">
        <v>7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 t="s">
        <v>3</v>
      </c>
      <c r="AG57">
        <v>7</v>
      </c>
      <c r="AH57">
        <v>2</v>
      </c>
      <c r="AI57">
        <v>39100243</v>
      </c>
      <c r="AJ57">
        <v>56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ROW(Source!A44)</f>
        <v>44</v>
      </c>
      <c r="B58">
        <v>39100261</v>
      </c>
      <c r="C58">
        <v>39100234</v>
      </c>
      <c r="D58">
        <v>36797266</v>
      </c>
      <c r="E58">
        <v>17</v>
      </c>
      <c r="F58">
        <v>1</v>
      </c>
      <c r="G58">
        <v>1</v>
      </c>
      <c r="H58">
        <v>3</v>
      </c>
      <c r="I58" t="s">
        <v>115</v>
      </c>
      <c r="J58" t="s">
        <v>3</v>
      </c>
      <c r="K58" t="s">
        <v>924</v>
      </c>
      <c r="L58">
        <v>1354</v>
      </c>
      <c r="N58">
        <v>1010</v>
      </c>
      <c r="O58" t="s">
        <v>37</v>
      </c>
      <c r="P58" t="s">
        <v>37</v>
      </c>
      <c r="Q58">
        <v>1</v>
      </c>
      <c r="X58">
        <v>7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 t="s">
        <v>3</v>
      </c>
      <c r="AG58">
        <v>7</v>
      </c>
      <c r="AH58">
        <v>2</v>
      </c>
      <c r="AI58">
        <v>39100245</v>
      </c>
      <c r="AJ58">
        <v>57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ROW(Source!A44)</f>
        <v>44</v>
      </c>
      <c r="B59">
        <v>39100262</v>
      </c>
      <c r="C59">
        <v>39100234</v>
      </c>
      <c r="D59">
        <v>36797266</v>
      </c>
      <c r="E59">
        <v>17</v>
      </c>
      <c r="F59">
        <v>1</v>
      </c>
      <c r="G59">
        <v>1</v>
      </c>
      <c r="H59">
        <v>3</v>
      </c>
      <c r="I59" t="s">
        <v>115</v>
      </c>
      <c r="J59" t="s">
        <v>3</v>
      </c>
      <c r="K59" t="s">
        <v>140</v>
      </c>
      <c r="L59">
        <v>1354</v>
      </c>
      <c r="N59">
        <v>1010</v>
      </c>
      <c r="O59" t="s">
        <v>37</v>
      </c>
      <c r="P59" t="s">
        <v>37</v>
      </c>
      <c r="Q59">
        <v>1</v>
      </c>
      <c r="X59">
        <v>40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 t="s">
        <v>3</v>
      </c>
      <c r="AG59">
        <v>40</v>
      </c>
      <c r="AH59">
        <v>2</v>
      </c>
      <c r="AI59">
        <v>39100246</v>
      </c>
      <c r="AJ59">
        <v>58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ROW(Source!A44)</f>
        <v>44</v>
      </c>
      <c r="B60">
        <v>39100263</v>
      </c>
      <c r="C60">
        <v>39100234</v>
      </c>
      <c r="D60">
        <v>36797266</v>
      </c>
      <c r="E60">
        <v>17</v>
      </c>
      <c r="F60">
        <v>1</v>
      </c>
      <c r="G60">
        <v>1</v>
      </c>
      <c r="H60">
        <v>3</v>
      </c>
      <c r="I60" t="s">
        <v>115</v>
      </c>
      <c r="J60" t="s">
        <v>3</v>
      </c>
      <c r="K60" t="s">
        <v>142</v>
      </c>
      <c r="L60">
        <v>1354</v>
      </c>
      <c r="N60">
        <v>1010</v>
      </c>
      <c r="O60" t="s">
        <v>37</v>
      </c>
      <c r="P60" t="s">
        <v>37</v>
      </c>
      <c r="Q60">
        <v>1</v>
      </c>
      <c r="X60">
        <v>8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 t="s">
        <v>3</v>
      </c>
      <c r="AG60">
        <v>8</v>
      </c>
      <c r="AH60">
        <v>2</v>
      </c>
      <c r="AI60">
        <v>39100247</v>
      </c>
      <c r="AJ60">
        <v>59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ROW(Source!A44)</f>
        <v>44</v>
      </c>
      <c r="B61">
        <v>39100264</v>
      </c>
      <c r="C61">
        <v>39100234</v>
      </c>
      <c r="D61">
        <v>36797266</v>
      </c>
      <c r="E61">
        <v>17</v>
      </c>
      <c r="F61">
        <v>1</v>
      </c>
      <c r="G61">
        <v>1</v>
      </c>
      <c r="H61">
        <v>3</v>
      </c>
      <c r="I61" t="s">
        <v>115</v>
      </c>
      <c r="J61" t="s">
        <v>3</v>
      </c>
      <c r="K61" t="s">
        <v>144</v>
      </c>
      <c r="L61">
        <v>1354</v>
      </c>
      <c r="N61">
        <v>1010</v>
      </c>
      <c r="O61" t="s">
        <v>37</v>
      </c>
      <c r="P61" t="s">
        <v>37</v>
      </c>
      <c r="Q61">
        <v>1</v>
      </c>
      <c r="X61">
        <v>8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 t="s">
        <v>3</v>
      </c>
      <c r="AG61">
        <v>8</v>
      </c>
      <c r="AH61">
        <v>3</v>
      </c>
      <c r="AI61">
        <v>-1</v>
      </c>
      <c r="AJ61" t="s">
        <v>3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ROW(Source!A57)</f>
        <v>57</v>
      </c>
      <c r="B62">
        <v>39100283</v>
      </c>
      <c r="C62">
        <v>39100277</v>
      </c>
      <c r="D62">
        <v>37070495</v>
      </c>
      <c r="E62">
        <v>1</v>
      </c>
      <c r="F62">
        <v>1</v>
      </c>
      <c r="G62">
        <v>1</v>
      </c>
      <c r="H62">
        <v>1</v>
      </c>
      <c r="I62" t="s">
        <v>691</v>
      </c>
      <c r="J62" t="s">
        <v>3</v>
      </c>
      <c r="K62" t="s">
        <v>692</v>
      </c>
      <c r="L62">
        <v>1191</v>
      </c>
      <c r="N62">
        <v>1013</v>
      </c>
      <c r="O62" t="s">
        <v>641</v>
      </c>
      <c r="P62" t="s">
        <v>641</v>
      </c>
      <c r="Q62">
        <v>1</v>
      </c>
      <c r="X62">
        <v>16.64</v>
      </c>
      <c r="Y62">
        <v>0</v>
      </c>
      <c r="Z62">
        <v>0</v>
      </c>
      <c r="AA62">
        <v>0</v>
      </c>
      <c r="AB62">
        <v>8.74</v>
      </c>
      <c r="AC62">
        <v>0</v>
      </c>
      <c r="AD62">
        <v>1</v>
      </c>
      <c r="AE62">
        <v>1</v>
      </c>
      <c r="AF62" t="s">
        <v>3</v>
      </c>
      <c r="AG62">
        <v>16.64</v>
      </c>
      <c r="AH62">
        <v>2</v>
      </c>
      <c r="AI62">
        <v>39100278</v>
      </c>
      <c r="AJ62">
        <v>66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ROW(Source!A57)</f>
        <v>57</v>
      </c>
      <c r="B63">
        <v>39100284</v>
      </c>
      <c r="C63">
        <v>39100277</v>
      </c>
      <c r="D63">
        <v>36804478</v>
      </c>
      <c r="E63">
        <v>1</v>
      </c>
      <c r="F63">
        <v>1</v>
      </c>
      <c r="G63">
        <v>1</v>
      </c>
      <c r="H63">
        <v>3</v>
      </c>
      <c r="I63" t="s">
        <v>684</v>
      </c>
      <c r="J63" t="s">
        <v>685</v>
      </c>
      <c r="K63" t="s">
        <v>686</v>
      </c>
      <c r="L63">
        <v>1355</v>
      </c>
      <c r="N63">
        <v>1010</v>
      </c>
      <c r="O63" t="s">
        <v>120</v>
      </c>
      <c r="P63" t="s">
        <v>120</v>
      </c>
      <c r="Q63">
        <v>100</v>
      </c>
      <c r="X63">
        <v>6.7</v>
      </c>
      <c r="Y63">
        <v>12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3</v>
      </c>
      <c r="AG63">
        <v>6.7</v>
      </c>
      <c r="AH63">
        <v>2</v>
      </c>
      <c r="AI63">
        <v>39100279</v>
      </c>
      <c r="AJ63">
        <v>67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ROW(Source!A57)</f>
        <v>57</v>
      </c>
      <c r="B64">
        <v>39100285</v>
      </c>
      <c r="C64">
        <v>39100277</v>
      </c>
      <c r="D64">
        <v>36797282</v>
      </c>
      <c r="E64">
        <v>17</v>
      </c>
      <c r="F64">
        <v>1</v>
      </c>
      <c r="G64">
        <v>1</v>
      </c>
      <c r="H64">
        <v>3</v>
      </c>
      <c r="I64" t="s">
        <v>158</v>
      </c>
      <c r="J64" t="s">
        <v>3</v>
      </c>
      <c r="K64" t="s">
        <v>159</v>
      </c>
      <c r="L64">
        <v>1301</v>
      </c>
      <c r="N64">
        <v>1003</v>
      </c>
      <c r="O64" t="s">
        <v>109</v>
      </c>
      <c r="P64" t="s">
        <v>109</v>
      </c>
      <c r="Q64">
        <v>1</v>
      </c>
      <c r="X64">
        <v>105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 t="s">
        <v>3</v>
      </c>
      <c r="AG64">
        <v>105</v>
      </c>
      <c r="AH64">
        <v>2</v>
      </c>
      <c r="AI64">
        <v>39100280</v>
      </c>
      <c r="AJ64">
        <v>68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ROW(Source!A61)</f>
        <v>61</v>
      </c>
      <c r="B65">
        <v>39101244</v>
      </c>
      <c r="C65">
        <v>39101243</v>
      </c>
      <c r="D65">
        <v>37064878</v>
      </c>
      <c r="E65">
        <v>1</v>
      </c>
      <c r="F65">
        <v>1</v>
      </c>
      <c r="G65">
        <v>1</v>
      </c>
      <c r="H65">
        <v>1</v>
      </c>
      <c r="I65" t="s">
        <v>693</v>
      </c>
      <c r="J65" t="s">
        <v>3</v>
      </c>
      <c r="K65" t="s">
        <v>694</v>
      </c>
      <c r="L65">
        <v>1191</v>
      </c>
      <c r="N65">
        <v>1013</v>
      </c>
      <c r="O65" t="s">
        <v>641</v>
      </c>
      <c r="P65" t="s">
        <v>641</v>
      </c>
      <c r="Q65">
        <v>1</v>
      </c>
      <c r="X65">
        <v>85.84</v>
      </c>
      <c r="Y65">
        <v>0</v>
      </c>
      <c r="Z65">
        <v>0</v>
      </c>
      <c r="AA65">
        <v>0</v>
      </c>
      <c r="AB65">
        <v>9.4</v>
      </c>
      <c r="AC65">
        <v>0</v>
      </c>
      <c r="AD65">
        <v>1</v>
      </c>
      <c r="AE65">
        <v>1</v>
      </c>
      <c r="AF65" t="s">
        <v>66</v>
      </c>
      <c r="AG65">
        <v>98.715999999999994</v>
      </c>
      <c r="AH65">
        <v>2</v>
      </c>
      <c r="AI65">
        <v>39101244</v>
      </c>
      <c r="AJ65">
        <v>71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ROW(Source!A61)</f>
        <v>61</v>
      </c>
      <c r="B66">
        <v>39101245</v>
      </c>
      <c r="C66">
        <v>39101243</v>
      </c>
      <c r="D66">
        <v>37064876</v>
      </c>
      <c r="E66">
        <v>1</v>
      </c>
      <c r="F66">
        <v>1</v>
      </c>
      <c r="G66">
        <v>1</v>
      </c>
      <c r="H66">
        <v>1</v>
      </c>
      <c r="I66" t="s">
        <v>642</v>
      </c>
      <c r="J66" t="s">
        <v>3</v>
      </c>
      <c r="K66" t="s">
        <v>643</v>
      </c>
      <c r="L66">
        <v>1191</v>
      </c>
      <c r="N66">
        <v>1013</v>
      </c>
      <c r="O66" t="s">
        <v>641</v>
      </c>
      <c r="P66" t="s">
        <v>641</v>
      </c>
      <c r="Q66">
        <v>1</v>
      </c>
      <c r="X66">
        <v>6.29</v>
      </c>
      <c r="Y66">
        <v>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2</v>
      </c>
      <c r="AF66" t="s">
        <v>65</v>
      </c>
      <c r="AG66">
        <v>7.8624999999999998</v>
      </c>
      <c r="AH66">
        <v>2</v>
      </c>
      <c r="AI66">
        <v>39101245</v>
      </c>
      <c r="AJ66">
        <v>72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ROW(Source!A61)</f>
        <v>61</v>
      </c>
      <c r="B67">
        <v>39101246</v>
      </c>
      <c r="C67">
        <v>39101243</v>
      </c>
      <c r="D67">
        <v>36882452</v>
      </c>
      <c r="E67">
        <v>1</v>
      </c>
      <c r="F67">
        <v>1</v>
      </c>
      <c r="G67">
        <v>1</v>
      </c>
      <c r="H67">
        <v>2</v>
      </c>
      <c r="I67" t="s">
        <v>644</v>
      </c>
      <c r="J67" t="s">
        <v>645</v>
      </c>
      <c r="K67" t="s">
        <v>646</v>
      </c>
      <c r="L67">
        <v>1368</v>
      </c>
      <c r="N67">
        <v>1011</v>
      </c>
      <c r="O67" t="s">
        <v>647</v>
      </c>
      <c r="P67" t="s">
        <v>647</v>
      </c>
      <c r="Q67">
        <v>1</v>
      </c>
      <c r="X67">
        <v>0.84</v>
      </c>
      <c r="Y67">
        <v>0</v>
      </c>
      <c r="Z67">
        <v>31.26</v>
      </c>
      <c r="AA67">
        <v>13.5</v>
      </c>
      <c r="AB67">
        <v>0</v>
      </c>
      <c r="AC67">
        <v>0</v>
      </c>
      <c r="AD67">
        <v>1</v>
      </c>
      <c r="AE67">
        <v>0</v>
      </c>
      <c r="AF67" t="s">
        <v>65</v>
      </c>
      <c r="AG67">
        <v>1.05</v>
      </c>
      <c r="AH67">
        <v>2</v>
      </c>
      <c r="AI67">
        <v>39101246</v>
      </c>
      <c r="AJ67">
        <v>73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ROW(Source!A61)</f>
        <v>61</v>
      </c>
      <c r="B68">
        <v>39101247</v>
      </c>
      <c r="C68">
        <v>39101243</v>
      </c>
      <c r="D68">
        <v>36882608</v>
      </c>
      <c r="E68">
        <v>1</v>
      </c>
      <c r="F68">
        <v>1</v>
      </c>
      <c r="G68">
        <v>1</v>
      </c>
      <c r="H68">
        <v>2</v>
      </c>
      <c r="I68" t="s">
        <v>695</v>
      </c>
      <c r="J68" t="s">
        <v>696</v>
      </c>
      <c r="K68" t="s">
        <v>697</v>
      </c>
      <c r="L68">
        <v>1368</v>
      </c>
      <c r="N68">
        <v>1011</v>
      </c>
      <c r="O68" t="s">
        <v>647</v>
      </c>
      <c r="P68" t="s">
        <v>647</v>
      </c>
      <c r="Q68">
        <v>1</v>
      </c>
      <c r="X68">
        <v>5.45</v>
      </c>
      <c r="Y68">
        <v>0</v>
      </c>
      <c r="Z68">
        <v>14.15</v>
      </c>
      <c r="AA68">
        <v>8.91</v>
      </c>
      <c r="AB68">
        <v>0</v>
      </c>
      <c r="AC68">
        <v>0</v>
      </c>
      <c r="AD68">
        <v>1</v>
      </c>
      <c r="AE68">
        <v>0</v>
      </c>
      <c r="AF68" t="s">
        <v>65</v>
      </c>
      <c r="AG68">
        <v>6.8125</v>
      </c>
      <c r="AH68">
        <v>2</v>
      </c>
      <c r="AI68">
        <v>39101247</v>
      </c>
      <c r="AJ68">
        <v>74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ROW(Source!A61)</f>
        <v>61</v>
      </c>
      <c r="B69">
        <v>39101248</v>
      </c>
      <c r="C69">
        <v>39101243</v>
      </c>
      <c r="D69">
        <v>36804547</v>
      </c>
      <c r="E69">
        <v>1</v>
      </c>
      <c r="F69">
        <v>1</v>
      </c>
      <c r="G69">
        <v>1</v>
      </c>
      <c r="H69">
        <v>3</v>
      </c>
      <c r="I69" t="s">
        <v>698</v>
      </c>
      <c r="J69" t="s">
        <v>699</v>
      </c>
      <c r="K69" t="s">
        <v>700</v>
      </c>
      <c r="L69">
        <v>1348</v>
      </c>
      <c r="N69">
        <v>1009</v>
      </c>
      <c r="O69" t="s">
        <v>189</v>
      </c>
      <c r="P69" t="s">
        <v>189</v>
      </c>
      <c r="Q69">
        <v>1000</v>
      </c>
      <c r="X69">
        <v>1.2E-4</v>
      </c>
      <c r="Y69">
        <v>8475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3</v>
      </c>
      <c r="AG69">
        <v>1.2E-4</v>
      </c>
      <c r="AH69">
        <v>2</v>
      </c>
      <c r="AI69">
        <v>39101248</v>
      </c>
      <c r="AJ69">
        <v>75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ROW(Source!A61)</f>
        <v>61</v>
      </c>
      <c r="B70">
        <v>39101249</v>
      </c>
      <c r="C70">
        <v>39101243</v>
      </c>
      <c r="D70">
        <v>36806488</v>
      </c>
      <c r="E70">
        <v>1</v>
      </c>
      <c r="F70">
        <v>1</v>
      </c>
      <c r="G70">
        <v>1</v>
      </c>
      <c r="H70">
        <v>3</v>
      </c>
      <c r="I70" t="s">
        <v>653</v>
      </c>
      <c r="J70" t="s">
        <v>654</v>
      </c>
      <c r="K70" t="s">
        <v>655</v>
      </c>
      <c r="L70">
        <v>1348</v>
      </c>
      <c r="N70">
        <v>1009</v>
      </c>
      <c r="O70" t="s">
        <v>189</v>
      </c>
      <c r="P70" t="s">
        <v>189</v>
      </c>
      <c r="Q70">
        <v>1000</v>
      </c>
      <c r="X70">
        <v>6.0000000000000001E-3</v>
      </c>
      <c r="Y70">
        <v>729.98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3</v>
      </c>
      <c r="AG70">
        <v>6.0000000000000001E-3</v>
      </c>
      <c r="AH70">
        <v>2</v>
      </c>
      <c r="AI70">
        <v>39101249</v>
      </c>
      <c r="AJ70">
        <v>76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ROW(Source!A61)</f>
        <v>61</v>
      </c>
      <c r="B71">
        <v>39101250</v>
      </c>
      <c r="C71">
        <v>39101243</v>
      </c>
      <c r="D71">
        <v>36807381</v>
      </c>
      <c r="E71">
        <v>1</v>
      </c>
      <c r="F71">
        <v>1</v>
      </c>
      <c r="G71">
        <v>1</v>
      </c>
      <c r="H71">
        <v>3</v>
      </c>
      <c r="I71" t="s">
        <v>175</v>
      </c>
      <c r="J71" t="s">
        <v>177</v>
      </c>
      <c r="K71" t="s">
        <v>176</v>
      </c>
      <c r="L71">
        <v>1339</v>
      </c>
      <c r="N71">
        <v>1007</v>
      </c>
      <c r="O71" t="s">
        <v>56</v>
      </c>
      <c r="P71" t="s">
        <v>56</v>
      </c>
      <c r="Q71">
        <v>1</v>
      </c>
      <c r="X71">
        <v>1.87</v>
      </c>
      <c r="Y71">
        <v>517.91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3</v>
      </c>
      <c r="AG71">
        <v>1.87</v>
      </c>
      <c r="AH71">
        <v>2</v>
      </c>
      <c r="AI71">
        <v>39101250</v>
      </c>
      <c r="AJ71">
        <v>77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ROW(Source!A61)</f>
        <v>61</v>
      </c>
      <c r="B72">
        <v>39101251</v>
      </c>
      <c r="C72">
        <v>39101243</v>
      </c>
      <c r="D72">
        <v>36824423</v>
      </c>
      <c r="E72">
        <v>1</v>
      </c>
      <c r="F72">
        <v>1</v>
      </c>
      <c r="G72">
        <v>1</v>
      </c>
      <c r="H72">
        <v>3</v>
      </c>
      <c r="I72" t="s">
        <v>701</v>
      </c>
      <c r="J72" t="s">
        <v>702</v>
      </c>
      <c r="K72" t="s">
        <v>703</v>
      </c>
      <c r="L72">
        <v>1327</v>
      </c>
      <c r="N72">
        <v>1005</v>
      </c>
      <c r="O72" t="s">
        <v>89</v>
      </c>
      <c r="P72" t="s">
        <v>89</v>
      </c>
      <c r="Q72">
        <v>1</v>
      </c>
      <c r="X72">
        <v>5.54</v>
      </c>
      <c r="Y72">
        <v>28.25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3</v>
      </c>
      <c r="AG72">
        <v>5.54</v>
      </c>
      <c r="AH72">
        <v>2</v>
      </c>
      <c r="AI72">
        <v>39101251</v>
      </c>
      <c r="AJ72">
        <v>78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ROW(Source!A62)</f>
        <v>62</v>
      </c>
      <c r="B73">
        <v>39100307</v>
      </c>
      <c r="C73">
        <v>39100301</v>
      </c>
      <c r="D73">
        <v>37064878</v>
      </c>
      <c r="E73">
        <v>1</v>
      </c>
      <c r="F73">
        <v>1</v>
      </c>
      <c r="G73">
        <v>1</v>
      </c>
      <c r="H73">
        <v>1</v>
      </c>
      <c r="I73" t="s">
        <v>693</v>
      </c>
      <c r="J73" t="s">
        <v>3</v>
      </c>
      <c r="K73" t="s">
        <v>694</v>
      </c>
      <c r="L73">
        <v>1191</v>
      </c>
      <c r="N73">
        <v>1013</v>
      </c>
      <c r="O73" t="s">
        <v>641</v>
      </c>
      <c r="P73" t="s">
        <v>641</v>
      </c>
      <c r="Q73">
        <v>1</v>
      </c>
      <c r="X73">
        <v>102.46</v>
      </c>
      <c r="Y73">
        <v>0</v>
      </c>
      <c r="Z73">
        <v>0</v>
      </c>
      <c r="AA73">
        <v>0</v>
      </c>
      <c r="AB73">
        <v>9.4</v>
      </c>
      <c r="AC73">
        <v>0</v>
      </c>
      <c r="AD73">
        <v>1</v>
      </c>
      <c r="AE73">
        <v>1</v>
      </c>
      <c r="AF73" t="s">
        <v>3</v>
      </c>
      <c r="AG73">
        <v>102.46</v>
      </c>
      <c r="AH73">
        <v>2</v>
      </c>
      <c r="AI73">
        <v>39100302</v>
      </c>
      <c r="AJ73">
        <v>79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ROW(Source!A62)</f>
        <v>62</v>
      </c>
      <c r="B74">
        <v>39100308</v>
      </c>
      <c r="C74">
        <v>39100301</v>
      </c>
      <c r="D74">
        <v>37064876</v>
      </c>
      <c r="E74">
        <v>1</v>
      </c>
      <c r="F74">
        <v>1</v>
      </c>
      <c r="G74">
        <v>1</v>
      </c>
      <c r="H74">
        <v>1</v>
      </c>
      <c r="I74" t="s">
        <v>642</v>
      </c>
      <c r="J74" t="s">
        <v>3</v>
      </c>
      <c r="K74" t="s">
        <v>643</v>
      </c>
      <c r="L74">
        <v>1191</v>
      </c>
      <c r="N74">
        <v>1013</v>
      </c>
      <c r="O74" t="s">
        <v>641</v>
      </c>
      <c r="P74" t="s">
        <v>641</v>
      </c>
      <c r="Q74">
        <v>1</v>
      </c>
      <c r="X74">
        <v>5.34</v>
      </c>
      <c r="Y74">
        <v>0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2</v>
      </c>
      <c r="AF74" t="s">
        <v>3</v>
      </c>
      <c r="AG74">
        <v>5.34</v>
      </c>
      <c r="AH74">
        <v>2</v>
      </c>
      <c r="AI74">
        <v>39100303</v>
      </c>
      <c r="AJ74">
        <v>80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ROW(Source!A62)</f>
        <v>62</v>
      </c>
      <c r="B75">
        <v>39100309</v>
      </c>
      <c r="C75">
        <v>39100301</v>
      </c>
      <c r="D75">
        <v>36882452</v>
      </c>
      <c r="E75">
        <v>1</v>
      </c>
      <c r="F75">
        <v>1</v>
      </c>
      <c r="G75">
        <v>1</v>
      </c>
      <c r="H75">
        <v>2</v>
      </c>
      <c r="I75" t="s">
        <v>644</v>
      </c>
      <c r="J75" t="s">
        <v>645</v>
      </c>
      <c r="K75" t="s">
        <v>646</v>
      </c>
      <c r="L75">
        <v>1368</v>
      </c>
      <c r="N75">
        <v>1011</v>
      </c>
      <c r="O75" t="s">
        <v>647</v>
      </c>
      <c r="P75" t="s">
        <v>647</v>
      </c>
      <c r="Q75">
        <v>1</v>
      </c>
      <c r="X75">
        <v>0.76</v>
      </c>
      <c r="Y75">
        <v>0</v>
      </c>
      <c r="Z75">
        <v>31.26</v>
      </c>
      <c r="AA75">
        <v>13.5</v>
      </c>
      <c r="AB75">
        <v>0</v>
      </c>
      <c r="AC75">
        <v>0</v>
      </c>
      <c r="AD75">
        <v>1</v>
      </c>
      <c r="AE75">
        <v>0</v>
      </c>
      <c r="AF75" t="s">
        <v>3</v>
      </c>
      <c r="AG75">
        <v>0.76</v>
      </c>
      <c r="AH75">
        <v>2</v>
      </c>
      <c r="AI75">
        <v>39100304</v>
      </c>
      <c r="AJ75">
        <v>81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ROW(Source!A62)</f>
        <v>62</v>
      </c>
      <c r="B76">
        <v>39100310</v>
      </c>
      <c r="C76">
        <v>39100301</v>
      </c>
      <c r="D76">
        <v>36883554</v>
      </c>
      <c r="E76">
        <v>1</v>
      </c>
      <c r="F76">
        <v>1</v>
      </c>
      <c r="G76">
        <v>1</v>
      </c>
      <c r="H76">
        <v>2</v>
      </c>
      <c r="I76" t="s">
        <v>665</v>
      </c>
      <c r="J76" t="s">
        <v>666</v>
      </c>
      <c r="K76" t="s">
        <v>667</v>
      </c>
      <c r="L76">
        <v>1368</v>
      </c>
      <c r="N76">
        <v>1011</v>
      </c>
      <c r="O76" t="s">
        <v>647</v>
      </c>
      <c r="P76" t="s">
        <v>647</v>
      </c>
      <c r="Q76">
        <v>1</v>
      </c>
      <c r="X76">
        <v>4.58</v>
      </c>
      <c r="Y76">
        <v>0</v>
      </c>
      <c r="Z76">
        <v>65.709999999999994</v>
      </c>
      <c r="AA76">
        <v>11.6</v>
      </c>
      <c r="AB76">
        <v>0</v>
      </c>
      <c r="AC76">
        <v>0</v>
      </c>
      <c r="AD76">
        <v>1</v>
      </c>
      <c r="AE76">
        <v>0</v>
      </c>
      <c r="AF76" t="s">
        <v>3</v>
      </c>
      <c r="AG76">
        <v>4.58</v>
      </c>
      <c r="AH76">
        <v>2</v>
      </c>
      <c r="AI76">
        <v>39100305</v>
      </c>
      <c r="AJ76">
        <v>82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ROW(Source!A62)</f>
        <v>62</v>
      </c>
      <c r="B77">
        <v>39100311</v>
      </c>
      <c r="C77">
        <v>39100301</v>
      </c>
      <c r="D77">
        <v>36801649</v>
      </c>
      <c r="E77">
        <v>1</v>
      </c>
      <c r="F77">
        <v>1</v>
      </c>
      <c r="G77">
        <v>1</v>
      </c>
      <c r="H77">
        <v>3</v>
      </c>
      <c r="I77" t="s">
        <v>704</v>
      </c>
      <c r="J77" t="s">
        <v>705</v>
      </c>
      <c r="K77" t="s">
        <v>706</v>
      </c>
      <c r="L77">
        <v>1327</v>
      </c>
      <c r="N77">
        <v>1005</v>
      </c>
      <c r="O77" t="s">
        <v>89</v>
      </c>
      <c r="P77" t="s">
        <v>89</v>
      </c>
      <c r="Q77">
        <v>1</v>
      </c>
      <c r="X77">
        <v>103</v>
      </c>
      <c r="Y77">
        <v>51.8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3</v>
      </c>
      <c r="AG77">
        <v>103</v>
      </c>
      <c r="AH77">
        <v>2</v>
      </c>
      <c r="AI77">
        <v>39100306</v>
      </c>
      <c r="AJ77">
        <v>83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ROW(Source!A63)</f>
        <v>63</v>
      </c>
      <c r="B78">
        <v>39100319</v>
      </c>
      <c r="C78">
        <v>39100312</v>
      </c>
      <c r="D78">
        <v>37066837</v>
      </c>
      <c r="E78">
        <v>1</v>
      </c>
      <c r="F78">
        <v>1</v>
      </c>
      <c r="G78">
        <v>1</v>
      </c>
      <c r="H78">
        <v>1</v>
      </c>
      <c r="I78" t="s">
        <v>682</v>
      </c>
      <c r="J78" t="s">
        <v>3</v>
      </c>
      <c r="K78" t="s">
        <v>683</v>
      </c>
      <c r="L78">
        <v>1191</v>
      </c>
      <c r="N78">
        <v>1013</v>
      </c>
      <c r="O78" t="s">
        <v>641</v>
      </c>
      <c r="P78" t="s">
        <v>641</v>
      </c>
      <c r="Q78">
        <v>1</v>
      </c>
      <c r="X78">
        <v>42.37</v>
      </c>
      <c r="Y78">
        <v>0</v>
      </c>
      <c r="Z78">
        <v>0</v>
      </c>
      <c r="AA78">
        <v>0</v>
      </c>
      <c r="AB78">
        <v>8.31</v>
      </c>
      <c r="AC78">
        <v>0</v>
      </c>
      <c r="AD78">
        <v>1</v>
      </c>
      <c r="AE78">
        <v>1</v>
      </c>
      <c r="AF78" t="s">
        <v>3</v>
      </c>
      <c r="AG78">
        <v>42.37</v>
      </c>
      <c r="AH78">
        <v>2</v>
      </c>
      <c r="AI78">
        <v>39100313</v>
      </c>
      <c r="AJ78">
        <v>84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ROW(Source!A63)</f>
        <v>63</v>
      </c>
      <c r="B79">
        <v>39100320</v>
      </c>
      <c r="C79">
        <v>39100312</v>
      </c>
      <c r="D79">
        <v>37064876</v>
      </c>
      <c r="E79">
        <v>1</v>
      </c>
      <c r="F79">
        <v>1</v>
      </c>
      <c r="G79">
        <v>1</v>
      </c>
      <c r="H79">
        <v>1</v>
      </c>
      <c r="I79" t="s">
        <v>642</v>
      </c>
      <c r="J79" t="s">
        <v>3</v>
      </c>
      <c r="K79" t="s">
        <v>643</v>
      </c>
      <c r="L79">
        <v>1191</v>
      </c>
      <c r="N79">
        <v>1013</v>
      </c>
      <c r="O79" t="s">
        <v>641</v>
      </c>
      <c r="P79" t="s">
        <v>641</v>
      </c>
      <c r="Q79">
        <v>1</v>
      </c>
      <c r="X79">
        <v>0.64</v>
      </c>
      <c r="Y79">
        <v>0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2</v>
      </c>
      <c r="AF79" t="s">
        <v>3</v>
      </c>
      <c r="AG79">
        <v>0.64</v>
      </c>
      <c r="AH79">
        <v>2</v>
      </c>
      <c r="AI79">
        <v>39100314</v>
      </c>
      <c r="AJ79">
        <v>85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ROW(Source!A63)</f>
        <v>63</v>
      </c>
      <c r="B80">
        <v>39100321</v>
      </c>
      <c r="C80">
        <v>39100312</v>
      </c>
      <c r="D80">
        <v>36882452</v>
      </c>
      <c r="E80">
        <v>1</v>
      </c>
      <c r="F80">
        <v>1</v>
      </c>
      <c r="G80">
        <v>1</v>
      </c>
      <c r="H80">
        <v>2</v>
      </c>
      <c r="I80" t="s">
        <v>644</v>
      </c>
      <c r="J80" t="s">
        <v>645</v>
      </c>
      <c r="K80" t="s">
        <v>646</v>
      </c>
      <c r="L80">
        <v>1368</v>
      </c>
      <c r="N80">
        <v>1011</v>
      </c>
      <c r="O80" t="s">
        <v>647</v>
      </c>
      <c r="P80" t="s">
        <v>647</v>
      </c>
      <c r="Q80">
        <v>1</v>
      </c>
      <c r="X80">
        <v>0.64</v>
      </c>
      <c r="Y80">
        <v>0</v>
      </c>
      <c r="Z80">
        <v>31.26</v>
      </c>
      <c r="AA80">
        <v>13.5</v>
      </c>
      <c r="AB80">
        <v>0</v>
      </c>
      <c r="AC80">
        <v>0</v>
      </c>
      <c r="AD80">
        <v>1</v>
      </c>
      <c r="AE80">
        <v>0</v>
      </c>
      <c r="AF80" t="s">
        <v>3</v>
      </c>
      <c r="AG80">
        <v>0.64</v>
      </c>
      <c r="AH80">
        <v>2</v>
      </c>
      <c r="AI80">
        <v>39100315</v>
      </c>
      <c r="AJ80">
        <v>86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ROW(Source!A63)</f>
        <v>63</v>
      </c>
      <c r="B81">
        <v>39100322</v>
      </c>
      <c r="C81">
        <v>39100312</v>
      </c>
      <c r="D81">
        <v>36801792</v>
      </c>
      <c r="E81">
        <v>1</v>
      </c>
      <c r="F81">
        <v>1</v>
      </c>
      <c r="G81">
        <v>1</v>
      </c>
      <c r="H81">
        <v>3</v>
      </c>
      <c r="I81" t="s">
        <v>650</v>
      </c>
      <c r="J81" t="s">
        <v>651</v>
      </c>
      <c r="K81" t="s">
        <v>652</v>
      </c>
      <c r="L81">
        <v>1339</v>
      </c>
      <c r="N81">
        <v>1007</v>
      </c>
      <c r="O81" t="s">
        <v>56</v>
      </c>
      <c r="P81" t="s">
        <v>56</v>
      </c>
      <c r="Q81">
        <v>1</v>
      </c>
      <c r="X81">
        <v>0.35</v>
      </c>
      <c r="Y81">
        <v>2.44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0</v>
      </c>
      <c r="AF81" t="s">
        <v>3</v>
      </c>
      <c r="AG81">
        <v>0.35</v>
      </c>
      <c r="AH81">
        <v>2</v>
      </c>
      <c r="AI81">
        <v>39100316</v>
      </c>
      <c r="AJ81">
        <v>87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ROW(Source!A63)</f>
        <v>63</v>
      </c>
      <c r="B82">
        <v>39100323</v>
      </c>
      <c r="C82">
        <v>39100312</v>
      </c>
      <c r="D82">
        <v>36807381</v>
      </c>
      <c r="E82">
        <v>1</v>
      </c>
      <c r="F82">
        <v>1</v>
      </c>
      <c r="G82">
        <v>1</v>
      </c>
      <c r="H82">
        <v>3</v>
      </c>
      <c r="I82" t="s">
        <v>175</v>
      </c>
      <c r="J82" t="s">
        <v>177</v>
      </c>
      <c r="K82" t="s">
        <v>176</v>
      </c>
      <c r="L82">
        <v>1339</v>
      </c>
      <c r="N82">
        <v>1007</v>
      </c>
      <c r="O82" t="s">
        <v>56</v>
      </c>
      <c r="P82" t="s">
        <v>56</v>
      </c>
      <c r="Q82">
        <v>1</v>
      </c>
      <c r="X82">
        <v>1.06</v>
      </c>
      <c r="Y82">
        <v>517.91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3</v>
      </c>
      <c r="AG82">
        <v>1.06</v>
      </c>
      <c r="AH82">
        <v>2</v>
      </c>
      <c r="AI82">
        <v>39100317</v>
      </c>
      <c r="AJ82">
        <v>88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ROW(Source!A66)</f>
        <v>66</v>
      </c>
      <c r="B83">
        <v>39100334</v>
      </c>
      <c r="C83">
        <v>39100326</v>
      </c>
      <c r="D83">
        <v>37071037</v>
      </c>
      <c r="E83">
        <v>1</v>
      </c>
      <c r="F83">
        <v>1</v>
      </c>
      <c r="G83">
        <v>1</v>
      </c>
      <c r="H83">
        <v>1</v>
      </c>
      <c r="I83" t="s">
        <v>707</v>
      </c>
      <c r="J83" t="s">
        <v>3</v>
      </c>
      <c r="K83" t="s">
        <v>708</v>
      </c>
      <c r="L83">
        <v>1191</v>
      </c>
      <c r="N83">
        <v>1013</v>
      </c>
      <c r="O83" t="s">
        <v>641</v>
      </c>
      <c r="P83" t="s">
        <v>641</v>
      </c>
      <c r="Q83">
        <v>1</v>
      </c>
      <c r="X83">
        <v>16.32</v>
      </c>
      <c r="Y83">
        <v>0</v>
      </c>
      <c r="Z83">
        <v>0</v>
      </c>
      <c r="AA83">
        <v>0</v>
      </c>
      <c r="AB83">
        <v>9.6199999999999992</v>
      </c>
      <c r="AC83">
        <v>0</v>
      </c>
      <c r="AD83">
        <v>1</v>
      </c>
      <c r="AE83">
        <v>1</v>
      </c>
      <c r="AF83" t="s">
        <v>3</v>
      </c>
      <c r="AG83">
        <v>16.32</v>
      </c>
      <c r="AH83">
        <v>2</v>
      </c>
      <c r="AI83">
        <v>39100327</v>
      </c>
      <c r="AJ83">
        <v>90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ROW(Source!A66)</f>
        <v>66</v>
      </c>
      <c r="B84">
        <v>39100335</v>
      </c>
      <c r="C84">
        <v>39100326</v>
      </c>
      <c r="D84">
        <v>37064876</v>
      </c>
      <c r="E84">
        <v>1</v>
      </c>
      <c r="F84">
        <v>1</v>
      </c>
      <c r="G84">
        <v>1</v>
      </c>
      <c r="H84">
        <v>1</v>
      </c>
      <c r="I84" t="s">
        <v>642</v>
      </c>
      <c r="J84" t="s">
        <v>3</v>
      </c>
      <c r="K84" t="s">
        <v>643</v>
      </c>
      <c r="L84">
        <v>1191</v>
      </c>
      <c r="N84">
        <v>1013</v>
      </c>
      <c r="O84" t="s">
        <v>641</v>
      </c>
      <c r="P84" t="s">
        <v>641</v>
      </c>
      <c r="Q84">
        <v>1</v>
      </c>
      <c r="X84">
        <v>0.03</v>
      </c>
      <c r="Y84">
        <v>0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2</v>
      </c>
      <c r="AF84" t="s">
        <v>3</v>
      </c>
      <c r="AG84">
        <v>0.03</v>
      </c>
      <c r="AH84">
        <v>2</v>
      </c>
      <c r="AI84">
        <v>39100328</v>
      </c>
      <c r="AJ84">
        <v>91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ROW(Source!A66)</f>
        <v>66</v>
      </c>
      <c r="B85">
        <v>39100336</v>
      </c>
      <c r="C85">
        <v>39100326</v>
      </c>
      <c r="D85">
        <v>36882452</v>
      </c>
      <c r="E85">
        <v>1</v>
      </c>
      <c r="F85">
        <v>1</v>
      </c>
      <c r="G85">
        <v>1</v>
      </c>
      <c r="H85">
        <v>2</v>
      </c>
      <c r="I85" t="s">
        <v>644</v>
      </c>
      <c r="J85" t="s">
        <v>645</v>
      </c>
      <c r="K85" t="s">
        <v>646</v>
      </c>
      <c r="L85">
        <v>1368</v>
      </c>
      <c r="N85">
        <v>1011</v>
      </c>
      <c r="O85" t="s">
        <v>647</v>
      </c>
      <c r="P85" t="s">
        <v>647</v>
      </c>
      <c r="Q85">
        <v>1</v>
      </c>
      <c r="X85">
        <v>0.01</v>
      </c>
      <c r="Y85">
        <v>0</v>
      </c>
      <c r="Z85">
        <v>31.26</v>
      </c>
      <c r="AA85">
        <v>13.5</v>
      </c>
      <c r="AB85">
        <v>0</v>
      </c>
      <c r="AC85">
        <v>0</v>
      </c>
      <c r="AD85">
        <v>1</v>
      </c>
      <c r="AE85">
        <v>0</v>
      </c>
      <c r="AF85" t="s">
        <v>3</v>
      </c>
      <c r="AG85">
        <v>0.01</v>
      </c>
      <c r="AH85">
        <v>2</v>
      </c>
      <c r="AI85">
        <v>39100329</v>
      </c>
      <c r="AJ85">
        <v>92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ROW(Source!A66)</f>
        <v>66</v>
      </c>
      <c r="B86">
        <v>39100337</v>
      </c>
      <c r="C86">
        <v>39100326</v>
      </c>
      <c r="D86">
        <v>36883554</v>
      </c>
      <c r="E86">
        <v>1</v>
      </c>
      <c r="F86">
        <v>1</v>
      </c>
      <c r="G86">
        <v>1</v>
      </c>
      <c r="H86">
        <v>2</v>
      </c>
      <c r="I86" t="s">
        <v>665</v>
      </c>
      <c r="J86" t="s">
        <v>666</v>
      </c>
      <c r="K86" t="s">
        <v>667</v>
      </c>
      <c r="L86">
        <v>1368</v>
      </c>
      <c r="N86">
        <v>1011</v>
      </c>
      <c r="O86" t="s">
        <v>647</v>
      </c>
      <c r="P86" t="s">
        <v>647</v>
      </c>
      <c r="Q86">
        <v>1</v>
      </c>
      <c r="X86">
        <v>0.02</v>
      </c>
      <c r="Y86">
        <v>0</v>
      </c>
      <c r="Z86">
        <v>65.709999999999994</v>
      </c>
      <c r="AA86">
        <v>11.6</v>
      </c>
      <c r="AB86">
        <v>0</v>
      </c>
      <c r="AC86">
        <v>0</v>
      </c>
      <c r="AD86">
        <v>1</v>
      </c>
      <c r="AE86">
        <v>0</v>
      </c>
      <c r="AF86" t="s">
        <v>3</v>
      </c>
      <c r="AG86">
        <v>0.02</v>
      </c>
      <c r="AH86">
        <v>2</v>
      </c>
      <c r="AI86">
        <v>39100330</v>
      </c>
      <c r="AJ86">
        <v>93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ROW(Source!A66)</f>
        <v>66</v>
      </c>
      <c r="B87">
        <v>39100338</v>
      </c>
      <c r="C87">
        <v>39100326</v>
      </c>
      <c r="D87">
        <v>36805524</v>
      </c>
      <c r="E87">
        <v>1</v>
      </c>
      <c r="F87">
        <v>1</v>
      </c>
      <c r="G87">
        <v>1</v>
      </c>
      <c r="H87">
        <v>3</v>
      </c>
      <c r="I87" t="s">
        <v>679</v>
      </c>
      <c r="J87" t="s">
        <v>680</v>
      </c>
      <c r="K87" t="s">
        <v>681</v>
      </c>
      <c r="L87">
        <v>1346</v>
      </c>
      <c r="N87">
        <v>1009</v>
      </c>
      <c r="O87" t="s">
        <v>97</v>
      </c>
      <c r="P87" t="s">
        <v>97</v>
      </c>
      <c r="Q87">
        <v>1</v>
      </c>
      <c r="X87">
        <v>0.2</v>
      </c>
      <c r="Y87">
        <v>1.82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3</v>
      </c>
      <c r="AG87">
        <v>0.2</v>
      </c>
      <c r="AH87">
        <v>2</v>
      </c>
      <c r="AI87">
        <v>39100331</v>
      </c>
      <c r="AJ87">
        <v>94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ROW(Source!A66)</f>
        <v>66</v>
      </c>
      <c r="B88">
        <v>39100339</v>
      </c>
      <c r="C88">
        <v>39100326</v>
      </c>
      <c r="D88">
        <v>36797079</v>
      </c>
      <c r="E88">
        <v>17</v>
      </c>
      <c r="F88">
        <v>1</v>
      </c>
      <c r="G88">
        <v>1</v>
      </c>
      <c r="H88">
        <v>3</v>
      </c>
      <c r="I88" t="s">
        <v>187</v>
      </c>
      <c r="J88" t="s">
        <v>3</v>
      </c>
      <c r="K88" t="s">
        <v>188</v>
      </c>
      <c r="L88">
        <v>1348</v>
      </c>
      <c r="N88">
        <v>1009</v>
      </c>
      <c r="O88" t="s">
        <v>189</v>
      </c>
      <c r="P88" t="s">
        <v>189</v>
      </c>
      <c r="Q88">
        <v>1000</v>
      </c>
      <c r="X88">
        <v>0.02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 t="s">
        <v>3</v>
      </c>
      <c r="AG88">
        <v>0.02</v>
      </c>
      <c r="AH88">
        <v>2</v>
      </c>
      <c r="AI88">
        <v>39100333</v>
      </c>
      <c r="AJ88">
        <v>96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ROW(Source!A69)</f>
        <v>69</v>
      </c>
      <c r="B89">
        <v>39100352</v>
      </c>
      <c r="C89">
        <v>39100342</v>
      </c>
      <c r="D89">
        <v>37070090</v>
      </c>
      <c r="E89">
        <v>1</v>
      </c>
      <c r="F89">
        <v>1</v>
      </c>
      <c r="G89">
        <v>1</v>
      </c>
      <c r="H89">
        <v>1</v>
      </c>
      <c r="I89" t="s">
        <v>709</v>
      </c>
      <c r="J89" t="s">
        <v>3</v>
      </c>
      <c r="K89" t="s">
        <v>710</v>
      </c>
      <c r="L89">
        <v>1191</v>
      </c>
      <c r="N89">
        <v>1013</v>
      </c>
      <c r="O89" t="s">
        <v>641</v>
      </c>
      <c r="P89" t="s">
        <v>641</v>
      </c>
      <c r="Q89">
        <v>1</v>
      </c>
      <c r="X89">
        <v>42.9</v>
      </c>
      <c r="Y89">
        <v>0</v>
      </c>
      <c r="Z89">
        <v>0</v>
      </c>
      <c r="AA89">
        <v>0</v>
      </c>
      <c r="AB89">
        <v>8.9700000000000006</v>
      </c>
      <c r="AC89">
        <v>0</v>
      </c>
      <c r="AD89">
        <v>1</v>
      </c>
      <c r="AE89">
        <v>1</v>
      </c>
      <c r="AF89" t="s">
        <v>3</v>
      </c>
      <c r="AG89">
        <v>42.9</v>
      </c>
      <c r="AH89">
        <v>2</v>
      </c>
      <c r="AI89">
        <v>39100343</v>
      </c>
      <c r="AJ89">
        <v>97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ROW(Source!A69)</f>
        <v>69</v>
      </c>
      <c r="B90">
        <v>39100353</v>
      </c>
      <c r="C90">
        <v>39100342</v>
      </c>
      <c r="D90">
        <v>37064876</v>
      </c>
      <c r="E90">
        <v>1</v>
      </c>
      <c r="F90">
        <v>1</v>
      </c>
      <c r="G90">
        <v>1</v>
      </c>
      <c r="H90">
        <v>1</v>
      </c>
      <c r="I90" t="s">
        <v>642</v>
      </c>
      <c r="J90" t="s">
        <v>3</v>
      </c>
      <c r="K90" t="s">
        <v>643</v>
      </c>
      <c r="L90">
        <v>1191</v>
      </c>
      <c r="N90">
        <v>1013</v>
      </c>
      <c r="O90" t="s">
        <v>641</v>
      </c>
      <c r="P90" t="s">
        <v>641</v>
      </c>
      <c r="Q90">
        <v>1</v>
      </c>
      <c r="X90">
        <v>0.17</v>
      </c>
      <c r="Y90">
        <v>0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2</v>
      </c>
      <c r="AF90" t="s">
        <v>3</v>
      </c>
      <c r="AG90">
        <v>0.17</v>
      </c>
      <c r="AH90">
        <v>2</v>
      </c>
      <c r="AI90">
        <v>39100344</v>
      </c>
      <c r="AJ90">
        <v>98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ROW(Source!A69)</f>
        <v>69</v>
      </c>
      <c r="B91">
        <v>39100354</v>
      </c>
      <c r="C91">
        <v>39100342</v>
      </c>
      <c r="D91">
        <v>36882452</v>
      </c>
      <c r="E91">
        <v>1</v>
      </c>
      <c r="F91">
        <v>1</v>
      </c>
      <c r="G91">
        <v>1</v>
      </c>
      <c r="H91">
        <v>2</v>
      </c>
      <c r="I91" t="s">
        <v>644</v>
      </c>
      <c r="J91" t="s">
        <v>645</v>
      </c>
      <c r="K91" t="s">
        <v>646</v>
      </c>
      <c r="L91">
        <v>1368</v>
      </c>
      <c r="N91">
        <v>1011</v>
      </c>
      <c r="O91" t="s">
        <v>647</v>
      </c>
      <c r="P91" t="s">
        <v>647</v>
      </c>
      <c r="Q91">
        <v>1</v>
      </c>
      <c r="X91">
        <v>0.02</v>
      </c>
      <c r="Y91">
        <v>0</v>
      </c>
      <c r="Z91">
        <v>31.26</v>
      </c>
      <c r="AA91">
        <v>13.5</v>
      </c>
      <c r="AB91">
        <v>0</v>
      </c>
      <c r="AC91">
        <v>0</v>
      </c>
      <c r="AD91">
        <v>1</v>
      </c>
      <c r="AE91">
        <v>0</v>
      </c>
      <c r="AF91" t="s">
        <v>3</v>
      </c>
      <c r="AG91">
        <v>0.02</v>
      </c>
      <c r="AH91">
        <v>2</v>
      </c>
      <c r="AI91">
        <v>39100345</v>
      </c>
      <c r="AJ91">
        <v>99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ROW(Source!A69)</f>
        <v>69</v>
      </c>
      <c r="B92">
        <v>39100355</v>
      </c>
      <c r="C92">
        <v>39100342</v>
      </c>
      <c r="D92">
        <v>36883554</v>
      </c>
      <c r="E92">
        <v>1</v>
      </c>
      <c r="F92">
        <v>1</v>
      </c>
      <c r="G92">
        <v>1</v>
      </c>
      <c r="H92">
        <v>2</v>
      </c>
      <c r="I92" t="s">
        <v>665</v>
      </c>
      <c r="J92" t="s">
        <v>666</v>
      </c>
      <c r="K92" t="s">
        <v>667</v>
      </c>
      <c r="L92">
        <v>1368</v>
      </c>
      <c r="N92">
        <v>1011</v>
      </c>
      <c r="O92" t="s">
        <v>647</v>
      </c>
      <c r="P92" t="s">
        <v>647</v>
      </c>
      <c r="Q92">
        <v>1</v>
      </c>
      <c r="X92">
        <v>0.15</v>
      </c>
      <c r="Y92">
        <v>0</v>
      </c>
      <c r="Z92">
        <v>65.709999999999994</v>
      </c>
      <c r="AA92">
        <v>11.6</v>
      </c>
      <c r="AB92">
        <v>0</v>
      </c>
      <c r="AC92">
        <v>0</v>
      </c>
      <c r="AD92">
        <v>1</v>
      </c>
      <c r="AE92">
        <v>0</v>
      </c>
      <c r="AF92" t="s">
        <v>3</v>
      </c>
      <c r="AG92">
        <v>0.15</v>
      </c>
      <c r="AH92">
        <v>2</v>
      </c>
      <c r="AI92">
        <v>39100346</v>
      </c>
      <c r="AJ92">
        <v>100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ROW(Source!A69)</f>
        <v>69</v>
      </c>
      <c r="B93">
        <v>39100356</v>
      </c>
      <c r="C93">
        <v>39100342</v>
      </c>
      <c r="D93">
        <v>36805188</v>
      </c>
      <c r="E93">
        <v>1</v>
      </c>
      <c r="F93">
        <v>1</v>
      </c>
      <c r="G93">
        <v>1</v>
      </c>
      <c r="H93">
        <v>3</v>
      </c>
      <c r="I93" t="s">
        <v>711</v>
      </c>
      <c r="J93" t="s">
        <v>712</v>
      </c>
      <c r="K93" t="s">
        <v>713</v>
      </c>
      <c r="L93">
        <v>1327</v>
      </c>
      <c r="N93">
        <v>1005</v>
      </c>
      <c r="O93" t="s">
        <v>89</v>
      </c>
      <c r="P93" t="s">
        <v>89</v>
      </c>
      <c r="Q93">
        <v>1</v>
      </c>
      <c r="X93">
        <v>0.84</v>
      </c>
      <c r="Y93">
        <v>72.319999999999993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3</v>
      </c>
      <c r="AG93">
        <v>0.84</v>
      </c>
      <c r="AH93">
        <v>2</v>
      </c>
      <c r="AI93">
        <v>39100347</v>
      </c>
      <c r="AJ93">
        <v>101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ROW(Source!A69)</f>
        <v>69</v>
      </c>
      <c r="B94">
        <v>39100357</v>
      </c>
      <c r="C94">
        <v>39100342</v>
      </c>
      <c r="D94">
        <v>36805524</v>
      </c>
      <c r="E94">
        <v>1</v>
      </c>
      <c r="F94">
        <v>1</v>
      </c>
      <c r="G94">
        <v>1</v>
      </c>
      <c r="H94">
        <v>3</v>
      </c>
      <c r="I94" t="s">
        <v>679</v>
      </c>
      <c r="J94" t="s">
        <v>680</v>
      </c>
      <c r="K94" t="s">
        <v>681</v>
      </c>
      <c r="L94">
        <v>1346</v>
      </c>
      <c r="N94">
        <v>1009</v>
      </c>
      <c r="O94" t="s">
        <v>97</v>
      </c>
      <c r="P94" t="s">
        <v>97</v>
      </c>
      <c r="Q94">
        <v>1</v>
      </c>
      <c r="X94">
        <v>0.31</v>
      </c>
      <c r="Y94">
        <v>1.82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3</v>
      </c>
      <c r="AG94">
        <v>0.31</v>
      </c>
      <c r="AH94">
        <v>2</v>
      </c>
      <c r="AI94">
        <v>39100348</v>
      </c>
      <c r="AJ94">
        <v>102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ROW(Source!A69)</f>
        <v>69</v>
      </c>
      <c r="B95">
        <v>39100358</v>
      </c>
      <c r="C95">
        <v>39100342</v>
      </c>
      <c r="D95">
        <v>36797561</v>
      </c>
      <c r="E95">
        <v>17</v>
      </c>
      <c r="F95">
        <v>1</v>
      </c>
      <c r="G95">
        <v>1</v>
      </c>
      <c r="H95">
        <v>3</v>
      </c>
      <c r="I95" t="s">
        <v>199</v>
      </c>
      <c r="J95" t="s">
        <v>3</v>
      </c>
      <c r="K95" t="s">
        <v>200</v>
      </c>
      <c r="L95">
        <v>1348</v>
      </c>
      <c r="N95">
        <v>1009</v>
      </c>
      <c r="O95" t="s">
        <v>189</v>
      </c>
      <c r="P95" t="s">
        <v>189</v>
      </c>
      <c r="Q95">
        <v>1000</v>
      </c>
      <c r="X95">
        <v>6.3E-2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 t="s">
        <v>3</v>
      </c>
      <c r="AG95">
        <v>6.3E-2</v>
      </c>
      <c r="AH95">
        <v>2</v>
      </c>
      <c r="AI95">
        <v>39100349</v>
      </c>
      <c r="AJ95">
        <v>103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ROW(Source!A69)</f>
        <v>69</v>
      </c>
      <c r="B96">
        <v>39100359</v>
      </c>
      <c r="C96">
        <v>39100342</v>
      </c>
      <c r="D96">
        <v>36839212</v>
      </c>
      <c r="E96">
        <v>1</v>
      </c>
      <c r="F96">
        <v>1</v>
      </c>
      <c r="G96">
        <v>1</v>
      </c>
      <c r="H96">
        <v>3</v>
      </c>
      <c r="I96" t="s">
        <v>714</v>
      </c>
      <c r="J96" t="s">
        <v>715</v>
      </c>
      <c r="K96" t="s">
        <v>716</v>
      </c>
      <c r="L96">
        <v>1348</v>
      </c>
      <c r="N96">
        <v>1009</v>
      </c>
      <c r="O96" t="s">
        <v>189</v>
      </c>
      <c r="P96" t="s">
        <v>189</v>
      </c>
      <c r="Q96">
        <v>1000</v>
      </c>
      <c r="X96">
        <v>5.0999999999999997E-2</v>
      </c>
      <c r="Y96">
        <v>4294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3</v>
      </c>
      <c r="AG96">
        <v>5.0999999999999997E-2</v>
      </c>
      <c r="AH96">
        <v>2</v>
      </c>
      <c r="AI96">
        <v>39100351</v>
      </c>
      <c r="AJ96">
        <v>105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ROW(Source!A72)</f>
        <v>72</v>
      </c>
      <c r="B97">
        <v>39492219</v>
      </c>
      <c r="C97">
        <v>39492209</v>
      </c>
      <c r="D97">
        <v>37070202</v>
      </c>
      <c r="E97">
        <v>1</v>
      </c>
      <c r="F97">
        <v>1</v>
      </c>
      <c r="G97">
        <v>1</v>
      </c>
      <c r="H97">
        <v>1</v>
      </c>
      <c r="I97" t="s">
        <v>717</v>
      </c>
      <c r="J97" t="s">
        <v>3</v>
      </c>
      <c r="K97" t="s">
        <v>718</v>
      </c>
      <c r="L97">
        <v>1191</v>
      </c>
      <c r="N97">
        <v>1013</v>
      </c>
      <c r="O97" t="s">
        <v>641</v>
      </c>
      <c r="P97" t="s">
        <v>641</v>
      </c>
      <c r="Q97">
        <v>1</v>
      </c>
      <c r="X97">
        <v>50.6</v>
      </c>
      <c r="Y97">
        <v>0</v>
      </c>
      <c r="Z97">
        <v>0</v>
      </c>
      <c r="AA97">
        <v>0</v>
      </c>
      <c r="AB97">
        <v>9.51</v>
      </c>
      <c r="AC97">
        <v>0</v>
      </c>
      <c r="AD97">
        <v>1</v>
      </c>
      <c r="AE97">
        <v>1</v>
      </c>
      <c r="AF97" t="s">
        <v>211</v>
      </c>
      <c r="AG97">
        <v>40.480000000000004</v>
      </c>
      <c r="AH97">
        <v>2</v>
      </c>
      <c r="AI97">
        <v>39492210</v>
      </c>
      <c r="AJ97">
        <v>106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ROW(Source!A72)</f>
        <v>72</v>
      </c>
      <c r="B98">
        <v>39492220</v>
      </c>
      <c r="C98">
        <v>39492209</v>
      </c>
      <c r="D98">
        <v>37064876</v>
      </c>
      <c r="E98">
        <v>1</v>
      </c>
      <c r="F98">
        <v>1</v>
      </c>
      <c r="G98">
        <v>1</v>
      </c>
      <c r="H98">
        <v>1</v>
      </c>
      <c r="I98" t="s">
        <v>642</v>
      </c>
      <c r="J98" t="s">
        <v>3</v>
      </c>
      <c r="K98" t="s">
        <v>643</v>
      </c>
      <c r="L98">
        <v>1191</v>
      </c>
      <c r="N98">
        <v>1013</v>
      </c>
      <c r="O98" t="s">
        <v>641</v>
      </c>
      <c r="P98" t="s">
        <v>641</v>
      </c>
      <c r="Q98">
        <v>1</v>
      </c>
      <c r="X98">
        <v>1.42</v>
      </c>
      <c r="Y98">
        <v>0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2</v>
      </c>
      <c r="AF98" t="s">
        <v>211</v>
      </c>
      <c r="AG98">
        <v>1.1359999999999999</v>
      </c>
      <c r="AH98">
        <v>2</v>
      </c>
      <c r="AI98">
        <v>39492211</v>
      </c>
      <c r="AJ98">
        <v>107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ROW(Source!A72)</f>
        <v>72</v>
      </c>
      <c r="B99">
        <v>39492221</v>
      </c>
      <c r="C99">
        <v>39492209</v>
      </c>
      <c r="D99">
        <v>36882452</v>
      </c>
      <c r="E99">
        <v>1</v>
      </c>
      <c r="F99">
        <v>1</v>
      </c>
      <c r="G99">
        <v>1</v>
      </c>
      <c r="H99">
        <v>2</v>
      </c>
      <c r="I99" t="s">
        <v>644</v>
      </c>
      <c r="J99" t="s">
        <v>645</v>
      </c>
      <c r="K99" t="s">
        <v>646</v>
      </c>
      <c r="L99">
        <v>1368</v>
      </c>
      <c r="N99">
        <v>1011</v>
      </c>
      <c r="O99" t="s">
        <v>647</v>
      </c>
      <c r="P99" t="s">
        <v>647</v>
      </c>
      <c r="Q99">
        <v>1</v>
      </c>
      <c r="X99">
        <v>0.22</v>
      </c>
      <c r="Y99">
        <v>0</v>
      </c>
      <c r="Z99">
        <v>31.26</v>
      </c>
      <c r="AA99">
        <v>13.5</v>
      </c>
      <c r="AB99">
        <v>0</v>
      </c>
      <c r="AC99">
        <v>0</v>
      </c>
      <c r="AD99">
        <v>1</v>
      </c>
      <c r="AE99">
        <v>0</v>
      </c>
      <c r="AF99" t="s">
        <v>211</v>
      </c>
      <c r="AG99">
        <v>0.17600000000000002</v>
      </c>
      <c r="AH99">
        <v>2</v>
      </c>
      <c r="AI99">
        <v>39492212</v>
      </c>
      <c r="AJ99">
        <v>108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ROW(Source!A72)</f>
        <v>72</v>
      </c>
      <c r="B100">
        <v>39492222</v>
      </c>
      <c r="C100">
        <v>39492209</v>
      </c>
      <c r="D100">
        <v>36883554</v>
      </c>
      <c r="E100">
        <v>1</v>
      </c>
      <c r="F100">
        <v>1</v>
      </c>
      <c r="G100">
        <v>1</v>
      </c>
      <c r="H100">
        <v>2</v>
      </c>
      <c r="I100" t="s">
        <v>665</v>
      </c>
      <c r="J100" t="s">
        <v>666</v>
      </c>
      <c r="K100" t="s">
        <v>667</v>
      </c>
      <c r="L100">
        <v>1368</v>
      </c>
      <c r="N100">
        <v>1011</v>
      </c>
      <c r="O100" t="s">
        <v>647</v>
      </c>
      <c r="P100" t="s">
        <v>647</v>
      </c>
      <c r="Q100">
        <v>1</v>
      </c>
      <c r="X100">
        <v>1.2</v>
      </c>
      <c r="Y100">
        <v>0</v>
      </c>
      <c r="Z100">
        <v>65.709999999999994</v>
      </c>
      <c r="AA100">
        <v>11.6</v>
      </c>
      <c r="AB100">
        <v>0</v>
      </c>
      <c r="AC100">
        <v>0</v>
      </c>
      <c r="AD100">
        <v>1</v>
      </c>
      <c r="AE100">
        <v>0</v>
      </c>
      <c r="AF100" t="s">
        <v>211</v>
      </c>
      <c r="AG100">
        <v>0.96</v>
      </c>
      <c r="AH100">
        <v>2</v>
      </c>
      <c r="AI100">
        <v>39492213</v>
      </c>
      <c r="AJ100">
        <v>109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ROW(Source!A72)</f>
        <v>72</v>
      </c>
      <c r="B101">
        <v>39492223</v>
      </c>
      <c r="C101">
        <v>39492209</v>
      </c>
      <c r="D101">
        <v>36801783</v>
      </c>
      <c r="E101">
        <v>1</v>
      </c>
      <c r="F101">
        <v>1</v>
      </c>
      <c r="G101">
        <v>1</v>
      </c>
      <c r="H101">
        <v>3</v>
      </c>
      <c r="I101" t="s">
        <v>719</v>
      </c>
      <c r="J101" t="s">
        <v>720</v>
      </c>
      <c r="K101" t="s">
        <v>721</v>
      </c>
      <c r="L101">
        <v>1348</v>
      </c>
      <c r="N101">
        <v>1009</v>
      </c>
      <c r="O101" t="s">
        <v>189</v>
      </c>
      <c r="P101" t="s">
        <v>189</v>
      </c>
      <c r="Q101">
        <v>1000</v>
      </c>
      <c r="X101">
        <v>0.01</v>
      </c>
      <c r="Y101">
        <v>5650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210</v>
      </c>
      <c r="AG101">
        <v>0</v>
      </c>
      <c r="AH101">
        <v>2</v>
      </c>
      <c r="AI101">
        <v>39492214</v>
      </c>
      <c r="AJ101">
        <v>110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ROW(Source!A72)</f>
        <v>72</v>
      </c>
      <c r="B102">
        <v>39492224</v>
      </c>
      <c r="C102">
        <v>39492209</v>
      </c>
      <c r="D102">
        <v>36804953</v>
      </c>
      <c r="E102">
        <v>1</v>
      </c>
      <c r="F102">
        <v>1</v>
      </c>
      <c r="G102">
        <v>1</v>
      </c>
      <c r="H102">
        <v>3</v>
      </c>
      <c r="I102" t="s">
        <v>722</v>
      </c>
      <c r="J102" t="s">
        <v>723</v>
      </c>
      <c r="K102" t="s">
        <v>724</v>
      </c>
      <c r="L102">
        <v>1348</v>
      </c>
      <c r="N102">
        <v>1009</v>
      </c>
      <c r="O102" t="s">
        <v>189</v>
      </c>
      <c r="P102" t="s">
        <v>189</v>
      </c>
      <c r="Q102">
        <v>1000</v>
      </c>
      <c r="X102">
        <v>8.4000000000000003E-4</v>
      </c>
      <c r="Y102">
        <v>11350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210</v>
      </c>
      <c r="AG102">
        <v>0</v>
      </c>
      <c r="AH102">
        <v>2</v>
      </c>
      <c r="AI102">
        <v>39492215</v>
      </c>
      <c r="AJ102">
        <v>111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ROW(Source!A72)</f>
        <v>72</v>
      </c>
      <c r="B103">
        <v>39492225</v>
      </c>
      <c r="C103">
        <v>39492209</v>
      </c>
      <c r="D103">
        <v>36805524</v>
      </c>
      <c r="E103">
        <v>1</v>
      </c>
      <c r="F103">
        <v>1</v>
      </c>
      <c r="G103">
        <v>1</v>
      </c>
      <c r="H103">
        <v>3</v>
      </c>
      <c r="I103" t="s">
        <v>679</v>
      </c>
      <c r="J103" t="s">
        <v>680</v>
      </c>
      <c r="K103" t="s">
        <v>681</v>
      </c>
      <c r="L103">
        <v>1346</v>
      </c>
      <c r="N103">
        <v>1009</v>
      </c>
      <c r="O103" t="s">
        <v>97</v>
      </c>
      <c r="P103" t="s">
        <v>97</v>
      </c>
      <c r="Q103">
        <v>1</v>
      </c>
      <c r="X103">
        <v>0.2</v>
      </c>
      <c r="Y103">
        <v>1.82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210</v>
      </c>
      <c r="AG103">
        <v>0</v>
      </c>
      <c r="AH103">
        <v>2</v>
      </c>
      <c r="AI103">
        <v>39492216</v>
      </c>
      <c r="AJ103">
        <v>112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ROW(Source!A72)</f>
        <v>72</v>
      </c>
      <c r="B104">
        <v>39492226</v>
      </c>
      <c r="C104">
        <v>39492209</v>
      </c>
      <c r="D104">
        <v>36797495</v>
      </c>
      <c r="E104">
        <v>17</v>
      </c>
      <c r="F104">
        <v>1</v>
      </c>
      <c r="G104">
        <v>1</v>
      </c>
      <c r="H104">
        <v>3</v>
      </c>
      <c r="I104" t="s">
        <v>925</v>
      </c>
      <c r="J104" t="s">
        <v>3</v>
      </c>
      <c r="K104" t="s">
        <v>926</v>
      </c>
      <c r="L104">
        <v>1327</v>
      </c>
      <c r="N104">
        <v>1005</v>
      </c>
      <c r="O104" t="s">
        <v>89</v>
      </c>
      <c r="P104" t="s">
        <v>89</v>
      </c>
      <c r="Q104">
        <v>1</v>
      </c>
      <c r="X104">
        <v>102.5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 t="s">
        <v>210</v>
      </c>
      <c r="AG104">
        <v>0</v>
      </c>
      <c r="AH104">
        <v>3</v>
      </c>
      <c r="AI104">
        <v>-1</v>
      </c>
      <c r="AJ104" t="s">
        <v>3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ROW(Source!A72)</f>
        <v>72</v>
      </c>
      <c r="B105">
        <v>39492227</v>
      </c>
      <c r="C105">
        <v>39492209</v>
      </c>
      <c r="D105">
        <v>36838463</v>
      </c>
      <c r="E105">
        <v>1</v>
      </c>
      <c r="F105">
        <v>1</v>
      </c>
      <c r="G105">
        <v>1</v>
      </c>
      <c r="H105">
        <v>3</v>
      </c>
      <c r="I105" t="s">
        <v>725</v>
      </c>
      <c r="J105" t="s">
        <v>726</v>
      </c>
      <c r="K105" t="s">
        <v>727</v>
      </c>
      <c r="L105">
        <v>1348</v>
      </c>
      <c r="N105">
        <v>1009</v>
      </c>
      <c r="O105" t="s">
        <v>189</v>
      </c>
      <c r="P105" t="s">
        <v>189</v>
      </c>
      <c r="Q105">
        <v>1000</v>
      </c>
      <c r="X105">
        <v>1.1000000000000001E-3</v>
      </c>
      <c r="Y105">
        <v>33640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210</v>
      </c>
      <c r="AG105">
        <v>0</v>
      </c>
      <c r="AH105">
        <v>2</v>
      </c>
      <c r="AI105">
        <v>39492217</v>
      </c>
      <c r="AJ105">
        <v>113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ROW(Source!A72)</f>
        <v>72</v>
      </c>
      <c r="B106">
        <v>39492228</v>
      </c>
      <c r="C106">
        <v>39492209</v>
      </c>
      <c r="D106">
        <v>36839148</v>
      </c>
      <c r="E106">
        <v>1</v>
      </c>
      <c r="F106">
        <v>1</v>
      </c>
      <c r="G106">
        <v>1</v>
      </c>
      <c r="H106">
        <v>3</v>
      </c>
      <c r="I106" t="s">
        <v>728</v>
      </c>
      <c r="J106" t="s">
        <v>729</v>
      </c>
      <c r="K106" t="s">
        <v>730</v>
      </c>
      <c r="L106">
        <v>1348</v>
      </c>
      <c r="N106">
        <v>1009</v>
      </c>
      <c r="O106" t="s">
        <v>189</v>
      </c>
      <c r="P106" t="s">
        <v>189</v>
      </c>
      <c r="Q106">
        <v>1000</v>
      </c>
      <c r="X106">
        <v>3.0000000000000001E-3</v>
      </c>
      <c r="Y106">
        <v>5479.9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210</v>
      </c>
      <c r="AG106">
        <v>0</v>
      </c>
      <c r="AH106">
        <v>2</v>
      </c>
      <c r="AI106">
        <v>39492218</v>
      </c>
      <c r="AJ106">
        <v>114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ROW(Source!A73)</f>
        <v>73</v>
      </c>
      <c r="B107">
        <v>39492239</v>
      </c>
      <c r="C107">
        <v>39492229</v>
      </c>
      <c r="D107">
        <v>37070202</v>
      </c>
      <c r="E107">
        <v>1</v>
      </c>
      <c r="F107">
        <v>1</v>
      </c>
      <c r="G107">
        <v>1</v>
      </c>
      <c r="H107">
        <v>1</v>
      </c>
      <c r="I107" t="s">
        <v>717</v>
      </c>
      <c r="J107" t="s">
        <v>3</v>
      </c>
      <c r="K107" t="s">
        <v>718</v>
      </c>
      <c r="L107">
        <v>1191</v>
      </c>
      <c r="N107">
        <v>1013</v>
      </c>
      <c r="O107" t="s">
        <v>641</v>
      </c>
      <c r="P107" t="s">
        <v>641</v>
      </c>
      <c r="Q107">
        <v>1</v>
      </c>
      <c r="X107">
        <v>50.6</v>
      </c>
      <c r="Y107">
        <v>0</v>
      </c>
      <c r="Z107">
        <v>0</v>
      </c>
      <c r="AA107">
        <v>0</v>
      </c>
      <c r="AB107">
        <v>9.51</v>
      </c>
      <c r="AC107">
        <v>0</v>
      </c>
      <c r="AD107">
        <v>1</v>
      </c>
      <c r="AE107">
        <v>1</v>
      </c>
      <c r="AF107" t="s">
        <v>211</v>
      </c>
      <c r="AG107">
        <v>40.480000000000004</v>
      </c>
      <c r="AH107">
        <v>2</v>
      </c>
      <c r="AI107">
        <v>39492230</v>
      </c>
      <c r="AJ107">
        <v>115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ROW(Source!A73)</f>
        <v>73</v>
      </c>
      <c r="B108">
        <v>39492240</v>
      </c>
      <c r="C108">
        <v>39492229</v>
      </c>
      <c r="D108">
        <v>37064876</v>
      </c>
      <c r="E108">
        <v>1</v>
      </c>
      <c r="F108">
        <v>1</v>
      </c>
      <c r="G108">
        <v>1</v>
      </c>
      <c r="H108">
        <v>1</v>
      </c>
      <c r="I108" t="s">
        <v>642</v>
      </c>
      <c r="J108" t="s">
        <v>3</v>
      </c>
      <c r="K108" t="s">
        <v>643</v>
      </c>
      <c r="L108">
        <v>1191</v>
      </c>
      <c r="N108">
        <v>1013</v>
      </c>
      <c r="O108" t="s">
        <v>641</v>
      </c>
      <c r="P108" t="s">
        <v>641</v>
      </c>
      <c r="Q108">
        <v>1</v>
      </c>
      <c r="X108">
        <v>1.42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2</v>
      </c>
      <c r="AF108" t="s">
        <v>211</v>
      </c>
      <c r="AG108">
        <v>1.1359999999999999</v>
      </c>
      <c r="AH108">
        <v>2</v>
      </c>
      <c r="AI108">
        <v>39492231</v>
      </c>
      <c r="AJ108">
        <v>116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ROW(Source!A73)</f>
        <v>73</v>
      </c>
      <c r="B109">
        <v>39492241</v>
      </c>
      <c r="C109">
        <v>39492229</v>
      </c>
      <c r="D109">
        <v>36882452</v>
      </c>
      <c r="E109">
        <v>1</v>
      </c>
      <c r="F109">
        <v>1</v>
      </c>
      <c r="G109">
        <v>1</v>
      </c>
      <c r="H109">
        <v>2</v>
      </c>
      <c r="I109" t="s">
        <v>644</v>
      </c>
      <c r="J109" t="s">
        <v>645</v>
      </c>
      <c r="K109" t="s">
        <v>646</v>
      </c>
      <c r="L109">
        <v>1368</v>
      </c>
      <c r="N109">
        <v>1011</v>
      </c>
      <c r="O109" t="s">
        <v>647</v>
      </c>
      <c r="P109" t="s">
        <v>647</v>
      </c>
      <c r="Q109">
        <v>1</v>
      </c>
      <c r="X109">
        <v>0.22</v>
      </c>
      <c r="Y109">
        <v>0</v>
      </c>
      <c r="Z109">
        <v>31.26</v>
      </c>
      <c r="AA109">
        <v>13.5</v>
      </c>
      <c r="AB109">
        <v>0</v>
      </c>
      <c r="AC109">
        <v>0</v>
      </c>
      <c r="AD109">
        <v>1</v>
      </c>
      <c r="AE109">
        <v>0</v>
      </c>
      <c r="AF109" t="s">
        <v>211</v>
      </c>
      <c r="AG109">
        <v>0.17600000000000002</v>
      </c>
      <c r="AH109">
        <v>2</v>
      </c>
      <c r="AI109">
        <v>39492232</v>
      </c>
      <c r="AJ109">
        <v>117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ROW(Source!A73)</f>
        <v>73</v>
      </c>
      <c r="B110">
        <v>39492242</v>
      </c>
      <c r="C110">
        <v>39492229</v>
      </c>
      <c r="D110">
        <v>36883554</v>
      </c>
      <c r="E110">
        <v>1</v>
      </c>
      <c r="F110">
        <v>1</v>
      </c>
      <c r="G110">
        <v>1</v>
      </c>
      <c r="H110">
        <v>2</v>
      </c>
      <c r="I110" t="s">
        <v>665</v>
      </c>
      <c r="J110" t="s">
        <v>666</v>
      </c>
      <c r="K110" t="s">
        <v>667</v>
      </c>
      <c r="L110">
        <v>1368</v>
      </c>
      <c r="N110">
        <v>1011</v>
      </c>
      <c r="O110" t="s">
        <v>647</v>
      </c>
      <c r="P110" t="s">
        <v>647</v>
      </c>
      <c r="Q110">
        <v>1</v>
      </c>
      <c r="X110">
        <v>1.2</v>
      </c>
      <c r="Y110">
        <v>0</v>
      </c>
      <c r="Z110">
        <v>65.709999999999994</v>
      </c>
      <c r="AA110">
        <v>11.6</v>
      </c>
      <c r="AB110">
        <v>0</v>
      </c>
      <c r="AC110">
        <v>0</v>
      </c>
      <c r="AD110">
        <v>1</v>
      </c>
      <c r="AE110">
        <v>0</v>
      </c>
      <c r="AF110" t="s">
        <v>211</v>
      </c>
      <c r="AG110">
        <v>0.96</v>
      </c>
      <c r="AH110">
        <v>2</v>
      </c>
      <c r="AI110">
        <v>39492233</v>
      </c>
      <c r="AJ110">
        <v>118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ROW(Source!A73)</f>
        <v>73</v>
      </c>
      <c r="B111">
        <v>39492243</v>
      </c>
      <c r="C111">
        <v>39492229</v>
      </c>
      <c r="D111">
        <v>36801783</v>
      </c>
      <c r="E111">
        <v>1</v>
      </c>
      <c r="F111">
        <v>1</v>
      </c>
      <c r="G111">
        <v>1</v>
      </c>
      <c r="H111">
        <v>3</v>
      </c>
      <c r="I111" t="s">
        <v>719</v>
      </c>
      <c r="J111" t="s">
        <v>720</v>
      </c>
      <c r="K111" t="s">
        <v>721</v>
      </c>
      <c r="L111">
        <v>1348</v>
      </c>
      <c r="N111">
        <v>1009</v>
      </c>
      <c r="O111" t="s">
        <v>189</v>
      </c>
      <c r="P111" t="s">
        <v>189</v>
      </c>
      <c r="Q111">
        <v>1000</v>
      </c>
      <c r="X111">
        <v>0.01</v>
      </c>
      <c r="Y111">
        <v>5650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210</v>
      </c>
      <c r="AG111">
        <v>0</v>
      </c>
      <c r="AH111">
        <v>2</v>
      </c>
      <c r="AI111">
        <v>39492234</v>
      </c>
      <c r="AJ111">
        <v>119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ROW(Source!A73)</f>
        <v>73</v>
      </c>
      <c r="B112">
        <v>39492244</v>
      </c>
      <c r="C112">
        <v>39492229</v>
      </c>
      <c r="D112">
        <v>36804953</v>
      </c>
      <c r="E112">
        <v>1</v>
      </c>
      <c r="F112">
        <v>1</v>
      </c>
      <c r="G112">
        <v>1</v>
      </c>
      <c r="H112">
        <v>3</v>
      </c>
      <c r="I112" t="s">
        <v>722</v>
      </c>
      <c r="J112" t="s">
        <v>723</v>
      </c>
      <c r="K112" t="s">
        <v>724</v>
      </c>
      <c r="L112">
        <v>1348</v>
      </c>
      <c r="N112">
        <v>1009</v>
      </c>
      <c r="O112" t="s">
        <v>189</v>
      </c>
      <c r="P112" t="s">
        <v>189</v>
      </c>
      <c r="Q112">
        <v>1000</v>
      </c>
      <c r="X112">
        <v>8.4000000000000003E-4</v>
      </c>
      <c r="Y112">
        <v>11350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210</v>
      </c>
      <c r="AG112">
        <v>0</v>
      </c>
      <c r="AH112">
        <v>2</v>
      </c>
      <c r="AI112">
        <v>39492235</v>
      </c>
      <c r="AJ112">
        <v>120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ROW(Source!A73)</f>
        <v>73</v>
      </c>
      <c r="B113">
        <v>39492245</v>
      </c>
      <c r="C113">
        <v>39492229</v>
      </c>
      <c r="D113">
        <v>36805524</v>
      </c>
      <c r="E113">
        <v>1</v>
      </c>
      <c r="F113">
        <v>1</v>
      </c>
      <c r="G113">
        <v>1</v>
      </c>
      <c r="H113">
        <v>3</v>
      </c>
      <c r="I113" t="s">
        <v>679</v>
      </c>
      <c r="J113" t="s">
        <v>680</v>
      </c>
      <c r="K113" t="s">
        <v>681</v>
      </c>
      <c r="L113">
        <v>1346</v>
      </c>
      <c r="N113">
        <v>1009</v>
      </c>
      <c r="O113" t="s">
        <v>97</v>
      </c>
      <c r="P113" t="s">
        <v>97</v>
      </c>
      <c r="Q113">
        <v>1</v>
      </c>
      <c r="X113">
        <v>0.2</v>
      </c>
      <c r="Y113">
        <v>1.82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210</v>
      </c>
      <c r="AG113">
        <v>0</v>
      </c>
      <c r="AH113">
        <v>2</v>
      </c>
      <c r="AI113">
        <v>39492236</v>
      </c>
      <c r="AJ113">
        <v>121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ROW(Source!A73)</f>
        <v>73</v>
      </c>
      <c r="B114">
        <v>39492246</v>
      </c>
      <c r="C114">
        <v>39492229</v>
      </c>
      <c r="D114">
        <v>36797495</v>
      </c>
      <c r="E114">
        <v>17</v>
      </c>
      <c r="F114">
        <v>1</v>
      </c>
      <c r="G114">
        <v>1</v>
      </c>
      <c r="H114">
        <v>3</v>
      </c>
      <c r="I114" t="s">
        <v>925</v>
      </c>
      <c r="J114" t="s">
        <v>3</v>
      </c>
      <c r="K114" t="s">
        <v>926</v>
      </c>
      <c r="L114">
        <v>1327</v>
      </c>
      <c r="N114">
        <v>1005</v>
      </c>
      <c r="O114" t="s">
        <v>89</v>
      </c>
      <c r="P114" t="s">
        <v>89</v>
      </c>
      <c r="Q114">
        <v>1</v>
      </c>
      <c r="X114">
        <v>102.5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 t="s">
        <v>210</v>
      </c>
      <c r="AG114">
        <v>0</v>
      </c>
      <c r="AH114">
        <v>3</v>
      </c>
      <c r="AI114">
        <v>-1</v>
      </c>
      <c r="AJ114" t="s">
        <v>3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ROW(Source!A73)</f>
        <v>73</v>
      </c>
      <c r="B115">
        <v>39492247</v>
      </c>
      <c r="C115">
        <v>39492229</v>
      </c>
      <c r="D115">
        <v>36838463</v>
      </c>
      <c r="E115">
        <v>1</v>
      </c>
      <c r="F115">
        <v>1</v>
      </c>
      <c r="G115">
        <v>1</v>
      </c>
      <c r="H115">
        <v>3</v>
      </c>
      <c r="I115" t="s">
        <v>725</v>
      </c>
      <c r="J115" t="s">
        <v>726</v>
      </c>
      <c r="K115" t="s">
        <v>727</v>
      </c>
      <c r="L115">
        <v>1348</v>
      </c>
      <c r="N115">
        <v>1009</v>
      </c>
      <c r="O115" t="s">
        <v>189</v>
      </c>
      <c r="P115" t="s">
        <v>189</v>
      </c>
      <c r="Q115">
        <v>1000</v>
      </c>
      <c r="X115">
        <v>1.1000000000000001E-3</v>
      </c>
      <c r="Y115">
        <v>33640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210</v>
      </c>
      <c r="AG115">
        <v>0</v>
      </c>
      <c r="AH115">
        <v>2</v>
      </c>
      <c r="AI115">
        <v>39492237</v>
      </c>
      <c r="AJ115">
        <v>122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ROW(Source!A73)</f>
        <v>73</v>
      </c>
      <c r="B116">
        <v>39492248</v>
      </c>
      <c r="C116">
        <v>39492229</v>
      </c>
      <c r="D116">
        <v>36839148</v>
      </c>
      <c r="E116">
        <v>1</v>
      </c>
      <c r="F116">
        <v>1</v>
      </c>
      <c r="G116">
        <v>1</v>
      </c>
      <c r="H116">
        <v>3</v>
      </c>
      <c r="I116" t="s">
        <v>728</v>
      </c>
      <c r="J116" t="s">
        <v>729</v>
      </c>
      <c r="K116" t="s">
        <v>730</v>
      </c>
      <c r="L116">
        <v>1348</v>
      </c>
      <c r="N116">
        <v>1009</v>
      </c>
      <c r="O116" t="s">
        <v>189</v>
      </c>
      <c r="P116" t="s">
        <v>189</v>
      </c>
      <c r="Q116">
        <v>1000</v>
      </c>
      <c r="X116">
        <v>3.0000000000000001E-3</v>
      </c>
      <c r="Y116">
        <v>5479.9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210</v>
      </c>
      <c r="AG116">
        <v>0</v>
      </c>
      <c r="AH116">
        <v>2</v>
      </c>
      <c r="AI116">
        <v>39492238</v>
      </c>
      <c r="AJ116">
        <v>123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ROW(Source!A74)</f>
        <v>74</v>
      </c>
      <c r="B117">
        <v>39492252</v>
      </c>
      <c r="C117">
        <v>39492249</v>
      </c>
      <c r="D117">
        <v>37071037</v>
      </c>
      <c r="E117">
        <v>1</v>
      </c>
      <c r="F117">
        <v>1</v>
      </c>
      <c r="G117">
        <v>1</v>
      </c>
      <c r="H117">
        <v>1</v>
      </c>
      <c r="I117" t="s">
        <v>707</v>
      </c>
      <c r="J117" t="s">
        <v>3</v>
      </c>
      <c r="K117" t="s">
        <v>708</v>
      </c>
      <c r="L117">
        <v>1191</v>
      </c>
      <c r="N117">
        <v>1013</v>
      </c>
      <c r="O117" t="s">
        <v>641</v>
      </c>
      <c r="P117" t="s">
        <v>641</v>
      </c>
      <c r="Q117">
        <v>1</v>
      </c>
      <c r="X117">
        <v>2.8</v>
      </c>
      <c r="Y117">
        <v>0</v>
      </c>
      <c r="Z117">
        <v>0</v>
      </c>
      <c r="AA117">
        <v>0</v>
      </c>
      <c r="AB117">
        <v>9.6199999999999992</v>
      </c>
      <c r="AC117">
        <v>0</v>
      </c>
      <c r="AD117">
        <v>1</v>
      </c>
      <c r="AE117">
        <v>1</v>
      </c>
      <c r="AF117" t="s">
        <v>221</v>
      </c>
      <c r="AG117">
        <v>1.1199999999999999</v>
      </c>
      <c r="AH117">
        <v>2</v>
      </c>
      <c r="AI117">
        <v>39492250</v>
      </c>
      <c r="AJ117">
        <v>124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ROW(Source!A74)</f>
        <v>74</v>
      </c>
      <c r="B118">
        <v>39492253</v>
      </c>
      <c r="C118">
        <v>39492249</v>
      </c>
      <c r="D118">
        <v>36797518</v>
      </c>
      <c r="E118">
        <v>17</v>
      </c>
      <c r="F118">
        <v>1</v>
      </c>
      <c r="G118">
        <v>1</v>
      </c>
      <c r="H118">
        <v>3</v>
      </c>
      <c r="I118" t="s">
        <v>927</v>
      </c>
      <c r="J118" t="s">
        <v>3</v>
      </c>
      <c r="K118" t="s">
        <v>928</v>
      </c>
      <c r="L118">
        <v>1358</v>
      </c>
      <c r="N118">
        <v>1010</v>
      </c>
      <c r="O118" t="s">
        <v>417</v>
      </c>
      <c r="P118" t="s">
        <v>417</v>
      </c>
      <c r="Q118">
        <v>10</v>
      </c>
      <c r="X118">
        <v>2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 t="s">
        <v>210</v>
      </c>
      <c r="AG118">
        <v>0</v>
      </c>
      <c r="AH118">
        <v>3</v>
      </c>
      <c r="AI118">
        <v>-1</v>
      </c>
      <c r="AJ118" t="s">
        <v>3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ROW(Source!A74)</f>
        <v>74</v>
      </c>
      <c r="B119">
        <v>39492254</v>
      </c>
      <c r="C119">
        <v>39492249</v>
      </c>
      <c r="D119">
        <v>36796579</v>
      </c>
      <c r="E119">
        <v>17</v>
      </c>
      <c r="F119">
        <v>1</v>
      </c>
      <c r="G119">
        <v>1</v>
      </c>
      <c r="H119">
        <v>3</v>
      </c>
      <c r="I119" t="s">
        <v>929</v>
      </c>
      <c r="J119" t="s">
        <v>3</v>
      </c>
      <c r="K119" t="s">
        <v>930</v>
      </c>
      <c r="L119">
        <v>1348</v>
      </c>
      <c r="N119">
        <v>1009</v>
      </c>
      <c r="O119" t="s">
        <v>189</v>
      </c>
      <c r="P119" t="s">
        <v>189</v>
      </c>
      <c r="Q119">
        <v>1000</v>
      </c>
      <c r="X119">
        <v>1.3999999999999999E-4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 t="s">
        <v>210</v>
      </c>
      <c r="AG119">
        <v>0</v>
      </c>
      <c r="AH119">
        <v>3</v>
      </c>
      <c r="AI119">
        <v>-1</v>
      </c>
      <c r="AJ119" t="s">
        <v>3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ROW(Source!A74)</f>
        <v>74</v>
      </c>
      <c r="B120">
        <v>39492255</v>
      </c>
      <c r="C120">
        <v>39492249</v>
      </c>
      <c r="D120">
        <v>36824289</v>
      </c>
      <c r="E120">
        <v>1</v>
      </c>
      <c r="F120">
        <v>1</v>
      </c>
      <c r="G120">
        <v>1</v>
      </c>
      <c r="H120">
        <v>3</v>
      </c>
      <c r="I120" t="s">
        <v>731</v>
      </c>
      <c r="J120" t="s">
        <v>732</v>
      </c>
      <c r="K120" t="s">
        <v>733</v>
      </c>
      <c r="L120">
        <v>1348</v>
      </c>
      <c r="N120">
        <v>1009</v>
      </c>
      <c r="O120" t="s">
        <v>189</v>
      </c>
      <c r="P120" t="s">
        <v>189</v>
      </c>
      <c r="Q120">
        <v>1000</v>
      </c>
      <c r="X120">
        <v>1E-4</v>
      </c>
      <c r="Y120">
        <v>5989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210</v>
      </c>
      <c r="AG120">
        <v>0</v>
      </c>
      <c r="AH120">
        <v>2</v>
      </c>
      <c r="AI120">
        <v>39492251</v>
      </c>
      <c r="AJ120">
        <v>125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ROW(Source!A74)</f>
        <v>74</v>
      </c>
      <c r="B121">
        <v>39492256</v>
      </c>
      <c r="C121">
        <v>39492249</v>
      </c>
      <c r="D121">
        <v>36797717</v>
      </c>
      <c r="E121">
        <v>17</v>
      </c>
      <c r="F121">
        <v>1</v>
      </c>
      <c r="G121">
        <v>1</v>
      </c>
      <c r="H121">
        <v>3</v>
      </c>
      <c r="I121" t="s">
        <v>931</v>
      </c>
      <c r="J121" t="s">
        <v>3</v>
      </c>
      <c r="K121" t="s">
        <v>932</v>
      </c>
      <c r="L121">
        <v>1354</v>
      </c>
      <c r="N121">
        <v>1010</v>
      </c>
      <c r="O121" t="s">
        <v>37</v>
      </c>
      <c r="P121" t="s">
        <v>37</v>
      </c>
      <c r="Q121">
        <v>1</v>
      </c>
      <c r="X121">
        <v>10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 t="s">
        <v>210</v>
      </c>
      <c r="AG121">
        <v>0</v>
      </c>
      <c r="AH121">
        <v>3</v>
      </c>
      <c r="AI121">
        <v>-1</v>
      </c>
      <c r="AJ121" t="s">
        <v>3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ROW(Source!A75)</f>
        <v>75</v>
      </c>
      <c r="B122">
        <v>39491275</v>
      </c>
      <c r="C122">
        <v>39491274</v>
      </c>
      <c r="D122">
        <v>37071037</v>
      </c>
      <c r="E122">
        <v>1</v>
      </c>
      <c r="F122">
        <v>1</v>
      </c>
      <c r="G122">
        <v>1</v>
      </c>
      <c r="H122">
        <v>1</v>
      </c>
      <c r="I122" t="s">
        <v>707</v>
      </c>
      <c r="J122" t="s">
        <v>3</v>
      </c>
      <c r="K122" t="s">
        <v>708</v>
      </c>
      <c r="L122">
        <v>1191</v>
      </c>
      <c r="N122">
        <v>1013</v>
      </c>
      <c r="O122" t="s">
        <v>641</v>
      </c>
      <c r="P122" t="s">
        <v>641</v>
      </c>
      <c r="Q122">
        <v>1</v>
      </c>
      <c r="X122">
        <v>2.8</v>
      </c>
      <c r="Y122">
        <v>0</v>
      </c>
      <c r="Z122">
        <v>0</v>
      </c>
      <c r="AA122">
        <v>0</v>
      </c>
      <c r="AB122">
        <v>9.6199999999999992</v>
      </c>
      <c r="AC122">
        <v>0</v>
      </c>
      <c r="AD122">
        <v>1</v>
      </c>
      <c r="AE122">
        <v>1</v>
      </c>
      <c r="AF122" t="s">
        <v>3</v>
      </c>
      <c r="AG122">
        <v>2.8</v>
      </c>
      <c r="AH122">
        <v>2</v>
      </c>
      <c r="AI122">
        <v>39491275</v>
      </c>
      <c r="AJ122">
        <v>126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ROW(Source!A75)</f>
        <v>75</v>
      </c>
      <c r="B123">
        <v>39491276</v>
      </c>
      <c r="C123">
        <v>39491274</v>
      </c>
      <c r="D123">
        <v>36797518</v>
      </c>
      <c r="E123">
        <v>17</v>
      </c>
      <c r="F123">
        <v>1</v>
      </c>
      <c r="G123">
        <v>1</v>
      </c>
      <c r="H123">
        <v>3</v>
      </c>
      <c r="I123" t="s">
        <v>927</v>
      </c>
      <c r="J123" t="s">
        <v>3</v>
      </c>
      <c r="K123" t="s">
        <v>928</v>
      </c>
      <c r="L123">
        <v>1358</v>
      </c>
      <c r="N123">
        <v>1010</v>
      </c>
      <c r="O123" t="s">
        <v>417</v>
      </c>
      <c r="P123" t="s">
        <v>417</v>
      </c>
      <c r="Q123">
        <v>10</v>
      </c>
      <c r="X123">
        <v>2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 t="s">
        <v>3</v>
      </c>
      <c r="AG123">
        <v>2</v>
      </c>
      <c r="AH123">
        <v>3</v>
      </c>
      <c r="AI123">
        <v>-1</v>
      </c>
      <c r="AJ123" t="s">
        <v>3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ROW(Source!A75)</f>
        <v>75</v>
      </c>
      <c r="B124">
        <v>39491277</v>
      </c>
      <c r="C124">
        <v>39491274</v>
      </c>
      <c r="D124">
        <v>36796579</v>
      </c>
      <c r="E124">
        <v>17</v>
      </c>
      <c r="F124">
        <v>1</v>
      </c>
      <c r="G124">
        <v>1</v>
      </c>
      <c r="H124">
        <v>3</v>
      </c>
      <c r="I124" t="s">
        <v>929</v>
      </c>
      <c r="J124" t="s">
        <v>3</v>
      </c>
      <c r="K124" t="s">
        <v>930</v>
      </c>
      <c r="L124">
        <v>1348</v>
      </c>
      <c r="N124">
        <v>1009</v>
      </c>
      <c r="O124" t="s">
        <v>189</v>
      </c>
      <c r="P124" t="s">
        <v>189</v>
      </c>
      <c r="Q124">
        <v>1000</v>
      </c>
      <c r="X124">
        <v>1.3999999999999999E-4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 t="s">
        <v>3</v>
      </c>
      <c r="AG124">
        <v>1.3999999999999999E-4</v>
      </c>
      <c r="AH124">
        <v>3</v>
      </c>
      <c r="AI124">
        <v>-1</v>
      </c>
      <c r="AJ124" t="s">
        <v>3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ROW(Source!A75)</f>
        <v>75</v>
      </c>
      <c r="B125">
        <v>39491278</v>
      </c>
      <c r="C125">
        <v>39491274</v>
      </c>
      <c r="D125">
        <v>36824289</v>
      </c>
      <c r="E125">
        <v>1</v>
      </c>
      <c r="F125">
        <v>1</v>
      </c>
      <c r="G125">
        <v>1</v>
      </c>
      <c r="H125">
        <v>3</v>
      </c>
      <c r="I125" t="s">
        <v>731</v>
      </c>
      <c r="J125" t="s">
        <v>732</v>
      </c>
      <c r="K125" t="s">
        <v>733</v>
      </c>
      <c r="L125">
        <v>1348</v>
      </c>
      <c r="N125">
        <v>1009</v>
      </c>
      <c r="O125" t="s">
        <v>189</v>
      </c>
      <c r="P125" t="s">
        <v>189</v>
      </c>
      <c r="Q125">
        <v>1000</v>
      </c>
      <c r="X125">
        <v>1E-4</v>
      </c>
      <c r="Y125">
        <v>5989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3</v>
      </c>
      <c r="AG125">
        <v>1E-4</v>
      </c>
      <c r="AH125">
        <v>2</v>
      </c>
      <c r="AI125">
        <v>39491278</v>
      </c>
      <c r="AJ125">
        <v>127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ROW(Source!A75)</f>
        <v>75</v>
      </c>
      <c r="B126">
        <v>39491279</v>
      </c>
      <c r="C126">
        <v>39491274</v>
      </c>
      <c r="D126">
        <v>36797717</v>
      </c>
      <c r="E126">
        <v>17</v>
      </c>
      <c r="F126">
        <v>1</v>
      </c>
      <c r="G126">
        <v>1</v>
      </c>
      <c r="H126">
        <v>3</v>
      </c>
      <c r="I126" t="s">
        <v>931</v>
      </c>
      <c r="J126" t="s">
        <v>3</v>
      </c>
      <c r="K126" t="s">
        <v>932</v>
      </c>
      <c r="L126">
        <v>1354</v>
      </c>
      <c r="N126">
        <v>1010</v>
      </c>
      <c r="O126" t="s">
        <v>37</v>
      </c>
      <c r="P126" t="s">
        <v>37</v>
      </c>
      <c r="Q126">
        <v>1</v>
      </c>
      <c r="X126">
        <v>10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 t="s">
        <v>3</v>
      </c>
      <c r="AG126">
        <v>10</v>
      </c>
      <c r="AH126">
        <v>3</v>
      </c>
      <c r="AI126">
        <v>-1</v>
      </c>
      <c r="AJ126" t="s">
        <v>3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ROW(Source!A77)</f>
        <v>77</v>
      </c>
      <c r="B127">
        <v>39100405</v>
      </c>
      <c r="C127">
        <v>39100391</v>
      </c>
      <c r="D127">
        <v>37064928</v>
      </c>
      <c r="E127">
        <v>1</v>
      </c>
      <c r="F127">
        <v>1</v>
      </c>
      <c r="G127">
        <v>1</v>
      </c>
      <c r="H127">
        <v>1</v>
      </c>
      <c r="I127" t="s">
        <v>734</v>
      </c>
      <c r="J127" t="s">
        <v>3</v>
      </c>
      <c r="K127" t="s">
        <v>735</v>
      </c>
      <c r="L127">
        <v>1191</v>
      </c>
      <c r="N127">
        <v>1013</v>
      </c>
      <c r="O127" t="s">
        <v>641</v>
      </c>
      <c r="P127" t="s">
        <v>641</v>
      </c>
      <c r="Q127">
        <v>1</v>
      </c>
      <c r="X127">
        <v>505</v>
      </c>
      <c r="Y127">
        <v>0</v>
      </c>
      <c r="Z127">
        <v>0</v>
      </c>
      <c r="AA127">
        <v>0</v>
      </c>
      <c r="AB127">
        <v>9.07</v>
      </c>
      <c r="AC127">
        <v>0</v>
      </c>
      <c r="AD127">
        <v>1</v>
      </c>
      <c r="AE127">
        <v>1</v>
      </c>
      <c r="AF127" t="s">
        <v>3</v>
      </c>
      <c r="AG127">
        <v>505</v>
      </c>
      <c r="AH127">
        <v>2</v>
      </c>
      <c r="AI127">
        <v>39100392</v>
      </c>
      <c r="AJ127">
        <v>129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ROW(Source!A77)</f>
        <v>77</v>
      </c>
      <c r="B128">
        <v>39100406</v>
      </c>
      <c r="C128">
        <v>39100391</v>
      </c>
      <c r="D128">
        <v>37064876</v>
      </c>
      <c r="E128">
        <v>1</v>
      </c>
      <c r="F128">
        <v>1</v>
      </c>
      <c r="G128">
        <v>1</v>
      </c>
      <c r="H128">
        <v>1</v>
      </c>
      <c r="I128" t="s">
        <v>642</v>
      </c>
      <c r="J128" t="s">
        <v>3</v>
      </c>
      <c r="K128" t="s">
        <v>643</v>
      </c>
      <c r="L128">
        <v>1191</v>
      </c>
      <c r="N128">
        <v>1013</v>
      </c>
      <c r="O128" t="s">
        <v>641</v>
      </c>
      <c r="P128" t="s">
        <v>641</v>
      </c>
      <c r="Q128">
        <v>1</v>
      </c>
      <c r="X128">
        <v>0.13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2</v>
      </c>
      <c r="AF128" t="s">
        <v>3</v>
      </c>
      <c r="AG128">
        <v>0.13</v>
      </c>
      <c r="AH128">
        <v>2</v>
      </c>
      <c r="AI128">
        <v>39100393</v>
      </c>
      <c r="AJ128">
        <v>130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ROW(Source!A77)</f>
        <v>77</v>
      </c>
      <c r="B129">
        <v>39100407</v>
      </c>
      <c r="C129">
        <v>39100391</v>
      </c>
      <c r="D129">
        <v>36883554</v>
      </c>
      <c r="E129">
        <v>1</v>
      </c>
      <c r="F129">
        <v>1</v>
      </c>
      <c r="G129">
        <v>1</v>
      </c>
      <c r="H129">
        <v>2</v>
      </c>
      <c r="I129" t="s">
        <v>665</v>
      </c>
      <c r="J129" t="s">
        <v>666</v>
      </c>
      <c r="K129" t="s">
        <v>667</v>
      </c>
      <c r="L129">
        <v>1368</v>
      </c>
      <c r="N129">
        <v>1011</v>
      </c>
      <c r="O129" t="s">
        <v>647</v>
      </c>
      <c r="P129" t="s">
        <v>647</v>
      </c>
      <c r="Q129">
        <v>1</v>
      </c>
      <c r="X129">
        <v>0.13</v>
      </c>
      <c r="Y129">
        <v>0</v>
      </c>
      <c r="Z129">
        <v>65.709999999999994</v>
      </c>
      <c r="AA129">
        <v>11.6</v>
      </c>
      <c r="AB129">
        <v>0</v>
      </c>
      <c r="AC129">
        <v>0</v>
      </c>
      <c r="AD129">
        <v>1</v>
      </c>
      <c r="AE129">
        <v>0</v>
      </c>
      <c r="AF129" t="s">
        <v>3</v>
      </c>
      <c r="AG129">
        <v>0.13</v>
      </c>
      <c r="AH129">
        <v>2</v>
      </c>
      <c r="AI129">
        <v>39100394</v>
      </c>
      <c r="AJ129">
        <v>131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ROW(Source!A77)</f>
        <v>77</v>
      </c>
      <c r="B130">
        <v>39100408</v>
      </c>
      <c r="C130">
        <v>39100391</v>
      </c>
      <c r="D130">
        <v>36799896</v>
      </c>
      <c r="E130">
        <v>1</v>
      </c>
      <c r="F130">
        <v>1</v>
      </c>
      <c r="G130">
        <v>1</v>
      </c>
      <c r="H130">
        <v>3</v>
      </c>
      <c r="I130" t="s">
        <v>736</v>
      </c>
      <c r="J130" t="s">
        <v>737</v>
      </c>
      <c r="K130" t="s">
        <v>738</v>
      </c>
      <c r="L130">
        <v>1348</v>
      </c>
      <c r="N130">
        <v>1009</v>
      </c>
      <c r="O130" t="s">
        <v>189</v>
      </c>
      <c r="P130" t="s">
        <v>189</v>
      </c>
      <c r="Q130">
        <v>1000</v>
      </c>
      <c r="X130">
        <v>2E-3</v>
      </c>
      <c r="Y130">
        <v>3390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3</v>
      </c>
      <c r="AG130">
        <v>2E-3</v>
      </c>
      <c r="AH130">
        <v>2</v>
      </c>
      <c r="AI130">
        <v>39100395</v>
      </c>
      <c r="AJ130">
        <v>132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ROW(Source!A77)</f>
        <v>77</v>
      </c>
      <c r="B131">
        <v>39100409</v>
      </c>
      <c r="C131">
        <v>39100391</v>
      </c>
      <c r="D131">
        <v>36801792</v>
      </c>
      <c r="E131">
        <v>1</v>
      </c>
      <c r="F131">
        <v>1</v>
      </c>
      <c r="G131">
        <v>1</v>
      </c>
      <c r="H131">
        <v>3</v>
      </c>
      <c r="I131" t="s">
        <v>650</v>
      </c>
      <c r="J131" t="s">
        <v>651</v>
      </c>
      <c r="K131" t="s">
        <v>652</v>
      </c>
      <c r="L131">
        <v>1339</v>
      </c>
      <c r="N131">
        <v>1007</v>
      </c>
      <c r="O131" t="s">
        <v>56</v>
      </c>
      <c r="P131" t="s">
        <v>56</v>
      </c>
      <c r="Q131">
        <v>1</v>
      </c>
      <c r="X131">
        <v>0.17</v>
      </c>
      <c r="Y131">
        <v>2.44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3</v>
      </c>
      <c r="AG131">
        <v>0.17</v>
      </c>
      <c r="AH131">
        <v>2</v>
      </c>
      <c r="AI131">
        <v>39100396</v>
      </c>
      <c r="AJ131">
        <v>133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ROW(Source!A77)</f>
        <v>77</v>
      </c>
      <c r="B132">
        <v>39100410</v>
      </c>
      <c r="C132">
        <v>39100391</v>
      </c>
      <c r="D132">
        <v>36799072</v>
      </c>
      <c r="E132">
        <v>17</v>
      </c>
      <c r="F132">
        <v>1</v>
      </c>
      <c r="G132">
        <v>1</v>
      </c>
      <c r="H132">
        <v>3</v>
      </c>
      <c r="I132" t="s">
        <v>918</v>
      </c>
      <c r="J132" t="s">
        <v>3</v>
      </c>
      <c r="K132" t="s">
        <v>919</v>
      </c>
      <c r="L132">
        <v>1348</v>
      </c>
      <c r="N132">
        <v>1009</v>
      </c>
      <c r="O132" t="s">
        <v>189</v>
      </c>
      <c r="P132" t="s">
        <v>189</v>
      </c>
      <c r="Q132">
        <v>1000</v>
      </c>
      <c r="X132">
        <v>0.59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 t="s">
        <v>3</v>
      </c>
      <c r="AG132">
        <v>0.59</v>
      </c>
      <c r="AH132">
        <v>3</v>
      </c>
      <c r="AI132">
        <v>-1</v>
      </c>
      <c r="AJ132" t="s">
        <v>3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ROW(Source!A77)</f>
        <v>77</v>
      </c>
      <c r="B133">
        <v>39100411</v>
      </c>
      <c r="C133">
        <v>39100391</v>
      </c>
      <c r="D133">
        <v>36804545</v>
      </c>
      <c r="E133">
        <v>1</v>
      </c>
      <c r="F133">
        <v>1</v>
      </c>
      <c r="G133">
        <v>1</v>
      </c>
      <c r="H133">
        <v>3</v>
      </c>
      <c r="I133" t="s">
        <v>739</v>
      </c>
      <c r="J133" t="s">
        <v>740</v>
      </c>
      <c r="K133" t="s">
        <v>741</v>
      </c>
      <c r="L133">
        <v>1348</v>
      </c>
      <c r="N133">
        <v>1009</v>
      </c>
      <c r="O133" t="s">
        <v>189</v>
      </c>
      <c r="P133" t="s">
        <v>189</v>
      </c>
      <c r="Q133">
        <v>1000</v>
      </c>
      <c r="X133">
        <v>4.0000000000000001E-3</v>
      </c>
      <c r="Y133">
        <v>11978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3</v>
      </c>
      <c r="AG133">
        <v>4.0000000000000001E-3</v>
      </c>
      <c r="AH133">
        <v>2</v>
      </c>
      <c r="AI133">
        <v>39100397</v>
      </c>
      <c r="AJ133">
        <v>134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ROW(Source!A77)</f>
        <v>77</v>
      </c>
      <c r="B134">
        <v>39100412</v>
      </c>
      <c r="C134">
        <v>39100391</v>
      </c>
      <c r="D134">
        <v>36804943</v>
      </c>
      <c r="E134">
        <v>1</v>
      </c>
      <c r="F134">
        <v>1</v>
      </c>
      <c r="G134">
        <v>1</v>
      </c>
      <c r="H134">
        <v>3</v>
      </c>
      <c r="I134" t="s">
        <v>742</v>
      </c>
      <c r="J134" t="s">
        <v>743</v>
      </c>
      <c r="K134" t="s">
        <v>744</v>
      </c>
      <c r="L134">
        <v>1348</v>
      </c>
      <c r="N134">
        <v>1009</v>
      </c>
      <c r="O134" t="s">
        <v>189</v>
      </c>
      <c r="P134" t="s">
        <v>189</v>
      </c>
      <c r="Q134">
        <v>1000</v>
      </c>
      <c r="X134">
        <v>2.2399999999999998E-3</v>
      </c>
      <c r="Y134">
        <v>16974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3</v>
      </c>
      <c r="AG134">
        <v>2.2399999999999998E-3</v>
      </c>
      <c r="AH134">
        <v>2</v>
      </c>
      <c r="AI134">
        <v>39100398</v>
      </c>
      <c r="AJ134">
        <v>135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ROW(Source!A77)</f>
        <v>77</v>
      </c>
      <c r="B135">
        <v>39100413</v>
      </c>
      <c r="C135">
        <v>39100391</v>
      </c>
      <c r="D135">
        <v>36806488</v>
      </c>
      <c r="E135">
        <v>1</v>
      </c>
      <c r="F135">
        <v>1</v>
      </c>
      <c r="G135">
        <v>1</v>
      </c>
      <c r="H135">
        <v>3</v>
      </c>
      <c r="I135" t="s">
        <v>653</v>
      </c>
      <c r="J135" t="s">
        <v>654</v>
      </c>
      <c r="K135" t="s">
        <v>655</v>
      </c>
      <c r="L135">
        <v>1348</v>
      </c>
      <c r="N135">
        <v>1009</v>
      </c>
      <c r="O135" t="s">
        <v>189</v>
      </c>
      <c r="P135" t="s">
        <v>189</v>
      </c>
      <c r="Q135">
        <v>1000</v>
      </c>
      <c r="X135">
        <v>0.16500000000000001</v>
      </c>
      <c r="Y135">
        <v>729.98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3</v>
      </c>
      <c r="AG135">
        <v>0.16500000000000001</v>
      </c>
      <c r="AH135">
        <v>2</v>
      </c>
      <c r="AI135">
        <v>39100400</v>
      </c>
      <c r="AJ135">
        <v>137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ROW(Source!A77)</f>
        <v>77</v>
      </c>
      <c r="B136">
        <v>39100414</v>
      </c>
      <c r="C136">
        <v>39100391</v>
      </c>
      <c r="D136">
        <v>36830298</v>
      </c>
      <c r="E136">
        <v>1</v>
      </c>
      <c r="F136">
        <v>1</v>
      </c>
      <c r="G136">
        <v>1</v>
      </c>
      <c r="H136">
        <v>3</v>
      </c>
      <c r="I136" t="s">
        <v>745</v>
      </c>
      <c r="J136" t="s">
        <v>746</v>
      </c>
      <c r="K136" t="s">
        <v>747</v>
      </c>
      <c r="L136">
        <v>1339</v>
      </c>
      <c r="N136">
        <v>1007</v>
      </c>
      <c r="O136" t="s">
        <v>56</v>
      </c>
      <c r="P136" t="s">
        <v>56</v>
      </c>
      <c r="Q136">
        <v>1</v>
      </c>
      <c r="X136">
        <v>0.54</v>
      </c>
      <c r="Y136">
        <v>1436.2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3</v>
      </c>
      <c r="AG136">
        <v>0.54</v>
      </c>
      <c r="AH136">
        <v>2</v>
      </c>
      <c r="AI136">
        <v>39100401</v>
      </c>
      <c r="AJ136">
        <v>138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ROW(Source!A77)</f>
        <v>77</v>
      </c>
      <c r="B137">
        <v>39100415</v>
      </c>
      <c r="C137">
        <v>39100391</v>
      </c>
      <c r="D137">
        <v>36832948</v>
      </c>
      <c r="E137">
        <v>1</v>
      </c>
      <c r="F137">
        <v>1</v>
      </c>
      <c r="G137">
        <v>1</v>
      </c>
      <c r="H137">
        <v>3</v>
      </c>
      <c r="I137" t="s">
        <v>748</v>
      </c>
      <c r="J137" t="s">
        <v>749</v>
      </c>
      <c r="K137" t="s">
        <v>750</v>
      </c>
      <c r="L137">
        <v>1327</v>
      </c>
      <c r="N137">
        <v>1005</v>
      </c>
      <c r="O137" t="s">
        <v>89</v>
      </c>
      <c r="P137" t="s">
        <v>89</v>
      </c>
      <c r="Q137">
        <v>1</v>
      </c>
      <c r="X137">
        <v>31.3</v>
      </c>
      <c r="Y137">
        <v>5.71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0</v>
      </c>
      <c r="AF137" t="s">
        <v>3</v>
      </c>
      <c r="AG137">
        <v>31.3</v>
      </c>
      <c r="AH137">
        <v>2</v>
      </c>
      <c r="AI137">
        <v>39100402</v>
      </c>
      <c r="AJ137">
        <v>139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ROW(Source!A77)</f>
        <v>77</v>
      </c>
      <c r="B138">
        <v>39100416</v>
      </c>
      <c r="C138">
        <v>39100391</v>
      </c>
      <c r="D138">
        <v>36836929</v>
      </c>
      <c r="E138">
        <v>1</v>
      </c>
      <c r="F138">
        <v>1</v>
      </c>
      <c r="G138">
        <v>1</v>
      </c>
      <c r="H138">
        <v>3</v>
      </c>
      <c r="I138" t="s">
        <v>751</v>
      </c>
      <c r="J138" t="s">
        <v>752</v>
      </c>
      <c r="K138" t="s">
        <v>753</v>
      </c>
      <c r="L138">
        <v>1346</v>
      </c>
      <c r="N138">
        <v>1009</v>
      </c>
      <c r="O138" t="s">
        <v>97</v>
      </c>
      <c r="P138" t="s">
        <v>97</v>
      </c>
      <c r="Q138">
        <v>1</v>
      </c>
      <c r="X138">
        <v>0.2</v>
      </c>
      <c r="Y138">
        <v>16.95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3</v>
      </c>
      <c r="AG138">
        <v>0.2</v>
      </c>
      <c r="AH138">
        <v>2</v>
      </c>
      <c r="AI138">
        <v>39100403</v>
      </c>
      <c r="AJ138">
        <v>140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ROW(Source!A77)</f>
        <v>77</v>
      </c>
      <c r="B139">
        <v>39100417</v>
      </c>
      <c r="C139">
        <v>39100391</v>
      </c>
      <c r="D139">
        <v>36838798</v>
      </c>
      <c r="E139">
        <v>1</v>
      </c>
      <c r="F139">
        <v>1</v>
      </c>
      <c r="G139">
        <v>1</v>
      </c>
      <c r="H139">
        <v>3</v>
      </c>
      <c r="I139" t="s">
        <v>754</v>
      </c>
      <c r="J139" t="s">
        <v>755</v>
      </c>
      <c r="K139" t="s">
        <v>756</v>
      </c>
      <c r="L139">
        <v>1296</v>
      </c>
      <c r="N139">
        <v>1002</v>
      </c>
      <c r="O139" t="s">
        <v>757</v>
      </c>
      <c r="P139" t="s">
        <v>757</v>
      </c>
      <c r="Q139">
        <v>1</v>
      </c>
      <c r="X139">
        <v>13.89</v>
      </c>
      <c r="Y139">
        <v>46.86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0</v>
      </c>
      <c r="AF139" t="s">
        <v>3</v>
      </c>
      <c r="AG139">
        <v>13.89</v>
      </c>
      <c r="AH139">
        <v>2</v>
      </c>
      <c r="AI139">
        <v>39100404</v>
      </c>
      <c r="AJ139">
        <v>141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ROW(Source!A79)</f>
        <v>79</v>
      </c>
      <c r="B140">
        <v>39100422</v>
      </c>
      <c r="C140">
        <v>39100419</v>
      </c>
      <c r="D140">
        <v>37068110</v>
      </c>
      <c r="E140">
        <v>1</v>
      </c>
      <c r="F140">
        <v>1</v>
      </c>
      <c r="G140">
        <v>1</v>
      </c>
      <c r="H140">
        <v>1</v>
      </c>
      <c r="I140" t="s">
        <v>758</v>
      </c>
      <c r="J140" t="s">
        <v>3</v>
      </c>
      <c r="K140" t="s">
        <v>759</v>
      </c>
      <c r="L140">
        <v>1191</v>
      </c>
      <c r="N140">
        <v>1013</v>
      </c>
      <c r="O140" t="s">
        <v>641</v>
      </c>
      <c r="P140" t="s">
        <v>641</v>
      </c>
      <c r="Q140">
        <v>1</v>
      </c>
      <c r="X140">
        <v>1.03</v>
      </c>
      <c r="Y140">
        <v>0</v>
      </c>
      <c r="Z140">
        <v>0</v>
      </c>
      <c r="AA140">
        <v>0</v>
      </c>
      <c r="AB140">
        <v>7.19</v>
      </c>
      <c r="AC140">
        <v>0</v>
      </c>
      <c r="AD140">
        <v>1</v>
      </c>
      <c r="AE140">
        <v>1</v>
      </c>
      <c r="AF140" t="s">
        <v>3</v>
      </c>
      <c r="AG140">
        <v>1.03</v>
      </c>
      <c r="AH140">
        <v>2</v>
      </c>
      <c r="AI140">
        <v>39100420</v>
      </c>
      <c r="AJ140">
        <v>142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ROW(Source!A79)</f>
        <v>79</v>
      </c>
      <c r="B141">
        <v>39100423</v>
      </c>
      <c r="C141">
        <v>39100419</v>
      </c>
      <c r="D141">
        <v>36805490</v>
      </c>
      <c r="E141">
        <v>1</v>
      </c>
      <c r="F141">
        <v>1</v>
      </c>
      <c r="G141">
        <v>1</v>
      </c>
      <c r="H141">
        <v>3</v>
      </c>
      <c r="I141" t="s">
        <v>760</v>
      </c>
      <c r="J141" t="s">
        <v>761</v>
      </c>
      <c r="K141" t="s">
        <v>762</v>
      </c>
      <c r="L141">
        <v>1355</v>
      </c>
      <c r="N141">
        <v>1010</v>
      </c>
      <c r="O141" t="s">
        <v>120</v>
      </c>
      <c r="P141" t="s">
        <v>120</v>
      </c>
      <c r="Q141">
        <v>100</v>
      </c>
      <c r="X141">
        <v>0.2</v>
      </c>
      <c r="Y141">
        <v>82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3</v>
      </c>
      <c r="AG141">
        <v>0.2</v>
      </c>
      <c r="AH141">
        <v>2</v>
      </c>
      <c r="AI141">
        <v>39100421</v>
      </c>
      <c r="AJ141">
        <v>143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ROW(Source!A116)</f>
        <v>116</v>
      </c>
      <c r="B142">
        <v>39100020</v>
      </c>
      <c r="C142">
        <v>39100016</v>
      </c>
      <c r="D142">
        <v>37065946</v>
      </c>
      <c r="E142">
        <v>1</v>
      </c>
      <c r="F142">
        <v>1</v>
      </c>
      <c r="G142">
        <v>1</v>
      </c>
      <c r="H142">
        <v>1</v>
      </c>
      <c r="I142" t="s">
        <v>763</v>
      </c>
      <c r="J142" t="s">
        <v>3</v>
      </c>
      <c r="K142" t="s">
        <v>764</v>
      </c>
      <c r="L142">
        <v>1191</v>
      </c>
      <c r="N142">
        <v>1013</v>
      </c>
      <c r="O142" t="s">
        <v>641</v>
      </c>
      <c r="P142" t="s">
        <v>641</v>
      </c>
      <c r="Q142">
        <v>1</v>
      </c>
      <c r="X142">
        <v>110</v>
      </c>
      <c r="Y142">
        <v>0</v>
      </c>
      <c r="Z142">
        <v>0</v>
      </c>
      <c r="AA142">
        <v>0</v>
      </c>
      <c r="AB142">
        <v>7.87</v>
      </c>
      <c r="AC142">
        <v>0</v>
      </c>
      <c r="AD142">
        <v>1</v>
      </c>
      <c r="AE142">
        <v>1</v>
      </c>
      <c r="AF142" t="s">
        <v>3</v>
      </c>
      <c r="AG142">
        <v>110</v>
      </c>
      <c r="AH142">
        <v>2</v>
      </c>
      <c r="AI142">
        <v>39100017</v>
      </c>
      <c r="AJ142">
        <v>144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ROW(Source!A116)</f>
        <v>116</v>
      </c>
      <c r="B143">
        <v>39100021</v>
      </c>
      <c r="C143">
        <v>39100016</v>
      </c>
      <c r="D143">
        <v>37064876</v>
      </c>
      <c r="E143">
        <v>1</v>
      </c>
      <c r="F143">
        <v>1</v>
      </c>
      <c r="G143">
        <v>1</v>
      </c>
      <c r="H143">
        <v>1</v>
      </c>
      <c r="I143" t="s">
        <v>642</v>
      </c>
      <c r="J143" t="s">
        <v>3</v>
      </c>
      <c r="K143" t="s">
        <v>643</v>
      </c>
      <c r="L143">
        <v>1191</v>
      </c>
      <c r="N143">
        <v>1013</v>
      </c>
      <c r="O143" t="s">
        <v>641</v>
      </c>
      <c r="P143" t="s">
        <v>641</v>
      </c>
      <c r="Q143">
        <v>1</v>
      </c>
      <c r="X143">
        <v>2.2400000000000002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2</v>
      </c>
      <c r="AF143" t="s">
        <v>3</v>
      </c>
      <c r="AG143">
        <v>2.2400000000000002</v>
      </c>
      <c r="AH143">
        <v>2</v>
      </c>
      <c r="AI143">
        <v>39100018</v>
      </c>
      <c r="AJ143">
        <v>145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ROW(Source!A116)</f>
        <v>116</v>
      </c>
      <c r="B144">
        <v>39100022</v>
      </c>
      <c r="C144">
        <v>39100016</v>
      </c>
      <c r="D144">
        <v>36882452</v>
      </c>
      <c r="E144">
        <v>1</v>
      </c>
      <c r="F144">
        <v>1</v>
      </c>
      <c r="G144">
        <v>1</v>
      </c>
      <c r="H144">
        <v>2</v>
      </c>
      <c r="I144" t="s">
        <v>644</v>
      </c>
      <c r="J144" t="s">
        <v>645</v>
      </c>
      <c r="K144" t="s">
        <v>646</v>
      </c>
      <c r="L144">
        <v>1368</v>
      </c>
      <c r="N144">
        <v>1011</v>
      </c>
      <c r="O144" t="s">
        <v>647</v>
      </c>
      <c r="P144" t="s">
        <v>647</v>
      </c>
      <c r="Q144">
        <v>1</v>
      </c>
      <c r="X144">
        <v>2.2400000000000002</v>
      </c>
      <c r="Y144">
        <v>0</v>
      </c>
      <c r="Z144">
        <v>31.26</v>
      </c>
      <c r="AA144">
        <v>13.5</v>
      </c>
      <c r="AB144">
        <v>0</v>
      </c>
      <c r="AC144">
        <v>0</v>
      </c>
      <c r="AD144">
        <v>1</v>
      </c>
      <c r="AE144">
        <v>0</v>
      </c>
      <c r="AF144" t="s">
        <v>3</v>
      </c>
      <c r="AG144">
        <v>2.2400000000000002</v>
      </c>
      <c r="AH144">
        <v>2</v>
      </c>
      <c r="AI144">
        <v>39100019</v>
      </c>
      <c r="AJ144">
        <v>146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ROW(Source!A117)</f>
        <v>117</v>
      </c>
      <c r="B145">
        <v>39100035</v>
      </c>
      <c r="C145">
        <v>39100023</v>
      </c>
      <c r="D145">
        <v>37070090</v>
      </c>
      <c r="E145">
        <v>1</v>
      </c>
      <c r="F145">
        <v>1</v>
      </c>
      <c r="G145">
        <v>1</v>
      </c>
      <c r="H145">
        <v>1</v>
      </c>
      <c r="I145" t="s">
        <v>709</v>
      </c>
      <c r="J145" t="s">
        <v>3</v>
      </c>
      <c r="K145" t="s">
        <v>710</v>
      </c>
      <c r="L145">
        <v>1191</v>
      </c>
      <c r="N145">
        <v>1013</v>
      </c>
      <c r="O145" t="s">
        <v>641</v>
      </c>
      <c r="P145" t="s">
        <v>641</v>
      </c>
      <c r="Q145">
        <v>1</v>
      </c>
      <c r="X145">
        <v>65.599999999999994</v>
      </c>
      <c r="Y145">
        <v>0</v>
      </c>
      <c r="Z145">
        <v>0</v>
      </c>
      <c r="AA145">
        <v>0</v>
      </c>
      <c r="AB145">
        <v>8.9700000000000006</v>
      </c>
      <c r="AC145">
        <v>0</v>
      </c>
      <c r="AD145">
        <v>1</v>
      </c>
      <c r="AE145">
        <v>1</v>
      </c>
      <c r="AF145" t="s">
        <v>3</v>
      </c>
      <c r="AG145">
        <v>65.599999999999994</v>
      </c>
      <c r="AH145">
        <v>2</v>
      </c>
      <c r="AI145">
        <v>39100024</v>
      </c>
      <c r="AJ145">
        <v>147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ROW(Source!A117)</f>
        <v>117</v>
      </c>
      <c r="B146">
        <v>39100036</v>
      </c>
      <c r="C146">
        <v>39100023</v>
      </c>
      <c r="D146">
        <v>37064876</v>
      </c>
      <c r="E146">
        <v>1</v>
      </c>
      <c r="F146">
        <v>1</v>
      </c>
      <c r="G146">
        <v>1</v>
      </c>
      <c r="H146">
        <v>1</v>
      </c>
      <c r="I146" t="s">
        <v>642</v>
      </c>
      <c r="J146" t="s">
        <v>3</v>
      </c>
      <c r="K146" t="s">
        <v>643</v>
      </c>
      <c r="L146">
        <v>1191</v>
      </c>
      <c r="N146">
        <v>1013</v>
      </c>
      <c r="O146" t="s">
        <v>641</v>
      </c>
      <c r="P146" t="s">
        <v>641</v>
      </c>
      <c r="Q146">
        <v>1</v>
      </c>
      <c r="X146">
        <v>3.13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2</v>
      </c>
      <c r="AF146" t="s">
        <v>3</v>
      </c>
      <c r="AG146">
        <v>3.13</v>
      </c>
      <c r="AH146">
        <v>2</v>
      </c>
      <c r="AI146">
        <v>39100025</v>
      </c>
      <c r="AJ146">
        <v>148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ROW(Source!A117)</f>
        <v>117</v>
      </c>
      <c r="B147">
        <v>39100037</v>
      </c>
      <c r="C147">
        <v>39100023</v>
      </c>
      <c r="D147">
        <v>36882159</v>
      </c>
      <c r="E147">
        <v>1</v>
      </c>
      <c r="F147">
        <v>1</v>
      </c>
      <c r="G147">
        <v>1</v>
      </c>
      <c r="H147">
        <v>2</v>
      </c>
      <c r="I147" t="s">
        <v>765</v>
      </c>
      <c r="J147" t="s">
        <v>766</v>
      </c>
      <c r="K147" t="s">
        <v>767</v>
      </c>
      <c r="L147">
        <v>1368</v>
      </c>
      <c r="N147">
        <v>1011</v>
      </c>
      <c r="O147" t="s">
        <v>647</v>
      </c>
      <c r="P147" t="s">
        <v>647</v>
      </c>
      <c r="Q147">
        <v>1</v>
      </c>
      <c r="X147">
        <v>0.09</v>
      </c>
      <c r="Y147">
        <v>0</v>
      </c>
      <c r="Z147">
        <v>111.99</v>
      </c>
      <c r="AA147">
        <v>13.5</v>
      </c>
      <c r="AB147">
        <v>0</v>
      </c>
      <c r="AC147">
        <v>0</v>
      </c>
      <c r="AD147">
        <v>1</v>
      </c>
      <c r="AE147">
        <v>0</v>
      </c>
      <c r="AF147" t="s">
        <v>3</v>
      </c>
      <c r="AG147">
        <v>0.09</v>
      </c>
      <c r="AH147">
        <v>2</v>
      </c>
      <c r="AI147">
        <v>39100026</v>
      </c>
      <c r="AJ147">
        <v>149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ROW(Source!A117)</f>
        <v>117</v>
      </c>
      <c r="B148">
        <v>39100038</v>
      </c>
      <c r="C148">
        <v>39100023</v>
      </c>
      <c r="D148">
        <v>36882452</v>
      </c>
      <c r="E148">
        <v>1</v>
      </c>
      <c r="F148">
        <v>1</v>
      </c>
      <c r="G148">
        <v>1</v>
      </c>
      <c r="H148">
        <v>2</v>
      </c>
      <c r="I148" t="s">
        <v>644</v>
      </c>
      <c r="J148" t="s">
        <v>645</v>
      </c>
      <c r="K148" t="s">
        <v>646</v>
      </c>
      <c r="L148">
        <v>1368</v>
      </c>
      <c r="N148">
        <v>1011</v>
      </c>
      <c r="O148" t="s">
        <v>647</v>
      </c>
      <c r="P148" t="s">
        <v>647</v>
      </c>
      <c r="Q148">
        <v>1</v>
      </c>
      <c r="X148">
        <v>1.19</v>
      </c>
      <c r="Y148">
        <v>0</v>
      </c>
      <c r="Z148">
        <v>31.26</v>
      </c>
      <c r="AA148">
        <v>13.5</v>
      </c>
      <c r="AB148">
        <v>0</v>
      </c>
      <c r="AC148">
        <v>0</v>
      </c>
      <c r="AD148">
        <v>1</v>
      </c>
      <c r="AE148">
        <v>0</v>
      </c>
      <c r="AF148" t="s">
        <v>3</v>
      </c>
      <c r="AG148">
        <v>1.19</v>
      </c>
      <c r="AH148">
        <v>2</v>
      </c>
      <c r="AI148">
        <v>39100027</v>
      </c>
      <c r="AJ148">
        <v>150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ROW(Source!A117)</f>
        <v>117</v>
      </c>
      <c r="B149">
        <v>39100039</v>
      </c>
      <c r="C149">
        <v>39100023</v>
      </c>
      <c r="D149">
        <v>36883274</v>
      </c>
      <c r="E149">
        <v>1</v>
      </c>
      <c r="F149">
        <v>1</v>
      </c>
      <c r="G149">
        <v>1</v>
      </c>
      <c r="H149">
        <v>2</v>
      </c>
      <c r="I149" t="s">
        <v>768</v>
      </c>
      <c r="J149" t="s">
        <v>769</v>
      </c>
      <c r="K149" t="s">
        <v>770</v>
      </c>
      <c r="L149">
        <v>1368</v>
      </c>
      <c r="N149">
        <v>1011</v>
      </c>
      <c r="O149" t="s">
        <v>647</v>
      </c>
      <c r="P149" t="s">
        <v>647</v>
      </c>
      <c r="Q149">
        <v>1</v>
      </c>
      <c r="X149">
        <v>0.8</v>
      </c>
      <c r="Y149">
        <v>0</v>
      </c>
      <c r="Z149">
        <v>29.67</v>
      </c>
      <c r="AA149">
        <v>0</v>
      </c>
      <c r="AB149">
        <v>0</v>
      </c>
      <c r="AC149">
        <v>0</v>
      </c>
      <c r="AD149">
        <v>1</v>
      </c>
      <c r="AE149">
        <v>0</v>
      </c>
      <c r="AF149" t="s">
        <v>3</v>
      </c>
      <c r="AG149">
        <v>0.8</v>
      </c>
      <c r="AH149">
        <v>2</v>
      </c>
      <c r="AI149">
        <v>39100028</v>
      </c>
      <c r="AJ149">
        <v>151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ROW(Source!A117)</f>
        <v>117</v>
      </c>
      <c r="B150">
        <v>39100040</v>
      </c>
      <c r="C150">
        <v>39100023</v>
      </c>
      <c r="D150">
        <v>36883554</v>
      </c>
      <c r="E150">
        <v>1</v>
      </c>
      <c r="F150">
        <v>1</v>
      </c>
      <c r="G150">
        <v>1</v>
      </c>
      <c r="H150">
        <v>2</v>
      </c>
      <c r="I150" t="s">
        <v>665</v>
      </c>
      <c r="J150" t="s">
        <v>666</v>
      </c>
      <c r="K150" t="s">
        <v>667</v>
      </c>
      <c r="L150">
        <v>1368</v>
      </c>
      <c r="N150">
        <v>1011</v>
      </c>
      <c r="O150" t="s">
        <v>647</v>
      </c>
      <c r="P150" t="s">
        <v>647</v>
      </c>
      <c r="Q150">
        <v>1</v>
      </c>
      <c r="X150">
        <v>1.85</v>
      </c>
      <c r="Y150">
        <v>0</v>
      </c>
      <c r="Z150">
        <v>65.709999999999994</v>
      </c>
      <c r="AA150">
        <v>11.6</v>
      </c>
      <c r="AB150">
        <v>0</v>
      </c>
      <c r="AC150">
        <v>0</v>
      </c>
      <c r="AD150">
        <v>1</v>
      </c>
      <c r="AE150">
        <v>0</v>
      </c>
      <c r="AF150" t="s">
        <v>3</v>
      </c>
      <c r="AG150">
        <v>1.85</v>
      </c>
      <c r="AH150">
        <v>2</v>
      </c>
      <c r="AI150">
        <v>39100029</v>
      </c>
      <c r="AJ150">
        <v>152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ROW(Source!A117)</f>
        <v>117</v>
      </c>
      <c r="B151">
        <v>39100041</v>
      </c>
      <c r="C151">
        <v>39100023</v>
      </c>
      <c r="D151">
        <v>36800590</v>
      </c>
      <c r="E151">
        <v>1</v>
      </c>
      <c r="F151">
        <v>1</v>
      </c>
      <c r="G151">
        <v>1</v>
      </c>
      <c r="H151">
        <v>3</v>
      </c>
      <c r="I151" t="s">
        <v>771</v>
      </c>
      <c r="J151" t="s">
        <v>772</v>
      </c>
      <c r="K151" t="s">
        <v>773</v>
      </c>
      <c r="L151">
        <v>1339</v>
      </c>
      <c r="N151">
        <v>1007</v>
      </c>
      <c r="O151" t="s">
        <v>56</v>
      </c>
      <c r="P151" t="s">
        <v>56</v>
      </c>
      <c r="Q151">
        <v>1</v>
      </c>
      <c r="X151">
        <v>0.67</v>
      </c>
      <c r="Y151">
        <v>45.83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3</v>
      </c>
      <c r="AG151">
        <v>0.67</v>
      </c>
      <c r="AH151">
        <v>2</v>
      </c>
      <c r="AI151">
        <v>39100030</v>
      </c>
      <c r="AJ151">
        <v>153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ROW(Source!A117)</f>
        <v>117</v>
      </c>
      <c r="B152">
        <v>39100042</v>
      </c>
      <c r="C152">
        <v>39100023</v>
      </c>
      <c r="D152">
        <v>36801792</v>
      </c>
      <c r="E152">
        <v>1</v>
      </c>
      <c r="F152">
        <v>1</v>
      </c>
      <c r="G152">
        <v>1</v>
      </c>
      <c r="H152">
        <v>3</v>
      </c>
      <c r="I152" t="s">
        <v>650</v>
      </c>
      <c r="J152" t="s">
        <v>651</v>
      </c>
      <c r="K152" t="s">
        <v>652</v>
      </c>
      <c r="L152">
        <v>1339</v>
      </c>
      <c r="N152">
        <v>1007</v>
      </c>
      <c r="O152" t="s">
        <v>56</v>
      </c>
      <c r="P152" t="s">
        <v>56</v>
      </c>
      <c r="Q152">
        <v>1</v>
      </c>
      <c r="X152">
        <v>15</v>
      </c>
      <c r="Y152">
        <v>2.44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0</v>
      </c>
      <c r="AF152" t="s">
        <v>3</v>
      </c>
      <c r="AG152">
        <v>15</v>
      </c>
      <c r="AH152">
        <v>2</v>
      </c>
      <c r="AI152">
        <v>39100031</v>
      </c>
      <c r="AJ152">
        <v>154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ROW(Source!A117)</f>
        <v>117</v>
      </c>
      <c r="B153">
        <v>39100043</v>
      </c>
      <c r="C153">
        <v>39100023</v>
      </c>
      <c r="D153">
        <v>36797518</v>
      </c>
      <c r="E153">
        <v>17</v>
      </c>
      <c r="F153">
        <v>1</v>
      </c>
      <c r="G153">
        <v>1</v>
      </c>
      <c r="H153">
        <v>3</v>
      </c>
      <c r="I153" t="s">
        <v>927</v>
      </c>
      <c r="J153" t="s">
        <v>3</v>
      </c>
      <c r="K153" t="s">
        <v>928</v>
      </c>
      <c r="L153">
        <v>1358</v>
      </c>
      <c r="N153">
        <v>1010</v>
      </c>
      <c r="O153" t="s">
        <v>417</v>
      </c>
      <c r="P153" t="s">
        <v>417</v>
      </c>
      <c r="Q153">
        <v>10</v>
      </c>
      <c r="X153">
        <v>8.9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 t="s">
        <v>3</v>
      </c>
      <c r="AG153">
        <v>8.9</v>
      </c>
      <c r="AH153">
        <v>3</v>
      </c>
      <c r="AI153">
        <v>-1</v>
      </c>
      <c r="AJ153" t="s">
        <v>3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ROW(Source!A117)</f>
        <v>117</v>
      </c>
      <c r="B154">
        <v>39100044</v>
      </c>
      <c r="C154">
        <v>39100023</v>
      </c>
      <c r="D154">
        <v>36796579</v>
      </c>
      <c r="E154">
        <v>17</v>
      </c>
      <c r="F154">
        <v>1</v>
      </c>
      <c r="G154">
        <v>1</v>
      </c>
      <c r="H154">
        <v>3</v>
      </c>
      <c r="I154" t="s">
        <v>929</v>
      </c>
      <c r="J154" t="s">
        <v>3</v>
      </c>
      <c r="K154" t="s">
        <v>930</v>
      </c>
      <c r="L154">
        <v>1348</v>
      </c>
      <c r="N154">
        <v>1009</v>
      </c>
      <c r="O154" t="s">
        <v>189</v>
      </c>
      <c r="P154" t="s">
        <v>189</v>
      </c>
      <c r="Q154">
        <v>1000</v>
      </c>
      <c r="X154">
        <v>4.4999999999999997E-3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 t="s">
        <v>3</v>
      </c>
      <c r="AG154">
        <v>4.4999999999999997E-3</v>
      </c>
      <c r="AH154">
        <v>3</v>
      </c>
      <c r="AI154">
        <v>-1</v>
      </c>
      <c r="AJ154" t="s">
        <v>3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ROW(Source!A117)</f>
        <v>117</v>
      </c>
      <c r="B155">
        <v>39100045</v>
      </c>
      <c r="C155">
        <v>39100023</v>
      </c>
      <c r="D155">
        <v>36847310</v>
      </c>
      <c r="E155">
        <v>1</v>
      </c>
      <c r="F155">
        <v>1</v>
      </c>
      <c r="G155">
        <v>1</v>
      </c>
      <c r="H155">
        <v>3</v>
      </c>
      <c r="I155" t="s">
        <v>774</v>
      </c>
      <c r="J155" t="s">
        <v>775</v>
      </c>
      <c r="K155" t="s">
        <v>776</v>
      </c>
      <c r="L155">
        <v>1035</v>
      </c>
      <c r="N155">
        <v>1013</v>
      </c>
      <c r="O155" t="s">
        <v>777</v>
      </c>
      <c r="P155" t="s">
        <v>777</v>
      </c>
      <c r="Q155">
        <v>1</v>
      </c>
      <c r="X155">
        <v>44.2</v>
      </c>
      <c r="Y155">
        <v>24.75</v>
      </c>
      <c r="Z155">
        <v>0</v>
      </c>
      <c r="AA155">
        <v>0</v>
      </c>
      <c r="AB155">
        <v>0</v>
      </c>
      <c r="AC155">
        <v>0</v>
      </c>
      <c r="AD155">
        <v>1</v>
      </c>
      <c r="AE155">
        <v>0</v>
      </c>
      <c r="AF155" t="s">
        <v>3</v>
      </c>
      <c r="AG155">
        <v>44.2</v>
      </c>
      <c r="AH155">
        <v>2</v>
      </c>
      <c r="AI155">
        <v>39100032</v>
      </c>
      <c r="AJ155">
        <v>155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ROW(Source!A117)</f>
        <v>117</v>
      </c>
      <c r="B156">
        <v>39100046</v>
      </c>
      <c r="C156">
        <v>39100023</v>
      </c>
      <c r="D156">
        <v>36797746</v>
      </c>
      <c r="E156">
        <v>17</v>
      </c>
      <c r="F156">
        <v>1</v>
      </c>
      <c r="G156">
        <v>1</v>
      </c>
      <c r="H156">
        <v>3</v>
      </c>
      <c r="I156" t="s">
        <v>333</v>
      </c>
      <c r="J156" t="s">
        <v>3</v>
      </c>
      <c r="K156" t="s">
        <v>334</v>
      </c>
      <c r="L156">
        <v>1033</v>
      </c>
      <c r="N156">
        <v>1013</v>
      </c>
      <c r="O156" t="s">
        <v>335</v>
      </c>
      <c r="P156" t="s">
        <v>335</v>
      </c>
      <c r="Q156">
        <v>1</v>
      </c>
      <c r="X156">
        <v>100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 t="s">
        <v>3</v>
      </c>
      <c r="AG156">
        <v>100</v>
      </c>
      <c r="AH156">
        <v>2</v>
      </c>
      <c r="AI156">
        <v>39100034</v>
      </c>
      <c r="AJ156">
        <v>157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ROW(Source!A120)</f>
        <v>120</v>
      </c>
      <c r="B157">
        <v>39100058</v>
      </c>
      <c r="C157">
        <v>39100049</v>
      </c>
      <c r="D157">
        <v>37064978</v>
      </c>
      <c r="E157">
        <v>1</v>
      </c>
      <c r="F157">
        <v>1</v>
      </c>
      <c r="G157">
        <v>1</v>
      </c>
      <c r="H157">
        <v>1</v>
      </c>
      <c r="I157" t="s">
        <v>778</v>
      </c>
      <c r="J157" t="s">
        <v>3</v>
      </c>
      <c r="K157" t="s">
        <v>779</v>
      </c>
      <c r="L157">
        <v>1191</v>
      </c>
      <c r="N157">
        <v>1013</v>
      </c>
      <c r="O157" t="s">
        <v>641</v>
      </c>
      <c r="P157" t="s">
        <v>641</v>
      </c>
      <c r="Q157">
        <v>1</v>
      </c>
      <c r="X157">
        <v>71.06</v>
      </c>
      <c r="Y157">
        <v>0</v>
      </c>
      <c r="Z157">
        <v>0</v>
      </c>
      <c r="AA157">
        <v>0</v>
      </c>
      <c r="AB157">
        <v>8.86</v>
      </c>
      <c r="AC157">
        <v>0</v>
      </c>
      <c r="AD157">
        <v>1</v>
      </c>
      <c r="AE157">
        <v>1</v>
      </c>
      <c r="AF157" t="s">
        <v>3</v>
      </c>
      <c r="AG157">
        <v>71.06</v>
      </c>
      <c r="AH157">
        <v>2</v>
      </c>
      <c r="AI157">
        <v>39100050</v>
      </c>
      <c r="AJ157">
        <v>158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ROW(Source!A120)</f>
        <v>120</v>
      </c>
      <c r="B158">
        <v>39100059</v>
      </c>
      <c r="C158">
        <v>39100049</v>
      </c>
      <c r="D158">
        <v>37064876</v>
      </c>
      <c r="E158">
        <v>1</v>
      </c>
      <c r="F158">
        <v>1</v>
      </c>
      <c r="G158">
        <v>1</v>
      </c>
      <c r="H158">
        <v>1</v>
      </c>
      <c r="I158" t="s">
        <v>642</v>
      </c>
      <c r="J158" t="s">
        <v>3</v>
      </c>
      <c r="K158" t="s">
        <v>643</v>
      </c>
      <c r="L158">
        <v>1191</v>
      </c>
      <c r="N158">
        <v>1013</v>
      </c>
      <c r="O158" t="s">
        <v>641</v>
      </c>
      <c r="P158" t="s">
        <v>641</v>
      </c>
      <c r="Q158">
        <v>1</v>
      </c>
      <c r="X158">
        <v>0.04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2</v>
      </c>
      <c r="AF158" t="s">
        <v>3</v>
      </c>
      <c r="AG158">
        <v>0.04</v>
      </c>
      <c r="AH158">
        <v>2</v>
      </c>
      <c r="AI158">
        <v>39100051</v>
      </c>
      <c r="AJ158">
        <v>159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ROW(Source!A120)</f>
        <v>120</v>
      </c>
      <c r="B159">
        <v>39100060</v>
      </c>
      <c r="C159">
        <v>39100049</v>
      </c>
      <c r="D159">
        <v>36882452</v>
      </c>
      <c r="E159">
        <v>1</v>
      </c>
      <c r="F159">
        <v>1</v>
      </c>
      <c r="G159">
        <v>1</v>
      </c>
      <c r="H159">
        <v>2</v>
      </c>
      <c r="I159" t="s">
        <v>644</v>
      </c>
      <c r="J159" t="s">
        <v>645</v>
      </c>
      <c r="K159" t="s">
        <v>646</v>
      </c>
      <c r="L159">
        <v>1368</v>
      </c>
      <c r="N159">
        <v>1011</v>
      </c>
      <c r="O159" t="s">
        <v>647</v>
      </c>
      <c r="P159" t="s">
        <v>647</v>
      </c>
      <c r="Q159">
        <v>1</v>
      </c>
      <c r="X159">
        <v>0.01</v>
      </c>
      <c r="Y159">
        <v>0</v>
      </c>
      <c r="Z159">
        <v>31.26</v>
      </c>
      <c r="AA159">
        <v>13.5</v>
      </c>
      <c r="AB159">
        <v>0</v>
      </c>
      <c r="AC159">
        <v>0</v>
      </c>
      <c r="AD159">
        <v>1</v>
      </c>
      <c r="AE159">
        <v>0</v>
      </c>
      <c r="AF159" t="s">
        <v>3</v>
      </c>
      <c r="AG159">
        <v>0.01</v>
      </c>
      <c r="AH159">
        <v>2</v>
      </c>
      <c r="AI159">
        <v>39100052</v>
      </c>
      <c r="AJ159">
        <v>160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ROW(Source!A120)</f>
        <v>120</v>
      </c>
      <c r="B160">
        <v>39100061</v>
      </c>
      <c r="C160">
        <v>39100049</v>
      </c>
      <c r="D160">
        <v>36883554</v>
      </c>
      <c r="E160">
        <v>1</v>
      </c>
      <c r="F160">
        <v>1</v>
      </c>
      <c r="G160">
        <v>1</v>
      </c>
      <c r="H160">
        <v>2</v>
      </c>
      <c r="I160" t="s">
        <v>665</v>
      </c>
      <c r="J160" t="s">
        <v>666</v>
      </c>
      <c r="K160" t="s">
        <v>667</v>
      </c>
      <c r="L160">
        <v>1368</v>
      </c>
      <c r="N160">
        <v>1011</v>
      </c>
      <c r="O160" t="s">
        <v>647</v>
      </c>
      <c r="P160" t="s">
        <v>647</v>
      </c>
      <c r="Q160">
        <v>1</v>
      </c>
      <c r="X160">
        <v>0.03</v>
      </c>
      <c r="Y160">
        <v>0</v>
      </c>
      <c r="Z160">
        <v>65.709999999999994</v>
      </c>
      <c r="AA160">
        <v>11.6</v>
      </c>
      <c r="AB160">
        <v>0</v>
      </c>
      <c r="AC160">
        <v>0</v>
      </c>
      <c r="AD160">
        <v>1</v>
      </c>
      <c r="AE160">
        <v>0</v>
      </c>
      <c r="AF160" t="s">
        <v>3</v>
      </c>
      <c r="AG160">
        <v>0.03</v>
      </c>
      <c r="AH160">
        <v>2</v>
      </c>
      <c r="AI160">
        <v>39100053</v>
      </c>
      <c r="AJ160">
        <v>161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ROW(Source!A120)</f>
        <v>120</v>
      </c>
      <c r="B161">
        <v>39100062</v>
      </c>
      <c r="C161">
        <v>39100049</v>
      </c>
      <c r="D161">
        <v>36805524</v>
      </c>
      <c r="E161">
        <v>1</v>
      </c>
      <c r="F161">
        <v>1</v>
      </c>
      <c r="G161">
        <v>1</v>
      </c>
      <c r="H161">
        <v>3</v>
      </c>
      <c r="I161" t="s">
        <v>679</v>
      </c>
      <c r="J161" t="s">
        <v>680</v>
      </c>
      <c r="K161" t="s">
        <v>681</v>
      </c>
      <c r="L161">
        <v>1346</v>
      </c>
      <c r="N161">
        <v>1009</v>
      </c>
      <c r="O161" t="s">
        <v>97</v>
      </c>
      <c r="P161" t="s">
        <v>97</v>
      </c>
      <c r="Q161">
        <v>1</v>
      </c>
      <c r="X161">
        <v>0.3</v>
      </c>
      <c r="Y161">
        <v>1.82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3</v>
      </c>
      <c r="AG161">
        <v>0.3</v>
      </c>
      <c r="AH161">
        <v>2</v>
      </c>
      <c r="AI161">
        <v>39100054</v>
      </c>
      <c r="AJ161">
        <v>162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ROW(Source!A120)</f>
        <v>120</v>
      </c>
      <c r="B162">
        <v>39100063</v>
      </c>
      <c r="C162">
        <v>39100049</v>
      </c>
      <c r="D162">
        <v>36797575</v>
      </c>
      <c r="E162">
        <v>17</v>
      </c>
      <c r="F162">
        <v>1</v>
      </c>
      <c r="G162">
        <v>1</v>
      </c>
      <c r="H162">
        <v>3</v>
      </c>
      <c r="I162" t="s">
        <v>341</v>
      </c>
      <c r="J162" t="s">
        <v>3</v>
      </c>
      <c r="K162" t="s">
        <v>342</v>
      </c>
      <c r="L162">
        <v>1348</v>
      </c>
      <c r="N162">
        <v>1009</v>
      </c>
      <c r="O162" t="s">
        <v>189</v>
      </c>
      <c r="P162" t="s">
        <v>189</v>
      </c>
      <c r="Q162">
        <v>1000</v>
      </c>
      <c r="X162">
        <v>2.46E-2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 t="s">
        <v>3</v>
      </c>
      <c r="AG162">
        <v>2.46E-2</v>
      </c>
      <c r="AH162">
        <v>2</v>
      </c>
      <c r="AI162">
        <v>39100055</v>
      </c>
      <c r="AJ162">
        <v>163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ROW(Source!A120)</f>
        <v>120</v>
      </c>
      <c r="B163">
        <v>39100064</v>
      </c>
      <c r="C163">
        <v>39100049</v>
      </c>
      <c r="D163">
        <v>36838954</v>
      </c>
      <c r="E163">
        <v>1</v>
      </c>
      <c r="F163">
        <v>1</v>
      </c>
      <c r="G163">
        <v>1</v>
      </c>
      <c r="H163">
        <v>3</v>
      </c>
      <c r="I163" t="s">
        <v>780</v>
      </c>
      <c r="J163" t="s">
        <v>781</v>
      </c>
      <c r="K163" t="s">
        <v>782</v>
      </c>
      <c r="L163">
        <v>1346</v>
      </c>
      <c r="N163">
        <v>1009</v>
      </c>
      <c r="O163" t="s">
        <v>97</v>
      </c>
      <c r="P163" t="s">
        <v>97</v>
      </c>
      <c r="Q163">
        <v>1</v>
      </c>
      <c r="X163">
        <v>2.7</v>
      </c>
      <c r="Y163">
        <v>32.6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0</v>
      </c>
      <c r="AF163" t="s">
        <v>3</v>
      </c>
      <c r="AG163">
        <v>2.7</v>
      </c>
      <c r="AH163">
        <v>2</v>
      </c>
      <c r="AI163">
        <v>39100057</v>
      </c>
      <c r="AJ163">
        <v>165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ROW(Source!A123)</f>
        <v>123</v>
      </c>
      <c r="B164">
        <v>39100076</v>
      </c>
      <c r="C164">
        <v>39100067</v>
      </c>
      <c r="D164">
        <v>37064928</v>
      </c>
      <c r="E164">
        <v>1</v>
      </c>
      <c r="F164">
        <v>1</v>
      </c>
      <c r="G164">
        <v>1</v>
      </c>
      <c r="H164">
        <v>1</v>
      </c>
      <c r="I164" t="s">
        <v>734</v>
      </c>
      <c r="J164" t="s">
        <v>3</v>
      </c>
      <c r="K164" t="s">
        <v>735</v>
      </c>
      <c r="L164">
        <v>1191</v>
      </c>
      <c r="N164">
        <v>1013</v>
      </c>
      <c r="O164" t="s">
        <v>641</v>
      </c>
      <c r="P164" t="s">
        <v>641</v>
      </c>
      <c r="Q164">
        <v>1</v>
      </c>
      <c r="X164">
        <v>1.47</v>
      </c>
      <c r="Y164">
        <v>0</v>
      </c>
      <c r="Z164">
        <v>0</v>
      </c>
      <c r="AA164">
        <v>0</v>
      </c>
      <c r="AB164">
        <v>9.07</v>
      </c>
      <c r="AC164">
        <v>0</v>
      </c>
      <c r="AD164">
        <v>1</v>
      </c>
      <c r="AE164">
        <v>1</v>
      </c>
      <c r="AF164" t="s">
        <v>3</v>
      </c>
      <c r="AG164">
        <v>1.47</v>
      </c>
      <c r="AH164">
        <v>2</v>
      </c>
      <c r="AI164">
        <v>39100068</v>
      </c>
      <c r="AJ164">
        <v>166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ROW(Source!A123)</f>
        <v>123</v>
      </c>
      <c r="B165">
        <v>39100077</v>
      </c>
      <c r="C165">
        <v>39100067</v>
      </c>
      <c r="D165">
        <v>37064876</v>
      </c>
      <c r="E165">
        <v>1</v>
      </c>
      <c r="F165">
        <v>1</v>
      </c>
      <c r="G165">
        <v>1</v>
      </c>
      <c r="H165">
        <v>1</v>
      </c>
      <c r="I165" t="s">
        <v>642</v>
      </c>
      <c r="J165" t="s">
        <v>3</v>
      </c>
      <c r="K165" t="s">
        <v>643</v>
      </c>
      <c r="L165">
        <v>1191</v>
      </c>
      <c r="N165">
        <v>1013</v>
      </c>
      <c r="O165" t="s">
        <v>641</v>
      </c>
      <c r="P165" t="s">
        <v>641</v>
      </c>
      <c r="Q165">
        <v>1</v>
      </c>
      <c r="X165">
        <v>0.01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2</v>
      </c>
      <c r="AF165" t="s">
        <v>3</v>
      </c>
      <c r="AG165">
        <v>0.01</v>
      </c>
      <c r="AH165">
        <v>2</v>
      </c>
      <c r="AI165">
        <v>39100069</v>
      </c>
      <c r="AJ165">
        <v>167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ROW(Source!A123)</f>
        <v>123</v>
      </c>
      <c r="B166">
        <v>39100078</v>
      </c>
      <c r="C166">
        <v>39100067</v>
      </c>
      <c r="D166">
        <v>36883554</v>
      </c>
      <c r="E166">
        <v>1</v>
      </c>
      <c r="F166">
        <v>1</v>
      </c>
      <c r="G166">
        <v>1</v>
      </c>
      <c r="H166">
        <v>2</v>
      </c>
      <c r="I166" t="s">
        <v>665</v>
      </c>
      <c r="J166" t="s">
        <v>666</v>
      </c>
      <c r="K166" t="s">
        <v>667</v>
      </c>
      <c r="L166">
        <v>1368</v>
      </c>
      <c r="N166">
        <v>1011</v>
      </c>
      <c r="O166" t="s">
        <v>647</v>
      </c>
      <c r="P166" t="s">
        <v>647</v>
      </c>
      <c r="Q166">
        <v>1</v>
      </c>
      <c r="X166">
        <v>0.01</v>
      </c>
      <c r="Y166">
        <v>0</v>
      </c>
      <c r="Z166">
        <v>65.709999999999994</v>
      </c>
      <c r="AA166">
        <v>11.6</v>
      </c>
      <c r="AB166">
        <v>0</v>
      </c>
      <c r="AC166">
        <v>0</v>
      </c>
      <c r="AD166">
        <v>1</v>
      </c>
      <c r="AE166">
        <v>0</v>
      </c>
      <c r="AF166" t="s">
        <v>3</v>
      </c>
      <c r="AG166">
        <v>0.01</v>
      </c>
      <c r="AH166">
        <v>2</v>
      </c>
      <c r="AI166">
        <v>39100070</v>
      </c>
      <c r="AJ166">
        <v>168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ROW(Source!A123)</f>
        <v>123</v>
      </c>
      <c r="B167">
        <v>39100079</v>
      </c>
      <c r="C167">
        <v>39100067</v>
      </c>
      <c r="D167">
        <v>36883858</v>
      </c>
      <c r="E167">
        <v>1</v>
      </c>
      <c r="F167">
        <v>1</v>
      </c>
      <c r="G167">
        <v>1</v>
      </c>
      <c r="H167">
        <v>2</v>
      </c>
      <c r="I167" t="s">
        <v>783</v>
      </c>
      <c r="J167" t="s">
        <v>784</v>
      </c>
      <c r="K167" t="s">
        <v>785</v>
      </c>
      <c r="L167">
        <v>1368</v>
      </c>
      <c r="N167">
        <v>1011</v>
      </c>
      <c r="O167" t="s">
        <v>647</v>
      </c>
      <c r="P167" t="s">
        <v>647</v>
      </c>
      <c r="Q167">
        <v>1</v>
      </c>
      <c r="X167">
        <v>0.35</v>
      </c>
      <c r="Y167">
        <v>0</v>
      </c>
      <c r="Z167">
        <v>8.1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3</v>
      </c>
      <c r="AG167">
        <v>0.35</v>
      </c>
      <c r="AH167">
        <v>2</v>
      </c>
      <c r="AI167">
        <v>39100071</v>
      </c>
      <c r="AJ167">
        <v>169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ROW(Source!A123)</f>
        <v>123</v>
      </c>
      <c r="B168">
        <v>39100080</v>
      </c>
      <c r="C168">
        <v>39100067</v>
      </c>
      <c r="D168">
        <v>36799773</v>
      </c>
      <c r="E168">
        <v>1</v>
      </c>
      <c r="F168">
        <v>1</v>
      </c>
      <c r="G168">
        <v>1</v>
      </c>
      <c r="H168">
        <v>3</v>
      </c>
      <c r="I168" t="s">
        <v>786</v>
      </c>
      <c r="J168" t="s">
        <v>787</v>
      </c>
      <c r="K168" t="s">
        <v>788</v>
      </c>
      <c r="L168">
        <v>1356</v>
      </c>
      <c r="N168">
        <v>1010</v>
      </c>
      <c r="O168" t="s">
        <v>690</v>
      </c>
      <c r="P168" t="s">
        <v>690</v>
      </c>
      <c r="Q168">
        <v>1000</v>
      </c>
      <c r="X168">
        <v>2E-3</v>
      </c>
      <c r="Y168">
        <v>3450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3</v>
      </c>
      <c r="AG168">
        <v>2E-3</v>
      </c>
      <c r="AH168">
        <v>2</v>
      </c>
      <c r="AI168">
        <v>39100072</v>
      </c>
      <c r="AJ168">
        <v>170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ROW(Source!A123)</f>
        <v>123</v>
      </c>
      <c r="B169">
        <v>39100081</v>
      </c>
      <c r="C169">
        <v>39100067</v>
      </c>
      <c r="D169">
        <v>36803269</v>
      </c>
      <c r="E169">
        <v>1</v>
      </c>
      <c r="F169">
        <v>1</v>
      </c>
      <c r="G169">
        <v>1</v>
      </c>
      <c r="H169">
        <v>3</v>
      </c>
      <c r="I169" t="s">
        <v>789</v>
      </c>
      <c r="J169" t="s">
        <v>790</v>
      </c>
      <c r="K169" t="s">
        <v>791</v>
      </c>
      <c r="L169">
        <v>1348</v>
      </c>
      <c r="N169">
        <v>1009</v>
      </c>
      <c r="O169" t="s">
        <v>189</v>
      </c>
      <c r="P169" t="s">
        <v>189</v>
      </c>
      <c r="Q169">
        <v>1000</v>
      </c>
      <c r="X169">
        <v>1.3999999999999999E-4</v>
      </c>
      <c r="Y169">
        <v>10362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3</v>
      </c>
      <c r="AG169">
        <v>1.3999999999999999E-4</v>
      </c>
      <c r="AH169">
        <v>2</v>
      </c>
      <c r="AI169">
        <v>39100073</v>
      </c>
      <c r="AJ169">
        <v>171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ROW(Source!A123)</f>
        <v>123</v>
      </c>
      <c r="B170">
        <v>39100082</v>
      </c>
      <c r="C170">
        <v>39100067</v>
      </c>
      <c r="D170">
        <v>36804429</v>
      </c>
      <c r="E170">
        <v>1</v>
      </c>
      <c r="F170">
        <v>1</v>
      </c>
      <c r="G170">
        <v>1</v>
      </c>
      <c r="H170">
        <v>3</v>
      </c>
      <c r="I170" t="s">
        <v>792</v>
      </c>
      <c r="J170" t="s">
        <v>793</v>
      </c>
      <c r="K170" t="s">
        <v>794</v>
      </c>
      <c r="L170">
        <v>1348</v>
      </c>
      <c r="N170">
        <v>1009</v>
      </c>
      <c r="O170" t="s">
        <v>189</v>
      </c>
      <c r="P170" t="s">
        <v>189</v>
      </c>
      <c r="Q170">
        <v>1000</v>
      </c>
      <c r="X170">
        <v>1.1000000000000001E-3</v>
      </c>
      <c r="Y170">
        <v>15323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3</v>
      </c>
      <c r="AG170">
        <v>1.1000000000000001E-3</v>
      </c>
      <c r="AH170">
        <v>2</v>
      </c>
      <c r="AI170">
        <v>39100074</v>
      </c>
      <c r="AJ170">
        <v>172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ROW(Source!A123)</f>
        <v>123</v>
      </c>
      <c r="B171">
        <v>39100083</v>
      </c>
      <c r="C171">
        <v>39100067</v>
      </c>
      <c r="D171">
        <v>36797390</v>
      </c>
      <c r="E171">
        <v>17</v>
      </c>
      <c r="F171">
        <v>1</v>
      </c>
      <c r="G171">
        <v>1</v>
      </c>
      <c r="H171">
        <v>3</v>
      </c>
      <c r="I171" t="s">
        <v>933</v>
      </c>
      <c r="J171" t="s">
        <v>3</v>
      </c>
      <c r="K171" t="s">
        <v>934</v>
      </c>
      <c r="L171">
        <v>1354</v>
      </c>
      <c r="N171">
        <v>1010</v>
      </c>
      <c r="O171" t="s">
        <v>37</v>
      </c>
      <c r="P171" t="s">
        <v>37</v>
      </c>
      <c r="Q171">
        <v>1</v>
      </c>
      <c r="X171">
        <v>1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 t="s">
        <v>3</v>
      </c>
      <c r="AG171">
        <v>1</v>
      </c>
      <c r="AH171">
        <v>3</v>
      </c>
      <c r="AI171">
        <v>-1</v>
      </c>
      <c r="AJ171" t="s">
        <v>3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ROW(Source!A123)</f>
        <v>123</v>
      </c>
      <c r="B172">
        <v>39100084</v>
      </c>
      <c r="C172">
        <v>39100067</v>
      </c>
      <c r="D172">
        <v>36796239</v>
      </c>
      <c r="E172">
        <v>17</v>
      </c>
      <c r="F172">
        <v>1</v>
      </c>
      <c r="G172">
        <v>1</v>
      </c>
      <c r="H172">
        <v>3</v>
      </c>
      <c r="I172" t="s">
        <v>935</v>
      </c>
      <c r="J172" t="s">
        <v>3</v>
      </c>
      <c r="K172" t="s">
        <v>936</v>
      </c>
      <c r="L172">
        <v>1354</v>
      </c>
      <c r="N172">
        <v>1010</v>
      </c>
      <c r="O172" t="s">
        <v>37</v>
      </c>
      <c r="P172" t="s">
        <v>37</v>
      </c>
      <c r="Q172">
        <v>1</v>
      </c>
      <c r="X172">
        <v>2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 t="s">
        <v>3</v>
      </c>
      <c r="AG172">
        <v>2</v>
      </c>
      <c r="AH172">
        <v>3</v>
      </c>
      <c r="AI172">
        <v>-1</v>
      </c>
      <c r="AJ172" t="s">
        <v>3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ROW(Source!A125)</f>
        <v>125</v>
      </c>
      <c r="B173">
        <v>39100088</v>
      </c>
      <c r="C173">
        <v>39100086</v>
      </c>
      <c r="D173">
        <v>37065248</v>
      </c>
      <c r="E173">
        <v>1</v>
      </c>
      <c r="F173">
        <v>1</v>
      </c>
      <c r="G173">
        <v>1</v>
      </c>
      <c r="H173">
        <v>1</v>
      </c>
      <c r="I173" t="s">
        <v>648</v>
      </c>
      <c r="J173" t="s">
        <v>3</v>
      </c>
      <c r="K173" t="s">
        <v>649</v>
      </c>
      <c r="L173">
        <v>1191</v>
      </c>
      <c r="N173">
        <v>1013</v>
      </c>
      <c r="O173" t="s">
        <v>641</v>
      </c>
      <c r="P173" t="s">
        <v>641</v>
      </c>
      <c r="Q173">
        <v>1</v>
      </c>
      <c r="X173">
        <v>15.73</v>
      </c>
      <c r="Y173">
        <v>0</v>
      </c>
      <c r="Z173">
        <v>0</v>
      </c>
      <c r="AA173">
        <v>0</v>
      </c>
      <c r="AB173">
        <v>8.5299999999999994</v>
      </c>
      <c r="AC173">
        <v>0</v>
      </c>
      <c r="AD173">
        <v>1</v>
      </c>
      <c r="AE173">
        <v>1</v>
      </c>
      <c r="AF173" t="s">
        <v>3</v>
      </c>
      <c r="AG173">
        <v>15.73</v>
      </c>
      <c r="AH173">
        <v>2</v>
      </c>
      <c r="AI173">
        <v>39100087</v>
      </c>
      <c r="AJ173">
        <v>174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ROW(Source!A161)</f>
        <v>161</v>
      </c>
      <c r="B174">
        <v>39491311</v>
      </c>
      <c r="C174">
        <v>39491310</v>
      </c>
      <c r="D174">
        <v>37070202</v>
      </c>
      <c r="E174">
        <v>1</v>
      </c>
      <c r="F174">
        <v>1</v>
      </c>
      <c r="G174">
        <v>1</v>
      </c>
      <c r="H174">
        <v>1</v>
      </c>
      <c r="I174" t="s">
        <v>717</v>
      </c>
      <c r="J174" t="s">
        <v>3</v>
      </c>
      <c r="K174" t="s">
        <v>718</v>
      </c>
      <c r="L174">
        <v>1191</v>
      </c>
      <c r="N174">
        <v>1013</v>
      </c>
      <c r="O174" t="s">
        <v>641</v>
      </c>
      <c r="P174" t="s">
        <v>641</v>
      </c>
      <c r="Q174">
        <v>1</v>
      </c>
      <c r="X174">
        <v>16.29</v>
      </c>
      <c r="Y174">
        <v>0</v>
      </c>
      <c r="Z174">
        <v>0</v>
      </c>
      <c r="AA174">
        <v>0</v>
      </c>
      <c r="AB174">
        <v>9.51</v>
      </c>
      <c r="AC174">
        <v>0</v>
      </c>
      <c r="AD174">
        <v>1</v>
      </c>
      <c r="AE174">
        <v>1</v>
      </c>
      <c r="AF174" t="s">
        <v>373</v>
      </c>
      <c r="AG174">
        <v>4.8869999999999996</v>
      </c>
      <c r="AH174">
        <v>2</v>
      </c>
      <c r="AI174">
        <v>39491311</v>
      </c>
      <c r="AJ174">
        <v>175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ROW(Source!A161)</f>
        <v>161</v>
      </c>
      <c r="B175">
        <v>39491312</v>
      </c>
      <c r="C175">
        <v>39491310</v>
      </c>
      <c r="D175">
        <v>37064876</v>
      </c>
      <c r="E175">
        <v>1</v>
      </c>
      <c r="F175">
        <v>1</v>
      </c>
      <c r="G175">
        <v>1</v>
      </c>
      <c r="H175">
        <v>1</v>
      </c>
      <c r="I175" t="s">
        <v>642</v>
      </c>
      <c r="J175" t="s">
        <v>3</v>
      </c>
      <c r="K175" t="s">
        <v>643</v>
      </c>
      <c r="L175">
        <v>1191</v>
      </c>
      <c r="N175">
        <v>1013</v>
      </c>
      <c r="O175" t="s">
        <v>641</v>
      </c>
      <c r="P175" t="s">
        <v>641</v>
      </c>
      <c r="Q175">
        <v>1</v>
      </c>
      <c r="X175">
        <v>0.01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2</v>
      </c>
      <c r="AF175" t="s">
        <v>373</v>
      </c>
      <c r="AG175">
        <v>3.0000000000000001E-3</v>
      </c>
      <c r="AH175">
        <v>2</v>
      </c>
      <c r="AI175">
        <v>39491312</v>
      </c>
      <c r="AJ175">
        <v>176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ROW(Source!A161)</f>
        <v>161</v>
      </c>
      <c r="B176">
        <v>39491313</v>
      </c>
      <c r="C176">
        <v>39491310</v>
      </c>
      <c r="D176">
        <v>36882452</v>
      </c>
      <c r="E176">
        <v>1</v>
      </c>
      <c r="F176">
        <v>1</v>
      </c>
      <c r="G176">
        <v>1</v>
      </c>
      <c r="H176">
        <v>2</v>
      </c>
      <c r="I176" t="s">
        <v>644</v>
      </c>
      <c r="J176" t="s">
        <v>645</v>
      </c>
      <c r="K176" t="s">
        <v>646</v>
      </c>
      <c r="L176">
        <v>1368</v>
      </c>
      <c r="N176">
        <v>1011</v>
      </c>
      <c r="O176" t="s">
        <v>647</v>
      </c>
      <c r="P176" t="s">
        <v>647</v>
      </c>
      <c r="Q176">
        <v>1</v>
      </c>
      <c r="X176">
        <v>0.01</v>
      </c>
      <c r="Y176">
        <v>0</v>
      </c>
      <c r="Z176">
        <v>31.26</v>
      </c>
      <c r="AA176">
        <v>13.5</v>
      </c>
      <c r="AB176">
        <v>0</v>
      </c>
      <c r="AC176">
        <v>0</v>
      </c>
      <c r="AD176">
        <v>1</v>
      </c>
      <c r="AE176">
        <v>0</v>
      </c>
      <c r="AF176" t="s">
        <v>373</v>
      </c>
      <c r="AG176">
        <v>3.0000000000000001E-3</v>
      </c>
      <c r="AH176">
        <v>2</v>
      </c>
      <c r="AI176">
        <v>39491313</v>
      </c>
      <c r="AJ176">
        <v>177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ROW(Source!A161)</f>
        <v>161</v>
      </c>
      <c r="B177">
        <v>39491314</v>
      </c>
      <c r="C177">
        <v>39491310</v>
      </c>
      <c r="D177">
        <v>36804582</v>
      </c>
      <c r="E177">
        <v>1</v>
      </c>
      <c r="F177">
        <v>1</v>
      </c>
      <c r="G177">
        <v>1</v>
      </c>
      <c r="H177">
        <v>3</v>
      </c>
      <c r="I177" t="s">
        <v>795</v>
      </c>
      <c r="J177" t="s">
        <v>796</v>
      </c>
      <c r="K177" t="s">
        <v>797</v>
      </c>
      <c r="L177">
        <v>1356</v>
      </c>
      <c r="N177">
        <v>1010</v>
      </c>
      <c r="O177" t="s">
        <v>690</v>
      </c>
      <c r="P177" t="s">
        <v>690</v>
      </c>
      <c r="Q177">
        <v>1000</v>
      </c>
      <c r="X177">
        <v>0.2</v>
      </c>
      <c r="Y177">
        <v>180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210</v>
      </c>
      <c r="AG177">
        <v>0</v>
      </c>
      <c r="AH177">
        <v>2</v>
      </c>
      <c r="AI177">
        <v>39491314</v>
      </c>
      <c r="AJ177">
        <v>178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ROW(Source!A161)</f>
        <v>161</v>
      </c>
      <c r="B178">
        <v>39491315</v>
      </c>
      <c r="C178">
        <v>39491310</v>
      </c>
      <c r="D178">
        <v>36804944</v>
      </c>
      <c r="E178">
        <v>1</v>
      </c>
      <c r="F178">
        <v>1</v>
      </c>
      <c r="G178">
        <v>1</v>
      </c>
      <c r="H178">
        <v>3</v>
      </c>
      <c r="I178" t="s">
        <v>798</v>
      </c>
      <c r="J178" t="s">
        <v>799</v>
      </c>
      <c r="K178" t="s">
        <v>800</v>
      </c>
      <c r="L178">
        <v>1348</v>
      </c>
      <c r="N178">
        <v>1009</v>
      </c>
      <c r="O178" t="s">
        <v>189</v>
      </c>
      <c r="P178" t="s">
        <v>189</v>
      </c>
      <c r="Q178">
        <v>1000</v>
      </c>
      <c r="X178">
        <v>1E-3</v>
      </c>
      <c r="Y178">
        <v>12430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0</v>
      </c>
      <c r="AF178" t="s">
        <v>210</v>
      </c>
      <c r="AG178">
        <v>0</v>
      </c>
      <c r="AH178">
        <v>2</v>
      </c>
      <c r="AI178">
        <v>39491315</v>
      </c>
      <c r="AJ178">
        <v>179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ROW(Source!A161)</f>
        <v>161</v>
      </c>
      <c r="B179">
        <v>39491316</v>
      </c>
      <c r="C179">
        <v>39491310</v>
      </c>
      <c r="D179">
        <v>36799065</v>
      </c>
      <c r="E179">
        <v>17</v>
      </c>
      <c r="F179">
        <v>1</v>
      </c>
      <c r="G179">
        <v>1</v>
      </c>
      <c r="H179">
        <v>3</v>
      </c>
      <c r="I179" t="s">
        <v>801</v>
      </c>
      <c r="J179" t="s">
        <v>3</v>
      </c>
      <c r="K179" t="s">
        <v>802</v>
      </c>
      <c r="L179">
        <v>1374</v>
      </c>
      <c r="N179">
        <v>1013</v>
      </c>
      <c r="O179" t="s">
        <v>803</v>
      </c>
      <c r="P179" t="s">
        <v>803</v>
      </c>
      <c r="Q179">
        <v>1</v>
      </c>
      <c r="X179">
        <v>3.1</v>
      </c>
      <c r="Y179">
        <v>1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0</v>
      </c>
      <c r="AF179" t="s">
        <v>210</v>
      </c>
      <c r="AG179">
        <v>0</v>
      </c>
      <c r="AH179">
        <v>2</v>
      </c>
      <c r="AI179">
        <v>39491316</v>
      </c>
      <c r="AJ179">
        <v>180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ROW(Source!A162)</f>
        <v>162</v>
      </c>
      <c r="B180">
        <v>39491318</v>
      </c>
      <c r="C180">
        <v>39491317</v>
      </c>
      <c r="D180">
        <v>37080781</v>
      </c>
      <c r="E180">
        <v>1</v>
      </c>
      <c r="F180">
        <v>1</v>
      </c>
      <c r="G180">
        <v>1</v>
      </c>
      <c r="H180">
        <v>1</v>
      </c>
      <c r="I180" t="s">
        <v>804</v>
      </c>
      <c r="J180" t="s">
        <v>3</v>
      </c>
      <c r="K180" t="s">
        <v>805</v>
      </c>
      <c r="L180">
        <v>1191</v>
      </c>
      <c r="N180">
        <v>1013</v>
      </c>
      <c r="O180" t="s">
        <v>641</v>
      </c>
      <c r="P180" t="s">
        <v>641</v>
      </c>
      <c r="Q180">
        <v>1</v>
      </c>
      <c r="X180">
        <v>148</v>
      </c>
      <c r="Y180">
        <v>0</v>
      </c>
      <c r="Z180">
        <v>0</v>
      </c>
      <c r="AA180">
        <v>0</v>
      </c>
      <c r="AB180">
        <v>9.92</v>
      </c>
      <c r="AC180">
        <v>0</v>
      </c>
      <c r="AD180">
        <v>1</v>
      </c>
      <c r="AE180">
        <v>1</v>
      </c>
      <c r="AF180" t="s">
        <v>373</v>
      </c>
      <c r="AG180">
        <v>44.4</v>
      </c>
      <c r="AH180">
        <v>2</v>
      </c>
      <c r="AI180">
        <v>39491318</v>
      </c>
      <c r="AJ180">
        <v>181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ROW(Source!A162)</f>
        <v>162</v>
      </c>
      <c r="B181">
        <v>39491319</v>
      </c>
      <c r="C181">
        <v>39491317</v>
      </c>
      <c r="D181">
        <v>37064876</v>
      </c>
      <c r="E181">
        <v>1</v>
      </c>
      <c r="F181">
        <v>1</v>
      </c>
      <c r="G181">
        <v>1</v>
      </c>
      <c r="H181">
        <v>1</v>
      </c>
      <c r="I181" t="s">
        <v>642</v>
      </c>
      <c r="J181" t="s">
        <v>3</v>
      </c>
      <c r="K181" t="s">
        <v>643</v>
      </c>
      <c r="L181">
        <v>1191</v>
      </c>
      <c r="N181">
        <v>1013</v>
      </c>
      <c r="O181" t="s">
        <v>641</v>
      </c>
      <c r="P181" t="s">
        <v>641</v>
      </c>
      <c r="Q181">
        <v>1</v>
      </c>
      <c r="X181">
        <v>0.6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2</v>
      </c>
      <c r="AF181" t="s">
        <v>373</v>
      </c>
      <c r="AG181">
        <v>0.18</v>
      </c>
      <c r="AH181">
        <v>2</v>
      </c>
      <c r="AI181">
        <v>39491319</v>
      </c>
      <c r="AJ181">
        <v>182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ROW(Source!A162)</f>
        <v>162</v>
      </c>
      <c r="B182">
        <v>39491320</v>
      </c>
      <c r="C182">
        <v>39491317</v>
      </c>
      <c r="D182">
        <v>36882159</v>
      </c>
      <c r="E182">
        <v>1</v>
      </c>
      <c r="F182">
        <v>1</v>
      </c>
      <c r="G182">
        <v>1</v>
      </c>
      <c r="H182">
        <v>2</v>
      </c>
      <c r="I182" t="s">
        <v>765</v>
      </c>
      <c r="J182" t="s">
        <v>766</v>
      </c>
      <c r="K182" t="s">
        <v>767</v>
      </c>
      <c r="L182">
        <v>1368</v>
      </c>
      <c r="N182">
        <v>1011</v>
      </c>
      <c r="O182" t="s">
        <v>647</v>
      </c>
      <c r="P182" t="s">
        <v>647</v>
      </c>
      <c r="Q182">
        <v>1</v>
      </c>
      <c r="X182">
        <v>0.3</v>
      </c>
      <c r="Y182">
        <v>0</v>
      </c>
      <c r="Z182">
        <v>111.99</v>
      </c>
      <c r="AA182">
        <v>13.5</v>
      </c>
      <c r="AB182">
        <v>0</v>
      </c>
      <c r="AC182">
        <v>0</v>
      </c>
      <c r="AD182">
        <v>1</v>
      </c>
      <c r="AE182">
        <v>0</v>
      </c>
      <c r="AF182" t="s">
        <v>373</v>
      </c>
      <c r="AG182">
        <v>0.09</v>
      </c>
      <c r="AH182">
        <v>2</v>
      </c>
      <c r="AI182">
        <v>39491320</v>
      </c>
      <c r="AJ182">
        <v>183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ROW(Source!A162)</f>
        <v>162</v>
      </c>
      <c r="B183">
        <v>39491321</v>
      </c>
      <c r="C183">
        <v>39491317</v>
      </c>
      <c r="D183">
        <v>36883554</v>
      </c>
      <c r="E183">
        <v>1</v>
      </c>
      <c r="F183">
        <v>1</v>
      </c>
      <c r="G183">
        <v>1</v>
      </c>
      <c r="H183">
        <v>2</v>
      </c>
      <c r="I183" t="s">
        <v>665</v>
      </c>
      <c r="J183" t="s">
        <v>666</v>
      </c>
      <c r="K183" t="s">
        <v>667</v>
      </c>
      <c r="L183">
        <v>1368</v>
      </c>
      <c r="N183">
        <v>1011</v>
      </c>
      <c r="O183" t="s">
        <v>647</v>
      </c>
      <c r="P183" t="s">
        <v>647</v>
      </c>
      <c r="Q183">
        <v>1</v>
      </c>
      <c r="X183">
        <v>0.3</v>
      </c>
      <c r="Y183">
        <v>0</v>
      </c>
      <c r="Z183">
        <v>65.709999999999994</v>
      </c>
      <c r="AA183">
        <v>11.6</v>
      </c>
      <c r="AB183">
        <v>0</v>
      </c>
      <c r="AC183">
        <v>0</v>
      </c>
      <c r="AD183">
        <v>1</v>
      </c>
      <c r="AE183">
        <v>0</v>
      </c>
      <c r="AF183" t="s">
        <v>373</v>
      </c>
      <c r="AG183">
        <v>0.09</v>
      </c>
      <c r="AH183">
        <v>2</v>
      </c>
      <c r="AI183">
        <v>39491321</v>
      </c>
      <c r="AJ183">
        <v>184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ROW(Source!A162)</f>
        <v>162</v>
      </c>
      <c r="B184">
        <v>39491322</v>
      </c>
      <c r="C184">
        <v>39491317</v>
      </c>
      <c r="D184">
        <v>36806488</v>
      </c>
      <c r="E184">
        <v>1</v>
      </c>
      <c r="F184">
        <v>1</v>
      </c>
      <c r="G184">
        <v>1</v>
      </c>
      <c r="H184">
        <v>3</v>
      </c>
      <c r="I184" t="s">
        <v>653</v>
      </c>
      <c r="J184" t="s">
        <v>654</v>
      </c>
      <c r="K184" t="s">
        <v>655</v>
      </c>
      <c r="L184">
        <v>1348</v>
      </c>
      <c r="N184">
        <v>1009</v>
      </c>
      <c r="O184" t="s">
        <v>189</v>
      </c>
      <c r="P184" t="s">
        <v>189</v>
      </c>
      <c r="Q184">
        <v>1000</v>
      </c>
      <c r="X184">
        <v>3.15E-3</v>
      </c>
      <c r="Y184">
        <v>729.98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210</v>
      </c>
      <c r="AG184">
        <v>0</v>
      </c>
      <c r="AH184">
        <v>2</v>
      </c>
      <c r="AI184">
        <v>39491322</v>
      </c>
      <c r="AJ184">
        <v>185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ROW(Source!A162)</f>
        <v>162</v>
      </c>
      <c r="B185">
        <v>39491323</v>
      </c>
      <c r="C185">
        <v>39491317</v>
      </c>
      <c r="D185">
        <v>36867794</v>
      </c>
      <c r="E185">
        <v>1</v>
      </c>
      <c r="F185">
        <v>1</v>
      </c>
      <c r="G185">
        <v>1</v>
      </c>
      <c r="H185">
        <v>3</v>
      </c>
      <c r="I185" t="s">
        <v>806</v>
      </c>
      <c r="J185" t="s">
        <v>807</v>
      </c>
      <c r="K185" t="s">
        <v>808</v>
      </c>
      <c r="L185">
        <v>1346</v>
      </c>
      <c r="N185">
        <v>1009</v>
      </c>
      <c r="O185" t="s">
        <v>97</v>
      </c>
      <c r="P185" t="s">
        <v>97</v>
      </c>
      <c r="Q185">
        <v>1</v>
      </c>
      <c r="X185">
        <v>3.09</v>
      </c>
      <c r="Y185">
        <v>35.700000000000003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0</v>
      </c>
      <c r="AF185" t="s">
        <v>210</v>
      </c>
      <c r="AG185">
        <v>0</v>
      </c>
      <c r="AH185">
        <v>2</v>
      </c>
      <c r="AI185">
        <v>39491323</v>
      </c>
      <c r="AJ185">
        <v>186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ROW(Source!A162)</f>
        <v>162</v>
      </c>
      <c r="B186">
        <v>39491324</v>
      </c>
      <c r="C186">
        <v>39491317</v>
      </c>
      <c r="D186">
        <v>36799065</v>
      </c>
      <c r="E186">
        <v>17</v>
      </c>
      <c r="F186">
        <v>1</v>
      </c>
      <c r="G186">
        <v>1</v>
      </c>
      <c r="H186">
        <v>3</v>
      </c>
      <c r="I186" t="s">
        <v>801</v>
      </c>
      <c r="J186" t="s">
        <v>3</v>
      </c>
      <c r="K186" t="s">
        <v>802</v>
      </c>
      <c r="L186">
        <v>1374</v>
      </c>
      <c r="N186">
        <v>1013</v>
      </c>
      <c r="O186" t="s">
        <v>803</v>
      </c>
      <c r="P186" t="s">
        <v>803</v>
      </c>
      <c r="Q186">
        <v>1</v>
      </c>
      <c r="X186">
        <v>29.36</v>
      </c>
      <c r="Y186">
        <v>1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210</v>
      </c>
      <c r="AG186">
        <v>0</v>
      </c>
      <c r="AH186">
        <v>2</v>
      </c>
      <c r="AI186">
        <v>39491324</v>
      </c>
      <c r="AJ186">
        <v>187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ROW(Source!A163)</f>
        <v>163</v>
      </c>
      <c r="B187">
        <v>39491342</v>
      </c>
      <c r="C187">
        <v>39491326</v>
      </c>
      <c r="D187">
        <v>37070244</v>
      </c>
      <c r="E187">
        <v>1</v>
      </c>
      <c r="F187">
        <v>1</v>
      </c>
      <c r="G187">
        <v>1</v>
      </c>
      <c r="H187">
        <v>1</v>
      </c>
      <c r="I187" t="s">
        <v>809</v>
      </c>
      <c r="J187" t="s">
        <v>3</v>
      </c>
      <c r="K187" t="s">
        <v>810</v>
      </c>
      <c r="L187">
        <v>1191</v>
      </c>
      <c r="N187">
        <v>1013</v>
      </c>
      <c r="O187" t="s">
        <v>641</v>
      </c>
      <c r="P187" t="s">
        <v>641</v>
      </c>
      <c r="Q187">
        <v>1</v>
      </c>
      <c r="X187">
        <v>2.09</v>
      </c>
      <c r="Y187">
        <v>0</v>
      </c>
      <c r="Z187">
        <v>0</v>
      </c>
      <c r="AA187">
        <v>0</v>
      </c>
      <c r="AB187">
        <v>10.35</v>
      </c>
      <c r="AC187">
        <v>0</v>
      </c>
      <c r="AD187">
        <v>1</v>
      </c>
      <c r="AE187">
        <v>1</v>
      </c>
      <c r="AF187" t="s">
        <v>387</v>
      </c>
      <c r="AG187">
        <v>1.2539999999999998</v>
      </c>
      <c r="AH187">
        <v>2</v>
      </c>
      <c r="AI187">
        <v>39491327</v>
      </c>
      <c r="AJ187">
        <v>188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ROW(Source!A163)</f>
        <v>163</v>
      </c>
      <c r="B188">
        <v>39491343</v>
      </c>
      <c r="C188">
        <v>39491326</v>
      </c>
      <c r="D188">
        <v>36883858</v>
      </c>
      <c r="E188">
        <v>1</v>
      </c>
      <c r="F188">
        <v>1</v>
      </c>
      <c r="G188">
        <v>1</v>
      </c>
      <c r="H188">
        <v>2</v>
      </c>
      <c r="I188" t="s">
        <v>783</v>
      </c>
      <c r="J188" t="s">
        <v>784</v>
      </c>
      <c r="K188" t="s">
        <v>785</v>
      </c>
      <c r="L188">
        <v>1368</v>
      </c>
      <c r="N188">
        <v>1011</v>
      </c>
      <c r="O188" t="s">
        <v>647</v>
      </c>
      <c r="P188" t="s">
        <v>647</v>
      </c>
      <c r="Q188">
        <v>1</v>
      </c>
      <c r="X188">
        <v>0.06</v>
      </c>
      <c r="Y188">
        <v>0</v>
      </c>
      <c r="Z188">
        <v>8.1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387</v>
      </c>
      <c r="AG188">
        <v>3.5999999999999997E-2</v>
      </c>
      <c r="AH188">
        <v>2</v>
      </c>
      <c r="AI188">
        <v>39491328</v>
      </c>
      <c r="AJ188">
        <v>189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ROW(Source!A163)</f>
        <v>163</v>
      </c>
      <c r="B189">
        <v>39491344</v>
      </c>
      <c r="C189">
        <v>39491326</v>
      </c>
      <c r="D189">
        <v>36884526</v>
      </c>
      <c r="E189">
        <v>1</v>
      </c>
      <c r="F189">
        <v>1</v>
      </c>
      <c r="G189">
        <v>1</v>
      </c>
      <c r="H189">
        <v>2</v>
      </c>
      <c r="I189" t="s">
        <v>811</v>
      </c>
      <c r="J189" t="s">
        <v>812</v>
      </c>
      <c r="K189" t="s">
        <v>813</v>
      </c>
      <c r="L189">
        <v>1368</v>
      </c>
      <c r="N189">
        <v>1011</v>
      </c>
      <c r="O189" t="s">
        <v>647</v>
      </c>
      <c r="P189" t="s">
        <v>647</v>
      </c>
      <c r="Q189">
        <v>1</v>
      </c>
      <c r="X189">
        <v>0.09</v>
      </c>
      <c r="Y189">
        <v>0</v>
      </c>
      <c r="Z189">
        <v>1.1100000000000001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387</v>
      </c>
      <c r="AG189">
        <v>5.3999999999999999E-2</v>
      </c>
      <c r="AH189">
        <v>2</v>
      </c>
      <c r="AI189">
        <v>39491329</v>
      </c>
      <c r="AJ189">
        <v>190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ROW(Source!A163)</f>
        <v>163</v>
      </c>
      <c r="B190">
        <v>39491345</v>
      </c>
      <c r="C190">
        <v>39491326</v>
      </c>
      <c r="D190">
        <v>36800043</v>
      </c>
      <c r="E190">
        <v>1</v>
      </c>
      <c r="F190">
        <v>1</v>
      </c>
      <c r="G190">
        <v>1</v>
      </c>
      <c r="H190">
        <v>3</v>
      </c>
      <c r="I190" t="s">
        <v>814</v>
      </c>
      <c r="J190" t="s">
        <v>815</v>
      </c>
      <c r="K190" t="s">
        <v>816</v>
      </c>
      <c r="L190">
        <v>1346</v>
      </c>
      <c r="N190">
        <v>1009</v>
      </c>
      <c r="O190" t="s">
        <v>97</v>
      </c>
      <c r="P190" t="s">
        <v>97</v>
      </c>
      <c r="Q190">
        <v>1</v>
      </c>
      <c r="X190">
        <v>6.0000000000000001E-3</v>
      </c>
      <c r="Y190">
        <v>44.97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210</v>
      </c>
      <c r="AG190">
        <v>0</v>
      </c>
      <c r="AH190">
        <v>2</v>
      </c>
      <c r="AI190">
        <v>39491330</v>
      </c>
      <c r="AJ190">
        <v>191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ROW(Source!A163)</f>
        <v>163</v>
      </c>
      <c r="B191">
        <v>39491346</v>
      </c>
      <c r="C191">
        <v>39491326</v>
      </c>
      <c r="D191">
        <v>36801775</v>
      </c>
      <c r="E191">
        <v>1</v>
      </c>
      <c r="F191">
        <v>1</v>
      </c>
      <c r="G191">
        <v>1</v>
      </c>
      <c r="H191">
        <v>3</v>
      </c>
      <c r="I191" t="s">
        <v>817</v>
      </c>
      <c r="J191" t="s">
        <v>818</v>
      </c>
      <c r="K191" t="s">
        <v>819</v>
      </c>
      <c r="L191">
        <v>1346</v>
      </c>
      <c r="N191">
        <v>1009</v>
      </c>
      <c r="O191" t="s">
        <v>97</v>
      </c>
      <c r="P191" t="s">
        <v>97</v>
      </c>
      <c r="Q191">
        <v>1</v>
      </c>
      <c r="X191">
        <v>2E-3</v>
      </c>
      <c r="Y191">
        <v>11.5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0</v>
      </c>
      <c r="AF191" t="s">
        <v>210</v>
      </c>
      <c r="AG191">
        <v>0</v>
      </c>
      <c r="AH191">
        <v>2</v>
      </c>
      <c r="AI191">
        <v>39491331</v>
      </c>
      <c r="AJ191">
        <v>192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ROW(Source!A163)</f>
        <v>163</v>
      </c>
      <c r="B192">
        <v>39491347</v>
      </c>
      <c r="C192">
        <v>39491326</v>
      </c>
      <c r="D192">
        <v>36802094</v>
      </c>
      <c r="E192">
        <v>1</v>
      </c>
      <c r="F192">
        <v>1</v>
      </c>
      <c r="G192">
        <v>1</v>
      </c>
      <c r="H192">
        <v>3</v>
      </c>
      <c r="I192" t="s">
        <v>820</v>
      </c>
      <c r="J192" t="s">
        <v>821</v>
      </c>
      <c r="K192" t="s">
        <v>822</v>
      </c>
      <c r="L192">
        <v>1346</v>
      </c>
      <c r="N192">
        <v>1009</v>
      </c>
      <c r="O192" t="s">
        <v>97</v>
      </c>
      <c r="P192" t="s">
        <v>97</v>
      </c>
      <c r="Q192">
        <v>1</v>
      </c>
      <c r="X192">
        <v>2.4E-2</v>
      </c>
      <c r="Y192">
        <v>30.4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210</v>
      </c>
      <c r="AG192">
        <v>0</v>
      </c>
      <c r="AH192">
        <v>2</v>
      </c>
      <c r="AI192">
        <v>39491332</v>
      </c>
      <c r="AJ192">
        <v>193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ROW(Source!A163)</f>
        <v>163</v>
      </c>
      <c r="B193">
        <v>39491348</v>
      </c>
      <c r="C193">
        <v>39491326</v>
      </c>
      <c r="D193">
        <v>36803258</v>
      </c>
      <c r="E193">
        <v>1</v>
      </c>
      <c r="F193">
        <v>1</v>
      </c>
      <c r="G193">
        <v>1</v>
      </c>
      <c r="H193">
        <v>3</v>
      </c>
      <c r="I193" t="s">
        <v>823</v>
      </c>
      <c r="J193" t="s">
        <v>824</v>
      </c>
      <c r="K193" t="s">
        <v>825</v>
      </c>
      <c r="L193">
        <v>1346</v>
      </c>
      <c r="N193">
        <v>1009</v>
      </c>
      <c r="O193" t="s">
        <v>97</v>
      </c>
      <c r="P193" t="s">
        <v>97</v>
      </c>
      <c r="Q193">
        <v>1</v>
      </c>
      <c r="X193">
        <v>7.0000000000000007E-2</v>
      </c>
      <c r="Y193">
        <v>10.57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210</v>
      </c>
      <c r="AG193">
        <v>0</v>
      </c>
      <c r="AH193">
        <v>2</v>
      </c>
      <c r="AI193">
        <v>39491333</v>
      </c>
      <c r="AJ193">
        <v>194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ROW(Source!A163)</f>
        <v>163</v>
      </c>
      <c r="B194">
        <v>39491349</v>
      </c>
      <c r="C194">
        <v>39491326</v>
      </c>
      <c r="D194">
        <v>36804448</v>
      </c>
      <c r="E194">
        <v>1</v>
      </c>
      <c r="F194">
        <v>1</v>
      </c>
      <c r="G194">
        <v>1</v>
      </c>
      <c r="H194">
        <v>3</v>
      </c>
      <c r="I194" t="s">
        <v>826</v>
      </c>
      <c r="J194" t="s">
        <v>827</v>
      </c>
      <c r="K194" t="s">
        <v>828</v>
      </c>
      <c r="L194">
        <v>1346</v>
      </c>
      <c r="N194">
        <v>1009</v>
      </c>
      <c r="O194" t="s">
        <v>97</v>
      </c>
      <c r="P194" t="s">
        <v>97</v>
      </c>
      <c r="Q194">
        <v>1</v>
      </c>
      <c r="X194">
        <v>0.14000000000000001</v>
      </c>
      <c r="Y194">
        <v>9.0399999999999991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0</v>
      </c>
      <c r="AF194" t="s">
        <v>210</v>
      </c>
      <c r="AG194">
        <v>0</v>
      </c>
      <c r="AH194">
        <v>2</v>
      </c>
      <c r="AI194">
        <v>39491334</v>
      </c>
      <c r="AJ194">
        <v>195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ROW(Source!A163)</f>
        <v>163</v>
      </c>
      <c r="B195">
        <v>39491350</v>
      </c>
      <c r="C195">
        <v>39491326</v>
      </c>
      <c r="D195">
        <v>36804580</v>
      </c>
      <c r="E195">
        <v>1</v>
      </c>
      <c r="F195">
        <v>1</v>
      </c>
      <c r="G195">
        <v>1</v>
      </c>
      <c r="H195">
        <v>3</v>
      </c>
      <c r="I195" t="s">
        <v>829</v>
      </c>
      <c r="J195" t="s">
        <v>830</v>
      </c>
      <c r="K195" t="s">
        <v>831</v>
      </c>
      <c r="L195">
        <v>1355</v>
      </c>
      <c r="N195">
        <v>1010</v>
      </c>
      <c r="O195" t="s">
        <v>120</v>
      </c>
      <c r="P195" t="s">
        <v>120</v>
      </c>
      <c r="Q195">
        <v>100</v>
      </c>
      <c r="X195">
        <v>7.0000000000000001E-3</v>
      </c>
      <c r="Y195">
        <v>86</v>
      </c>
      <c r="Z195">
        <v>0</v>
      </c>
      <c r="AA195">
        <v>0</v>
      </c>
      <c r="AB195">
        <v>0</v>
      </c>
      <c r="AC195">
        <v>0</v>
      </c>
      <c r="AD195">
        <v>1</v>
      </c>
      <c r="AE195">
        <v>0</v>
      </c>
      <c r="AF195" t="s">
        <v>210</v>
      </c>
      <c r="AG195">
        <v>0</v>
      </c>
      <c r="AH195">
        <v>2</v>
      </c>
      <c r="AI195">
        <v>39491335</v>
      </c>
      <c r="AJ195">
        <v>196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ROW(Source!A163)</f>
        <v>163</v>
      </c>
      <c r="B196">
        <v>39491351</v>
      </c>
      <c r="C196">
        <v>39491326</v>
      </c>
      <c r="D196">
        <v>36805500</v>
      </c>
      <c r="E196">
        <v>1</v>
      </c>
      <c r="F196">
        <v>1</v>
      </c>
      <c r="G196">
        <v>1</v>
      </c>
      <c r="H196">
        <v>3</v>
      </c>
      <c r="I196" t="s">
        <v>832</v>
      </c>
      <c r="J196" t="s">
        <v>833</v>
      </c>
      <c r="K196" t="s">
        <v>834</v>
      </c>
      <c r="L196">
        <v>1346</v>
      </c>
      <c r="N196">
        <v>1009</v>
      </c>
      <c r="O196" t="s">
        <v>97</v>
      </c>
      <c r="P196" t="s">
        <v>97</v>
      </c>
      <c r="Q196">
        <v>1</v>
      </c>
      <c r="X196">
        <v>2E-3</v>
      </c>
      <c r="Y196">
        <v>133.05000000000001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0</v>
      </c>
      <c r="AF196" t="s">
        <v>210</v>
      </c>
      <c r="AG196">
        <v>0</v>
      </c>
      <c r="AH196">
        <v>2</v>
      </c>
      <c r="AI196">
        <v>39491336</v>
      </c>
      <c r="AJ196">
        <v>197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ROW(Source!A163)</f>
        <v>163</v>
      </c>
      <c r="B197">
        <v>39491352</v>
      </c>
      <c r="C197">
        <v>39491326</v>
      </c>
      <c r="D197">
        <v>36823140</v>
      </c>
      <c r="E197">
        <v>1</v>
      </c>
      <c r="F197">
        <v>1</v>
      </c>
      <c r="G197">
        <v>1</v>
      </c>
      <c r="H197">
        <v>3</v>
      </c>
      <c r="I197" t="s">
        <v>835</v>
      </c>
      <c r="J197" t="s">
        <v>836</v>
      </c>
      <c r="K197" t="s">
        <v>837</v>
      </c>
      <c r="L197">
        <v>1348</v>
      </c>
      <c r="N197">
        <v>1009</v>
      </c>
      <c r="O197" t="s">
        <v>189</v>
      </c>
      <c r="P197" t="s">
        <v>189</v>
      </c>
      <c r="Q197">
        <v>1000</v>
      </c>
      <c r="X197">
        <v>3.0000000000000001E-3</v>
      </c>
      <c r="Y197">
        <v>11500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0</v>
      </c>
      <c r="AF197" t="s">
        <v>210</v>
      </c>
      <c r="AG197">
        <v>0</v>
      </c>
      <c r="AH197">
        <v>2</v>
      </c>
      <c r="AI197">
        <v>39491337</v>
      </c>
      <c r="AJ197">
        <v>198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ROW(Source!A163)</f>
        <v>163</v>
      </c>
      <c r="B198">
        <v>39491353</v>
      </c>
      <c r="C198">
        <v>39491326</v>
      </c>
      <c r="D198">
        <v>36838317</v>
      </c>
      <c r="E198">
        <v>1</v>
      </c>
      <c r="F198">
        <v>1</v>
      </c>
      <c r="G198">
        <v>1</v>
      </c>
      <c r="H198">
        <v>3</v>
      </c>
      <c r="I198" t="s">
        <v>838</v>
      </c>
      <c r="J198" t="s">
        <v>839</v>
      </c>
      <c r="K198" t="s">
        <v>840</v>
      </c>
      <c r="L198">
        <v>1346</v>
      </c>
      <c r="N198">
        <v>1009</v>
      </c>
      <c r="O198" t="s">
        <v>97</v>
      </c>
      <c r="P198" t="s">
        <v>97</v>
      </c>
      <c r="Q198">
        <v>1</v>
      </c>
      <c r="X198">
        <v>1.7999999999999999E-2</v>
      </c>
      <c r="Y198">
        <v>28.6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210</v>
      </c>
      <c r="AG198">
        <v>0</v>
      </c>
      <c r="AH198">
        <v>2</v>
      </c>
      <c r="AI198">
        <v>39491338</v>
      </c>
      <c r="AJ198">
        <v>199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ROW(Source!A163)</f>
        <v>163</v>
      </c>
      <c r="B199">
        <v>39491354</v>
      </c>
      <c r="C199">
        <v>39491326</v>
      </c>
      <c r="D199">
        <v>36838470</v>
      </c>
      <c r="E199">
        <v>1</v>
      </c>
      <c r="F199">
        <v>1</v>
      </c>
      <c r="G199">
        <v>1</v>
      </c>
      <c r="H199">
        <v>3</v>
      </c>
      <c r="I199" t="s">
        <v>841</v>
      </c>
      <c r="J199" t="s">
        <v>842</v>
      </c>
      <c r="K199" t="s">
        <v>843</v>
      </c>
      <c r="L199">
        <v>1346</v>
      </c>
      <c r="N199">
        <v>1009</v>
      </c>
      <c r="O199" t="s">
        <v>97</v>
      </c>
      <c r="P199" t="s">
        <v>97</v>
      </c>
      <c r="Q199">
        <v>1</v>
      </c>
      <c r="X199">
        <v>8.9999999999999993E-3</v>
      </c>
      <c r="Y199">
        <v>35.630000000000003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210</v>
      </c>
      <c r="AG199">
        <v>0</v>
      </c>
      <c r="AH199">
        <v>2</v>
      </c>
      <c r="AI199">
        <v>39491339</v>
      </c>
      <c r="AJ199">
        <v>200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ROW(Source!A163)</f>
        <v>163</v>
      </c>
      <c r="B200">
        <v>39491355</v>
      </c>
      <c r="C200">
        <v>39491326</v>
      </c>
      <c r="D200">
        <v>36851945</v>
      </c>
      <c r="E200">
        <v>1</v>
      </c>
      <c r="F200">
        <v>1</v>
      </c>
      <c r="G200">
        <v>1</v>
      </c>
      <c r="H200">
        <v>3</v>
      </c>
      <c r="I200" t="s">
        <v>844</v>
      </c>
      <c r="J200" t="s">
        <v>845</v>
      </c>
      <c r="K200" t="s">
        <v>846</v>
      </c>
      <c r="L200">
        <v>1358</v>
      </c>
      <c r="N200">
        <v>1010</v>
      </c>
      <c r="O200" t="s">
        <v>417</v>
      </c>
      <c r="P200" t="s">
        <v>417</v>
      </c>
      <c r="Q200">
        <v>10</v>
      </c>
      <c r="X200">
        <v>0.1</v>
      </c>
      <c r="Y200">
        <v>39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210</v>
      </c>
      <c r="AG200">
        <v>0</v>
      </c>
      <c r="AH200">
        <v>2</v>
      </c>
      <c r="AI200">
        <v>39491340</v>
      </c>
      <c r="AJ200">
        <v>201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ROW(Source!A163)</f>
        <v>163</v>
      </c>
      <c r="B201">
        <v>39491356</v>
      </c>
      <c r="C201">
        <v>39491326</v>
      </c>
      <c r="D201">
        <v>36799065</v>
      </c>
      <c r="E201">
        <v>17</v>
      </c>
      <c r="F201">
        <v>1</v>
      </c>
      <c r="G201">
        <v>1</v>
      </c>
      <c r="H201">
        <v>3</v>
      </c>
      <c r="I201" t="s">
        <v>801</v>
      </c>
      <c r="J201" t="s">
        <v>3</v>
      </c>
      <c r="K201" t="s">
        <v>802</v>
      </c>
      <c r="L201">
        <v>1374</v>
      </c>
      <c r="N201">
        <v>1013</v>
      </c>
      <c r="O201" t="s">
        <v>803</v>
      </c>
      <c r="P201" t="s">
        <v>803</v>
      </c>
      <c r="Q201">
        <v>1</v>
      </c>
      <c r="X201">
        <v>0.43</v>
      </c>
      <c r="Y201">
        <v>1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0</v>
      </c>
      <c r="AF201" t="s">
        <v>210</v>
      </c>
      <c r="AG201">
        <v>0</v>
      </c>
      <c r="AH201">
        <v>2</v>
      </c>
      <c r="AI201">
        <v>39491341</v>
      </c>
      <c r="AJ201">
        <v>202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ROW(Source!A164)</f>
        <v>164</v>
      </c>
      <c r="B202">
        <v>39492024</v>
      </c>
      <c r="C202">
        <v>39492008</v>
      </c>
      <c r="D202">
        <v>37070244</v>
      </c>
      <c r="E202">
        <v>1</v>
      </c>
      <c r="F202">
        <v>1</v>
      </c>
      <c r="G202">
        <v>1</v>
      </c>
      <c r="H202">
        <v>1</v>
      </c>
      <c r="I202" t="s">
        <v>809</v>
      </c>
      <c r="J202" t="s">
        <v>3</v>
      </c>
      <c r="K202" t="s">
        <v>810</v>
      </c>
      <c r="L202">
        <v>1191</v>
      </c>
      <c r="N202">
        <v>1013</v>
      </c>
      <c r="O202" t="s">
        <v>641</v>
      </c>
      <c r="P202" t="s">
        <v>641</v>
      </c>
      <c r="Q202">
        <v>1</v>
      </c>
      <c r="X202">
        <v>2.09</v>
      </c>
      <c r="Y202">
        <v>0</v>
      </c>
      <c r="Z202">
        <v>0</v>
      </c>
      <c r="AA202">
        <v>0</v>
      </c>
      <c r="AB202">
        <v>10.35</v>
      </c>
      <c r="AC202">
        <v>0</v>
      </c>
      <c r="AD202">
        <v>1</v>
      </c>
      <c r="AE202">
        <v>1</v>
      </c>
      <c r="AF202" t="s">
        <v>3</v>
      </c>
      <c r="AG202">
        <v>2.09</v>
      </c>
      <c r="AH202">
        <v>2</v>
      </c>
      <c r="AI202">
        <v>39492009</v>
      </c>
      <c r="AJ202">
        <v>203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ROW(Source!A164)</f>
        <v>164</v>
      </c>
      <c r="B203">
        <v>39492025</v>
      </c>
      <c r="C203">
        <v>39492008</v>
      </c>
      <c r="D203">
        <v>36883858</v>
      </c>
      <c r="E203">
        <v>1</v>
      </c>
      <c r="F203">
        <v>1</v>
      </c>
      <c r="G203">
        <v>1</v>
      </c>
      <c r="H203">
        <v>2</v>
      </c>
      <c r="I203" t="s">
        <v>783</v>
      </c>
      <c r="J203" t="s">
        <v>784</v>
      </c>
      <c r="K203" t="s">
        <v>785</v>
      </c>
      <c r="L203">
        <v>1368</v>
      </c>
      <c r="N203">
        <v>1011</v>
      </c>
      <c r="O203" t="s">
        <v>647</v>
      </c>
      <c r="P203" t="s">
        <v>647</v>
      </c>
      <c r="Q203">
        <v>1</v>
      </c>
      <c r="X203">
        <v>0.06</v>
      </c>
      <c r="Y203">
        <v>0</v>
      </c>
      <c r="Z203">
        <v>8.1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3</v>
      </c>
      <c r="AG203">
        <v>0.06</v>
      </c>
      <c r="AH203">
        <v>2</v>
      </c>
      <c r="AI203">
        <v>39492010</v>
      </c>
      <c r="AJ203">
        <v>204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ROW(Source!A164)</f>
        <v>164</v>
      </c>
      <c r="B204">
        <v>39492026</v>
      </c>
      <c r="C204">
        <v>39492008</v>
      </c>
      <c r="D204">
        <v>36884526</v>
      </c>
      <c r="E204">
        <v>1</v>
      </c>
      <c r="F204">
        <v>1</v>
      </c>
      <c r="G204">
        <v>1</v>
      </c>
      <c r="H204">
        <v>2</v>
      </c>
      <c r="I204" t="s">
        <v>811</v>
      </c>
      <c r="J204" t="s">
        <v>812</v>
      </c>
      <c r="K204" t="s">
        <v>813</v>
      </c>
      <c r="L204">
        <v>1368</v>
      </c>
      <c r="N204">
        <v>1011</v>
      </c>
      <c r="O204" t="s">
        <v>647</v>
      </c>
      <c r="P204" t="s">
        <v>647</v>
      </c>
      <c r="Q204">
        <v>1</v>
      </c>
      <c r="X204">
        <v>0.09</v>
      </c>
      <c r="Y204">
        <v>0</v>
      </c>
      <c r="Z204">
        <v>1.1100000000000001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3</v>
      </c>
      <c r="AG204">
        <v>0.09</v>
      </c>
      <c r="AH204">
        <v>2</v>
      </c>
      <c r="AI204">
        <v>39492011</v>
      </c>
      <c r="AJ204">
        <v>205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ROW(Source!A164)</f>
        <v>164</v>
      </c>
      <c r="B205">
        <v>39492027</v>
      </c>
      <c r="C205">
        <v>39492008</v>
      </c>
      <c r="D205">
        <v>36800043</v>
      </c>
      <c r="E205">
        <v>1</v>
      </c>
      <c r="F205">
        <v>1</v>
      </c>
      <c r="G205">
        <v>1</v>
      </c>
      <c r="H205">
        <v>3</v>
      </c>
      <c r="I205" t="s">
        <v>814</v>
      </c>
      <c r="J205" t="s">
        <v>815</v>
      </c>
      <c r="K205" t="s">
        <v>816</v>
      </c>
      <c r="L205">
        <v>1346</v>
      </c>
      <c r="N205">
        <v>1009</v>
      </c>
      <c r="O205" t="s">
        <v>97</v>
      </c>
      <c r="P205" t="s">
        <v>97</v>
      </c>
      <c r="Q205">
        <v>1</v>
      </c>
      <c r="X205">
        <v>6.0000000000000001E-3</v>
      </c>
      <c r="Y205">
        <v>44.97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3</v>
      </c>
      <c r="AG205">
        <v>6.0000000000000001E-3</v>
      </c>
      <c r="AH205">
        <v>2</v>
      </c>
      <c r="AI205">
        <v>39492012</v>
      </c>
      <c r="AJ205">
        <v>206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ROW(Source!A164)</f>
        <v>164</v>
      </c>
      <c r="B206">
        <v>39492028</v>
      </c>
      <c r="C206">
        <v>39492008</v>
      </c>
      <c r="D206">
        <v>36801775</v>
      </c>
      <c r="E206">
        <v>1</v>
      </c>
      <c r="F206">
        <v>1</v>
      </c>
      <c r="G206">
        <v>1</v>
      </c>
      <c r="H206">
        <v>3</v>
      </c>
      <c r="I206" t="s">
        <v>817</v>
      </c>
      <c r="J206" t="s">
        <v>818</v>
      </c>
      <c r="K206" t="s">
        <v>819</v>
      </c>
      <c r="L206">
        <v>1346</v>
      </c>
      <c r="N206">
        <v>1009</v>
      </c>
      <c r="O206" t="s">
        <v>97</v>
      </c>
      <c r="P206" t="s">
        <v>97</v>
      </c>
      <c r="Q206">
        <v>1</v>
      </c>
      <c r="X206">
        <v>2E-3</v>
      </c>
      <c r="Y206">
        <v>11.5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3</v>
      </c>
      <c r="AG206">
        <v>2E-3</v>
      </c>
      <c r="AH206">
        <v>2</v>
      </c>
      <c r="AI206">
        <v>39492013</v>
      </c>
      <c r="AJ206">
        <v>207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ROW(Source!A164)</f>
        <v>164</v>
      </c>
      <c r="B207">
        <v>39492029</v>
      </c>
      <c r="C207">
        <v>39492008</v>
      </c>
      <c r="D207">
        <v>36802094</v>
      </c>
      <c r="E207">
        <v>1</v>
      </c>
      <c r="F207">
        <v>1</v>
      </c>
      <c r="G207">
        <v>1</v>
      </c>
      <c r="H207">
        <v>3</v>
      </c>
      <c r="I207" t="s">
        <v>820</v>
      </c>
      <c r="J207" t="s">
        <v>821</v>
      </c>
      <c r="K207" t="s">
        <v>822</v>
      </c>
      <c r="L207">
        <v>1346</v>
      </c>
      <c r="N207">
        <v>1009</v>
      </c>
      <c r="O207" t="s">
        <v>97</v>
      </c>
      <c r="P207" t="s">
        <v>97</v>
      </c>
      <c r="Q207">
        <v>1</v>
      </c>
      <c r="X207">
        <v>2.4E-2</v>
      </c>
      <c r="Y207">
        <v>30.4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3</v>
      </c>
      <c r="AG207">
        <v>2.4E-2</v>
      </c>
      <c r="AH207">
        <v>2</v>
      </c>
      <c r="AI207">
        <v>39492014</v>
      </c>
      <c r="AJ207">
        <v>208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ROW(Source!A164)</f>
        <v>164</v>
      </c>
      <c r="B208">
        <v>39492030</v>
      </c>
      <c r="C208">
        <v>39492008</v>
      </c>
      <c r="D208">
        <v>36803258</v>
      </c>
      <c r="E208">
        <v>1</v>
      </c>
      <c r="F208">
        <v>1</v>
      </c>
      <c r="G208">
        <v>1</v>
      </c>
      <c r="H208">
        <v>3</v>
      </c>
      <c r="I208" t="s">
        <v>823</v>
      </c>
      <c r="J208" t="s">
        <v>824</v>
      </c>
      <c r="K208" t="s">
        <v>825</v>
      </c>
      <c r="L208">
        <v>1346</v>
      </c>
      <c r="N208">
        <v>1009</v>
      </c>
      <c r="O208" t="s">
        <v>97</v>
      </c>
      <c r="P208" t="s">
        <v>97</v>
      </c>
      <c r="Q208">
        <v>1</v>
      </c>
      <c r="X208">
        <v>7.0000000000000007E-2</v>
      </c>
      <c r="Y208">
        <v>10.57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0</v>
      </c>
      <c r="AF208" t="s">
        <v>3</v>
      </c>
      <c r="AG208">
        <v>7.0000000000000007E-2</v>
      </c>
      <c r="AH208">
        <v>2</v>
      </c>
      <c r="AI208">
        <v>39492015</v>
      </c>
      <c r="AJ208">
        <v>209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ROW(Source!A164)</f>
        <v>164</v>
      </c>
      <c r="B209">
        <v>39492031</v>
      </c>
      <c r="C209">
        <v>39492008</v>
      </c>
      <c r="D209">
        <v>36804448</v>
      </c>
      <c r="E209">
        <v>1</v>
      </c>
      <c r="F209">
        <v>1</v>
      </c>
      <c r="G209">
        <v>1</v>
      </c>
      <c r="H209">
        <v>3</v>
      </c>
      <c r="I209" t="s">
        <v>826</v>
      </c>
      <c r="J209" t="s">
        <v>827</v>
      </c>
      <c r="K209" t="s">
        <v>828</v>
      </c>
      <c r="L209">
        <v>1346</v>
      </c>
      <c r="N209">
        <v>1009</v>
      </c>
      <c r="O209" t="s">
        <v>97</v>
      </c>
      <c r="P209" t="s">
        <v>97</v>
      </c>
      <c r="Q209">
        <v>1</v>
      </c>
      <c r="X209">
        <v>0.14000000000000001</v>
      </c>
      <c r="Y209">
        <v>9.0399999999999991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3</v>
      </c>
      <c r="AG209">
        <v>0.14000000000000001</v>
      </c>
      <c r="AH209">
        <v>2</v>
      </c>
      <c r="AI209">
        <v>39492016</v>
      </c>
      <c r="AJ209">
        <v>210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ROW(Source!A164)</f>
        <v>164</v>
      </c>
      <c r="B210">
        <v>39492032</v>
      </c>
      <c r="C210">
        <v>39492008</v>
      </c>
      <c r="D210">
        <v>36804580</v>
      </c>
      <c r="E210">
        <v>1</v>
      </c>
      <c r="F210">
        <v>1</v>
      </c>
      <c r="G210">
        <v>1</v>
      </c>
      <c r="H210">
        <v>3</v>
      </c>
      <c r="I210" t="s">
        <v>829</v>
      </c>
      <c r="J210" t="s">
        <v>830</v>
      </c>
      <c r="K210" t="s">
        <v>831</v>
      </c>
      <c r="L210">
        <v>1355</v>
      </c>
      <c r="N210">
        <v>1010</v>
      </c>
      <c r="O210" t="s">
        <v>120</v>
      </c>
      <c r="P210" t="s">
        <v>120</v>
      </c>
      <c r="Q210">
        <v>100</v>
      </c>
      <c r="X210">
        <v>7.0000000000000001E-3</v>
      </c>
      <c r="Y210">
        <v>86</v>
      </c>
      <c r="Z210">
        <v>0</v>
      </c>
      <c r="AA210">
        <v>0</v>
      </c>
      <c r="AB210">
        <v>0</v>
      </c>
      <c r="AC210">
        <v>0</v>
      </c>
      <c r="AD210">
        <v>1</v>
      </c>
      <c r="AE210">
        <v>0</v>
      </c>
      <c r="AF210" t="s">
        <v>3</v>
      </c>
      <c r="AG210">
        <v>7.0000000000000001E-3</v>
      </c>
      <c r="AH210">
        <v>2</v>
      </c>
      <c r="AI210">
        <v>39492017</v>
      </c>
      <c r="AJ210">
        <v>211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ROW(Source!A164)</f>
        <v>164</v>
      </c>
      <c r="B211">
        <v>39492033</v>
      </c>
      <c r="C211">
        <v>39492008</v>
      </c>
      <c r="D211">
        <v>36805500</v>
      </c>
      <c r="E211">
        <v>1</v>
      </c>
      <c r="F211">
        <v>1</v>
      </c>
      <c r="G211">
        <v>1</v>
      </c>
      <c r="H211">
        <v>3</v>
      </c>
      <c r="I211" t="s">
        <v>832</v>
      </c>
      <c r="J211" t="s">
        <v>833</v>
      </c>
      <c r="K211" t="s">
        <v>834</v>
      </c>
      <c r="L211">
        <v>1346</v>
      </c>
      <c r="N211">
        <v>1009</v>
      </c>
      <c r="O211" t="s">
        <v>97</v>
      </c>
      <c r="P211" t="s">
        <v>97</v>
      </c>
      <c r="Q211">
        <v>1</v>
      </c>
      <c r="X211">
        <v>2E-3</v>
      </c>
      <c r="Y211">
        <v>133.05000000000001</v>
      </c>
      <c r="Z211">
        <v>0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3</v>
      </c>
      <c r="AG211">
        <v>2E-3</v>
      </c>
      <c r="AH211">
        <v>2</v>
      </c>
      <c r="AI211">
        <v>39492018</v>
      </c>
      <c r="AJ211">
        <v>212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ROW(Source!A164)</f>
        <v>164</v>
      </c>
      <c r="B212">
        <v>39492034</v>
      </c>
      <c r="C212">
        <v>39492008</v>
      </c>
      <c r="D212">
        <v>36823140</v>
      </c>
      <c r="E212">
        <v>1</v>
      </c>
      <c r="F212">
        <v>1</v>
      </c>
      <c r="G212">
        <v>1</v>
      </c>
      <c r="H212">
        <v>3</v>
      </c>
      <c r="I212" t="s">
        <v>835</v>
      </c>
      <c r="J212" t="s">
        <v>836</v>
      </c>
      <c r="K212" t="s">
        <v>837</v>
      </c>
      <c r="L212">
        <v>1348</v>
      </c>
      <c r="N212">
        <v>1009</v>
      </c>
      <c r="O212" t="s">
        <v>189</v>
      </c>
      <c r="P212" t="s">
        <v>189</v>
      </c>
      <c r="Q212">
        <v>1000</v>
      </c>
      <c r="X212">
        <v>3.0000000000000001E-3</v>
      </c>
      <c r="Y212">
        <v>11500</v>
      </c>
      <c r="Z212">
        <v>0</v>
      </c>
      <c r="AA212">
        <v>0</v>
      </c>
      <c r="AB212">
        <v>0</v>
      </c>
      <c r="AC212">
        <v>0</v>
      </c>
      <c r="AD212">
        <v>1</v>
      </c>
      <c r="AE212">
        <v>0</v>
      </c>
      <c r="AF212" t="s">
        <v>3</v>
      </c>
      <c r="AG212">
        <v>3.0000000000000001E-3</v>
      </c>
      <c r="AH212">
        <v>2</v>
      </c>
      <c r="AI212">
        <v>39492019</v>
      </c>
      <c r="AJ212">
        <v>213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ROW(Source!A164)</f>
        <v>164</v>
      </c>
      <c r="B213">
        <v>39492035</v>
      </c>
      <c r="C213">
        <v>39492008</v>
      </c>
      <c r="D213">
        <v>36838317</v>
      </c>
      <c r="E213">
        <v>1</v>
      </c>
      <c r="F213">
        <v>1</v>
      </c>
      <c r="G213">
        <v>1</v>
      </c>
      <c r="H213">
        <v>3</v>
      </c>
      <c r="I213" t="s">
        <v>838</v>
      </c>
      <c r="J213" t="s">
        <v>839</v>
      </c>
      <c r="K213" t="s">
        <v>840</v>
      </c>
      <c r="L213">
        <v>1346</v>
      </c>
      <c r="N213">
        <v>1009</v>
      </c>
      <c r="O213" t="s">
        <v>97</v>
      </c>
      <c r="P213" t="s">
        <v>97</v>
      </c>
      <c r="Q213">
        <v>1</v>
      </c>
      <c r="X213">
        <v>1.7999999999999999E-2</v>
      </c>
      <c r="Y213">
        <v>28.6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3</v>
      </c>
      <c r="AG213">
        <v>1.7999999999999999E-2</v>
      </c>
      <c r="AH213">
        <v>2</v>
      </c>
      <c r="AI213">
        <v>39492020</v>
      </c>
      <c r="AJ213">
        <v>214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ROW(Source!A164)</f>
        <v>164</v>
      </c>
      <c r="B214">
        <v>39492036</v>
      </c>
      <c r="C214">
        <v>39492008</v>
      </c>
      <c r="D214">
        <v>36838470</v>
      </c>
      <c r="E214">
        <v>1</v>
      </c>
      <c r="F214">
        <v>1</v>
      </c>
      <c r="G214">
        <v>1</v>
      </c>
      <c r="H214">
        <v>3</v>
      </c>
      <c r="I214" t="s">
        <v>841</v>
      </c>
      <c r="J214" t="s">
        <v>842</v>
      </c>
      <c r="K214" t="s">
        <v>843</v>
      </c>
      <c r="L214">
        <v>1346</v>
      </c>
      <c r="N214">
        <v>1009</v>
      </c>
      <c r="O214" t="s">
        <v>97</v>
      </c>
      <c r="P214" t="s">
        <v>97</v>
      </c>
      <c r="Q214">
        <v>1</v>
      </c>
      <c r="X214">
        <v>8.9999999999999993E-3</v>
      </c>
      <c r="Y214">
        <v>35.630000000000003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3</v>
      </c>
      <c r="AG214">
        <v>8.9999999999999993E-3</v>
      </c>
      <c r="AH214">
        <v>2</v>
      </c>
      <c r="AI214">
        <v>39492021</v>
      </c>
      <c r="AJ214">
        <v>215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ROW(Source!A164)</f>
        <v>164</v>
      </c>
      <c r="B215">
        <v>39492037</v>
      </c>
      <c r="C215">
        <v>39492008</v>
      </c>
      <c r="D215">
        <v>36851945</v>
      </c>
      <c r="E215">
        <v>1</v>
      </c>
      <c r="F215">
        <v>1</v>
      </c>
      <c r="G215">
        <v>1</v>
      </c>
      <c r="H215">
        <v>3</v>
      </c>
      <c r="I215" t="s">
        <v>844</v>
      </c>
      <c r="J215" t="s">
        <v>845</v>
      </c>
      <c r="K215" t="s">
        <v>846</v>
      </c>
      <c r="L215">
        <v>1358</v>
      </c>
      <c r="N215">
        <v>1010</v>
      </c>
      <c r="O215" t="s">
        <v>417</v>
      </c>
      <c r="P215" t="s">
        <v>417</v>
      </c>
      <c r="Q215">
        <v>10</v>
      </c>
      <c r="X215">
        <v>0.1</v>
      </c>
      <c r="Y215">
        <v>39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3</v>
      </c>
      <c r="AG215">
        <v>0.1</v>
      </c>
      <c r="AH215">
        <v>2</v>
      </c>
      <c r="AI215">
        <v>39492022</v>
      </c>
      <c r="AJ215">
        <v>216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ROW(Source!A164)</f>
        <v>164</v>
      </c>
      <c r="B216">
        <v>39492038</v>
      </c>
      <c r="C216">
        <v>39492008</v>
      </c>
      <c r="D216">
        <v>36799065</v>
      </c>
      <c r="E216">
        <v>17</v>
      </c>
      <c r="F216">
        <v>1</v>
      </c>
      <c r="G216">
        <v>1</v>
      </c>
      <c r="H216">
        <v>3</v>
      </c>
      <c r="I216" t="s">
        <v>801</v>
      </c>
      <c r="J216" t="s">
        <v>3</v>
      </c>
      <c r="K216" t="s">
        <v>802</v>
      </c>
      <c r="L216">
        <v>1374</v>
      </c>
      <c r="N216">
        <v>1013</v>
      </c>
      <c r="O216" t="s">
        <v>803</v>
      </c>
      <c r="P216" t="s">
        <v>803</v>
      </c>
      <c r="Q216">
        <v>1</v>
      </c>
      <c r="X216">
        <v>0.43</v>
      </c>
      <c r="Y216">
        <v>1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3</v>
      </c>
      <c r="AG216">
        <v>0.43</v>
      </c>
      <c r="AH216">
        <v>2</v>
      </c>
      <c r="AI216">
        <v>39492023</v>
      </c>
      <c r="AJ216">
        <v>217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ROW(Source!A166)</f>
        <v>166</v>
      </c>
      <c r="B217">
        <v>39099728</v>
      </c>
      <c r="C217">
        <v>39099726</v>
      </c>
      <c r="D217">
        <v>37064998</v>
      </c>
      <c r="E217">
        <v>1</v>
      </c>
      <c r="F217">
        <v>1</v>
      </c>
      <c r="G217">
        <v>1</v>
      </c>
      <c r="H217">
        <v>1</v>
      </c>
      <c r="I217" t="s">
        <v>639</v>
      </c>
      <c r="J217" t="s">
        <v>3</v>
      </c>
      <c r="K217" t="s">
        <v>640</v>
      </c>
      <c r="L217">
        <v>1191</v>
      </c>
      <c r="N217">
        <v>1013</v>
      </c>
      <c r="O217" t="s">
        <v>641</v>
      </c>
      <c r="P217" t="s">
        <v>641</v>
      </c>
      <c r="Q217">
        <v>1</v>
      </c>
      <c r="X217">
        <v>85.5</v>
      </c>
      <c r="Y217">
        <v>0</v>
      </c>
      <c r="Z217">
        <v>0</v>
      </c>
      <c r="AA217">
        <v>0</v>
      </c>
      <c r="AB217">
        <v>7.8</v>
      </c>
      <c r="AC217">
        <v>0</v>
      </c>
      <c r="AD217">
        <v>1</v>
      </c>
      <c r="AE217">
        <v>1</v>
      </c>
      <c r="AF217" t="s">
        <v>3</v>
      </c>
      <c r="AG217">
        <v>85.5</v>
      </c>
      <c r="AH217">
        <v>2</v>
      </c>
      <c r="AI217">
        <v>39099727</v>
      </c>
      <c r="AJ217">
        <v>218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ROW(Source!A166)</f>
        <v>166</v>
      </c>
      <c r="B218">
        <v>39099729</v>
      </c>
      <c r="C218">
        <v>39099726</v>
      </c>
      <c r="D218">
        <v>36799072</v>
      </c>
      <c r="E218">
        <v>17</v>
      </c>
      <c r="F218">
        <v>1</v>
      </c>
      <c r="G218">
        <v>1</v>
      </c>
      <c r="H218">
        <v>3</v>
      </c>
      <c r="I218" t="s">
        <v>918</v>
      </c>
      <c r="J218" t="s">
        <v>3</v>
      </c>
      <c r="K218" t="s">
        <v>919</v>
      </c>
      <c r="L218">
        <v>1348</v>
      </c>
      <c r="N218">
        <v>1009</v>
      </c>
      <c r="O218" t="s">
        <v>189</v>
      </c>
      <c r="P218" t="s">
        <v>189</v>
      </c>
      <c r="Q218">
        <v>1000</v>
      </c>
      <c r="X218">
        <v>0.11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 t="s">
        <v>3</v>
      </c>
      <c r="AG218">
        <v>0.11</v>
      </c>
      <c r="AH218">
        <v>3</v>
      </c>
      <c r="AI218">
        <v>-1</v>
      </c>
      <c r="AJ218" t="s">
        <v>3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ROW(Source!A167)</f>
        <v>167</v>
      </c>
      <c r="B219">
        <v>39491369</v>
      </c>
      <c r="C219">
        <v>39491357</v>
      </c>
      <c r="D219">
        <v>37064878</v>
      </c>
      <c r="E219">
        <v>1</v>
      </c>
      <c r="F219">
        <v>1</v>
      </c>
      <c r="G219">
        <v>1</v>
      </c>
      <c r="H219">
        <v>1</v>
      </c>
      <c r="I219" t="s">
        <v>693</v>
      </c>
      <c r="J219" t="s">
        <v>3</v>
      </c>
      <c r="K219" t="s">
        <v>694</v>
      </c>
      <c r="L219">
        <v>1191</v>
      </c>
      <c r="N219">
        <v>1013</v>
      </c>
      <c r="O219" t="s">
        <v>641</v>
      </c>
      <c r="P219" t="s">
        <v>641</v>
      </c>
      <c r="Q219">
        <v>1</v>
      </c>
      <c r="X219">
        <v>15.28</v>
      </c>
      <c r="Y219">
        <v>0</v>
      </c>
      <c r="Z219">
        <v>0</v>
      </c>
      <c r="AA219">
        <v>0</v>
      </c>
      <c r="AB219">
        <v>9.4</v>
      </c>
      <c r="AC219">
        <v>0</v>
      </c>
      <c r="AD219">
        <v>1</v>
      </c>
      <c r="AE219">
        <v>1</v>
      </c>
      <c r="AF219" t="s">
        <v>3</v>
      </c>
      <c r="AG219">
        <v>15.28</v>
      </c>
      <c r="AH219">
        <v>2</v>
      </c>
      <c r="AI219">
        <v>39491358</v>
      </c>
      <c r="AJ219">
        <v>219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ROW(Source!A167)</f>
        <v>167</v>
      </c>
      <c r="B220">
        <v>39491370</v>
      </c>
      <c r="C220">
        <v>39491357</v>
      </c>
      <c r="D220">
        <v>37064876</v>
      </c>
      <c r="E220">
        <v>1</v>
      </c>
      <c r="F220">
        <v>1</v>
      </c>
      <c r="G220">
        <v>1</v>
      </c>
      <c r="H220">
        <v>1</v>
      </c>
      <c r="I220" t="s">
        <v>642</v>
      </c>
      <c r="J220" t="s">
        <v>3</v>
      </c>
      <c r="K220" t="s">
        <v>643</v>
      </c>
      <c r="L220">
        <v>1191</v>
      </c>
      <c r="N220">
        <v>1013</v>
      </c>
      <c r="O220" t="s">
        <v>641</v>
      </c>
      <c r="P220" t="s">
        <v>641</v>
      </c>
      <c r="Q220">
        <v>1</v>
      </c>
      <c r="X220">
        <v>0.22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2</v>
      </c>
      <c r="AF220" t="s">
        <v>3</v>
      </c>
      <c r="AG220">
        <v>0.22</v>
      </c>
      <c r="AH220">
        <v>2</v>
      </c>
      <c r="AI220">
        <v>39491359</v>
      </c>
      <c r="AJ220">
        <v>220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ROW(Source!A167)</f>
        <v>167</v>
      </c>
      <c r="B221">
        <v>39491371</v>
      </c>
      <c r="C221">
        <v>39491357</v>
      </c>
      <c r="D221">
        <v>36882159</v>
      </c>
      <c r="E221">
        <v>1</v>
      </c>
      <c r="F221">
        <v>1</v>
      </c>
      <c r="G221">
        <v>1</v>
      </c>
      <c r="H221">
        <v>2</v>
      </c>
      <c r="I221" t="s">
        <v>765</v>
      </c>
      <c r="J221" t="s">
        <v>766</v>
      </c>
      <c r="K221" t="s">
        <v>767</v>
      </c>
      <c r="L221">
        <v>1368</v>
      </c>
      <c r="N221">
        <v>1011</v>
      </c>
      <c r="O221" t="s">
        <v>647</v>
      </c>
      <c r="P221" t="s">
        <v>647</v>
      </c>
      <c r="Q221">
        <v>1</v>
      </c>
      <c r="X221">
        <v>0.11</v>
      </c>
      <c r="Y221">
        <v>0</v>
      </c>
      <c r="Z221">
        <v>111.99</v>
      </c>
      <c r="AA221">
        <v>13.5</v>
      </c>
      <c r="AB221">
        <v>0</v>
      </c>
      <c r="AC221">
        <v>0</v>
      </c>
      <c r="AD221">
        <v>1</v>
      </c>
      <c r="AE221">
        <v>0</v>
      </c>
      <c r="AF221" t="s">
        <v>3</v>
      </c>
      <c r="AG221">
        <v>0.11</v>
      </c>
      <c r="AH221">
        <v>2</v>
      </c>
      <c r="AI221">
        <v>39491360</v>
      </c>
      <c r="AJ221">
        <v>221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ROW(Source!A167)</f>
        <v>167</v>
      </c>
      <c r="B222">
        <v>39491372</v>
      </c>
      <c r="C222">
        <v>39491357</v>
      </c>
      <c r="D222">
        <v>36883554</v>
      </c>
      <c r="E222">
        <v>1</v>
      </c>
      <c r="F222">
        <v>1</v>
      </c>
      <c r="G222">
        <v>1</v>
      </c>
      <c r="H222">
        <v>2</v>
      </c>
      <c r="I222" t="s">
        <v>665</v>
      </c>
      <c r="J222" t="s">
        <v>666</v>
      </c>
      <c r="K222" t="s">
        <v>667</v>
      </c>
      <c r="L222">
        <v>1368</v>
      </c>
      <c r="N222">
        <v>1011</v>
      </c>
      <c r="O222" t="s">
        <v>647</v>
      </c>
      <c r="P222" t="s">
        <v>647</v>
      </c>
      <c r="Q222">
        <v>1</v>
      </c>
      <c r="X222">
        <v>0.11</v>
      </c>
      <c r="Y222">
        <v>0</v>
      </c>
      <c r="Z222">
        <v>65.709999999999994</v>
      </c>
      <c r="AA222">
        <v>11.6</v>
      </c>
      <c r="AB222">
        <v>0</v>
      </c>
      <c r="AC222">
        <v>0</v>
      </c>
      <c r="AD222">
        <v>1</v>
      </c>
      <c r="AE222">
        <v>0</v>
      </c>
      <c r="AF222" t="s">
        <v>3</v>
      </c>
      <c r="AG222">
        <v>0.11</v>
      </c>
      <c r="AH222">
        <v>2</v>
      </c>
      <c r="AI222">
        <v>39491361</v>
      </c>
      <c r="AJ222">
        <v>222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ROW(Source!A167)</f>
        <v>167</v>
      </c>
      <c r="B223">
        <v>39491373</v>
      </c>
      <c r="C223">
        <v>39491357</v>
      </c>
      <c r="D223">
        <v>36807344</v>
      </c>
      <c r="E223">
        <v>1</v>
      </c>
      <c r="F223">
        <v>1</v>
      </c>
      <c r="G223">
        <v>1</v>
      </c>
      <c r="H223">
        <v>3</v>
      </c>
      <c r="I223" t="s">
        <v>847</v>
      </c>
      <c r="J223" t="s">
        <v>848</v>
      </c>
      <c r="K223" t="s">
        <v>849</v>
      </c>
      <c r="L223">
        <v>1339</v>
      </c>
      <c r="N223">
        <v>1007</v>
      </c>
      <c r="O223" t="s">
        <v>56</v>
      </c>
      <c r="P223" t="s">
        <v>56</v>
      </c>
      <c r="Q223">
        <v>1</v>
      </c>
      <c r="X223">
        <v>2.1000000000000001E-2</v>
      </c>
      <c r="Y223">
        <v>600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0</v>
      </c>
      <c r="AF223" t="s">
        <v>3</v>
      </c>
      <c r="AG223">
        <v>2.1000000000000001E-2</v>
      </c>
      <c r="AH223">
        <v>2</v>
      </c>
      <c r="AI223">
        <v>39491362</v>
      </c>
      <c r="AJ223">
        <v>223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ROW(Source!A167)</f>
        <v>167</v>
      </c>
      <c r="B224">
        <v>39491374</v>
      </c>
      <c r="C224">
        <v>39491357</v>
      </c>
      <c r="D224">
        <v>36836935</v>
      </c>
      <c r="E224">
        <v>1</v>
      </c>
      <c r="F224">
        <v>1</v>
      </c>
      <c r="G224">
        <v>1</v>
      </c>
      <c r="H224">
        <v>3</v>
      </c>
      <c r="I224" t="s">
        <v>850</v>
      </c>
      <c r="J224" t="s">
        <v>851</v>
      </c>
      <c r="K224" t="s">
        <v>852</v>
      </c>
      <c r="L224">
        <v>1346</v>
      </c>
      <c r="N224">
        <v>1009</v>
      </c>
      <c r="O224" t="s">
        <v>97</v>
      </c>
      <c r="P224" t="s">
        <v>97</v>
      </c>
      <c r="Q224">
        <v>1</v>
      </c>
      <c r="X224">
        <v>0.4</v>
      </c>
      <c r="Y224">
        <v>25.8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0</v>
      </c>
      <c r="AF224" t="s">
        <v>3</v>
      </c>
      <c r="AG224">
        <v>0.4</v>
      </c>
      <c r="AH224">
        <v>2</v>
      </c>
      <c r="AI224">
        <v>39491363</v>
      </c>
      <c r="AJ224">
        <v>224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ROW(Source!A167)</f>
        <v>167</v>
      </c>
      <c r="B225">
        <v>39491375</v>
      </c>
      <c r="C225">
        <v>39491357</v>
      </c>
      <c r="D225">
        <v>36852067</v>
      </c>
      <c r="E225">
        <v>1</v>
      </c>
      <c r="F225">
        <v>1</v>
      </c>
      <c r="G225">
        <v>1</v>
      </c>
      <c r="H225">
        <v>3</v>
      </c>
      <c r="I225" t="s">
        <v>853</v>
      </c>
      <c r="J225" t="s">
        <v>854</v>
      </c>
      <c r="K225" t="s">
        <v>855</v>
      </c>
      <c r="L225">
        <v>1356</v>
      </c>
      <c r="N225">
        <v>1010</v>
      </c>
      <c r="O225" t="s">
        <v>690</v>
      </c>
      <c r="P225" t="s">
        <v>690</v>
      </c>
      <c r="Q225">
        <v>1000</v>
      </c>
      <c r="X225">
        <v>3.2000000000000001E-2</v>
      </c>
      <c r="Y225">
        <v>270</v>
      </c>
      <c r="Z225">
        <v>0</v>
      </c>
      <c r="AA225">
        <v>0</v>
      </c>
      <c r="AB225">
        <v>0</v>
      </c>
      <c r="AC225">
        <v>0</v>
      </c>
      <c r="AD225">
        <v>1</v>
      </c>
      <c r="AE225">
        <v>0</v>
      </c>
      <c r="AF225" t="s">
        <v>3</v>
      </c>
      <c r="AG225">
        <v>3.2000000000000001E-2</v>
      </c>
      <c r="AH225">
        <v>2</v>
      </c>
      <c r="AI225">
        <v>39491364</v>
      </c>
      <c r="AJ225">
        <v>225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ROW(Source!A167)</f>
        <v>167</v>
      </c>
      <c r="B226">
        <v>39491376</v>
      </c>
      <c r="C226">
        <v>39491357</v>
      </c>
      <c r="D226">
        <v>36852075</v>
      </c>
      <c r="E226">
        <v>1</v>
      </c>
      <c r="F226">
        <v>1</v>
      </c>
      <c r="G226">
        <v>1</v>
      </c>
      <c r="H226">
        <v>3</v>
      </c>
      <c r="I226" t="s">
        <v>856</v>
      </c>
      <c r="J226" t="s">
        <v>857</v>
      </c>
      <c r="K226" t="s">
        <v>858</v>
      </c>
      <c r="L226">
        <v>1358</v>
      </c>
      <c r="N226">
        <v>1010</v>
      </c>
      <c r="O226" t="s">
        <v>417</v>
      </c>
      <c r="P226" t="s">
        <v>417</v>
      </c>
      <c r="Q226">
        <v>10</v>
      </c>
      <c r="X226">
        <v>1</v>
      </c>
      <c r="Y226">
        <v>19.899999999999999</v>
      </c>
      <c r="Z226">
        <v>0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3</v>
      </c>
      <c r="AG226">
        <v>1</v>
      </c>
      <c r="AH226">
        <v>2</v>
      </c>
      <c r="AI226">
        <v>39491365</v>
      </c>
      <c r="AJ226">
        <v>226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ROW(Source!A167)</f>
        <v>167</v>
      </c>
      <c r="B227">
        <v>39491377</v>
      </c>
      <c r="C227">
        <v>39491357</v>
      </c>
      <c r="D227">
        <v>36853421</v>
      </c>
      <c r="E227">
        <v>1</v>
      </c>
      <c r="F227">
        <v>1</v>
      </c>
      <c r="G227">
        <v>1</v>
      </c>
      <c r="H227">
        <v>3</v>
      </c>
      <c r="I227" t="s">
        <v>859</v>
      </c>
      <c r="J227" t="s">
        <v>860</v>
      </c>
      <c r="K227" t="s">
        <v>861</v>
      </c>
      <c r="L227">
        <v>1354</v>
      </c>
      <c r="N227">
        <v>1010</v>
      </c>
      <c r="O227" t="s">
        <v>37</v>
      </c>
      <c r="P227" t="s">
        <v>37</v>
      </c>
      <c r="Q227">
        <v>1</v>
      </c>
      <c r="X227">
        <v>0.5</v>
      </c>
      <c r="Y227">
        <v>66.819999999999993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3</v>
      </c>
      <c r="AG227">
        <v>0.5</v>
      </c>
      <c r="AH227">
        <v>2</v>
      </c>
      <c r="AI227">
        <v>39491366</v>
      </c>
      <c r="AJ227">
        <v>227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ROW(Source!A167)</f>
        <v>167</v>
      </c>
      <c r="B228">
        <v>39491378</v>
      </c>
      <c r="C228">
        <v>39491357</v>
      </c>
      <c r="D228">
        <v>36799065</v>
      </c>
      <c r="E228">
        <v>17</v>
      </c>
      <c r="F228">
        <v>1</v>
      </c>
      <c r="G228">
        <v>1</v>
      </c>
      <c r="H228">
        <v>3</v>
      </c>
      <c r="I228" t="s">
        <v>801</v>
      </c>
      <c r="J228" t="s">
        <v>3</v>
      </c>
      <c r="K228" t="s">
        <v>802</v>
      </c>
      <c r="L228">
        <v>1374</v>
      </c>
      <c r="N228">
        <v>1013</v>
      </c>
      <c r="O228" t="s">
        <v>803</v>
      </c>
      <c r="P228" t="s">
        <v>803</v>
      </c>
      <c r="Q228">
        <v>1</v>
      </c>
      <c r="X228">
        <v>2.87</v>
      </c>
      <c r="Y228">
        <v>1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0</v>
      </c>
      <c r="AF228" t="s">
        <v>3</v>
      </c>
      <c r="AG228">
        <v>2.87</v>
      </c>
      <c r="AH228">
        <v>2</v>
      </c>
      <c r="AI228">
        <v>39491368</v>
      </c>
      <c r="AJ228">
        <v>229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ROW(Source!A169)</f>
        <v>169</v>
      </c>
      <c r="B229">
        <v>39491387</v>
      </c>
      <c r="C229">
        <v>39491380</v>
      </c>
      <c r="D229">
        <v>37082223</v>
      </c>
      <c r="E229">
        <v>1</v>
      </c>
      <c r="F229">
        <v>1</v>
      </c>
      <c r="G229">
        <v>1</v>
      </c>
      <c r="H229">
        <v>1</v>
      </c>
      <c r="I229" t="s">
        <v>862</v>
      </c>
      <c r="J229" t="s">
        <v>3</v>
      </c>
      <c r="K229" t="s">
        <v>863</v>
      </c>
      <c r="L229">
        <v>1191</v>
      </c>
      <c r="N229">
        <v>1013</v>
      </c>
      <c r="O229" t="s">
        <v>641</v>
      </c>
      <c r="P229" t="s">
        <v>641</v>
      </c>
      <c r="Q229">
        <v>1</v>
      </c>
      <c r="X229">
        <v>0.5</v>
      </c>
      <c r="Y229">
        <v>0</v>
      </c>
      <c r="Z229">
        <v>0</v>
      </c>
      <c r="AA229">
        <v>0</v>
      </c>
      <c r="AB229">
        <v>9.76</v>
      </c>
      <c r="AC229">
        <v>0</v>
      </c>
      <c r="AD229">
        <v>1</v>
      </c>
      <c r="AE229">
        <v>1</v>
      </c>
      <c r="AF229" t="s">
        <v>3</v>
      </c>
      <c r="AG229">
        <v>0.5</v>
      </c>
      <c r="AH229">
        <v>2</v>
      </c>
      <c r="AI229">
        <v>39491381</v>
      </c>
      <c r="AJ229">
        <v>230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ROW(Source!A169)</f>
        <v>169</v>
      </c>
      <c r="B230">
        <v>39491388</v>
      </c>
      <c r="C230">
        <v>39491380</v>
      </c>
      <c r="D230">
        <v>36804944</v>
      </c>
      <c r="E230">
        <v>1</v>
      </c>
      <c r="F230">
        <v>1</v>
      </c>
      <c r="G230">
        <v>1</v>
      </c>
      <c r="H230">
        <v>3</v>
      </c>
      <c r="I230" t="s">
        <v>798</v>
      </c>
      <c r="J230" t="s">
        <v>799</v>
      </c>
      <c r="K230" t="s">
        <v>800</v>
      </c>
      <c r="L230">
        <v>1348</v>
      </c>
      <c r="N230">
        <v>1009</v>
      </c>
      <c r="O230" t="s">
        <v>189</v>
      </c>
      <c r="P230" t="s">
        <v>189</v>
      </c>
      <c r="Q230">
        <v>1000</v>
      </c>
      <c r="X230">
        <v>1.0000000000000001E-5</v>
      </c>
      <c r="Y230">
        <v>12430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3</v>
      </c>
      <c r="AG230">
        <v>1.0000000000000001E-5</v>
      </c>
      <c r="AH230">
        <v>2</v>
      </c>
      <c r="AI230">
        <v>39491382</v>
      </c>
      <c r="AJ230">
        <v>231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ROW(Source!A169)</f>
        <v>169</v>
      </c>
      <c r="B231">
        <v>39491389</v>
      </c>
      <c r="C231">
        <v>39491380</v>
      </c>
      <c r="D231">
        <v>36806488</v>
      </c>
      <c r="E231">
        <v>1</v>
      </c>
      <c r="F231">
        <v>1</v>
      </c>
      <c r="G231">
        <v>1</v>
      </c>
      <c r="H231">
        <v>3</v>
      </c>
      <c r="I231" t="s">
        <v>653</v>
      </c>
      <c r="J231" t="s">
        <v>654</v>
      </c>
      <c r="K231" t="s">
        <v>655</v>
      </c>
      <c r="L231">
        <v>1348</v>
      </c>
      <c r="N231">
        <v>1009</v>
      </c>
      <c r="O231" t="s">
        <v>189</v>
      </c>
      <c r="P231" t="s">
        <v>189</v>
      </c>
      <c r="Q231">
        <v>1000</v>
      </c>
      <c r="X231">
        <v>5.0000000000000002E-5</v>
      </c>
      <c r="Y231">
        <v>729.98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3</v>
      </c>
      <c r="AG231">
        <v>5.0000000000000002E-5</v>
      </c>
      <c r="AH231">
        <v>2</v>
      </c>
      <c r="AI231">
        <v>39491383</v>
      </c>
      <c r="AJ231">
        <v>232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ROW(Source!A169)</f>
        <v>169</v>
      </c>
      <c r="B232">
        <v>39491390</v>
      </c>
      <c r="C232">
        <v>39491380</v>
      </c>
      <c r="D232">
        <v>36825637</v>
      </c>
      <c r="E232">
        <v>1</v>
      </c>
      <c r="F232">
        <v>1</v>
      </c>
      <c r="G232">
        <v>1</v>
      </c>
      <c r="H232">
        <v>3</v>
      </c>
      <c r="I232" t="s">
        <v>864</v>
      </c>
      <c r="J232" t="s">
        <v>865</v>
      </c>
      <c r="K232" t="s">
        <v>866</v>
      </c>
      <c r="L232">
        <v>1348</v>
      </c>
      <c r="N232">
        <v>1009</v>
      </c>
      <c r="O232" t="s">
        <v>189</v>
      </c>
      <c r="P232" t="s">
        <v>189</v>
      </c>
      <c r="Q232">
        <v>1000</v>
      </c>
      <c r="X232">
        <v>1.0000000000000001E-5</v>
      </c>
      <c r="Y232">
        <v>14690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3</v>
      </c>
      <c r="AG232">
        <v>1.0000000000000001E-5</v>
      </c>
      <c r="AH232">
        <v>2</v>
      </c>
      <c r="AI232">
        <v>39491384</v>
      </c>
      <c r="AJ232">
        <v>233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ROW(Source!A169)</f>
        <v>169</v>
      </c>
      <c r="B233">
        <v>39491391</v>
      </c>
      <c r="C233">
        <v>39491380</v>
      </c>
      <c r="D233">
        <v>36799065</v>
      </c>
      <c r="E233">
        <v>17</v>
      </c>
      <c r="F233">
        <v>1</v>
      </c>
      <c r="G233">
        <v>1</v>
      </c>
      <c r="H233">
        <v>3</v>
      </c>
      <c r="I233" t="s">
        <v>801</v>
      </c>
      <c r="J233" t="s">
        <v>3</v>
      </c>
      <c r="K233" t="s">
        <v>802</v>
      </c>
      <c r="L233">
        <v>1374</v>
      </c>
      <c r="N233">
        <v>1013</v>
      </c>
      <c r="O233" t="s">
        <v>803</v>
      </c>
      <c r="P233" t="s">
        <v>803</v>
      </c>
      <c r="Q233">
        <v>1</v>
      </c>
      <c r="X233">
        <v>0.1</v>
      </c>
      <c r="Y233">
        <v>1</v>
      </c>
      <c r="Z233">
        <v>0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3</v>
      </c>
      <c r="AG233">
        <v>0.1</v>
      </c>
      <c r="AH233">
        <v>2</v>
      </c>
      <c r="AI233">
        <v>39491386</v>
      </c>
      <c r="AJ233">
        <v>235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ROW(Source!A171)</f>
        <v>171</v>
      </c>
      <c r="B234">
        <v>39491401</v>
      </c>
      <c r="C234">
        <v>39491393</v>
      </c>
      <c r="D234">
        <v>37070202</v>
      </c>
      <c r="E234">
        <v>1</v>
      </c>
      <c r="F234">
        <v>1</v>
      </c>
      <c r="G234">
        <v>1</v>
      </c>
      <c r="H234">
        <v>1</v>
      </c>
      <c r="I234" t="s">
        <v>717</v>
      </c>
      <c r="J234" t="s">
        <v>3</v>
      </c>
      <c r="K234" t="s">
        <v>718</v>
      </c>
      <c r="L234">
        <v>1191</v>
      </c>
      <c r="N234">
        <v>1013</v>
      </c>
      <c r="O234" t="s">
        <v>641</v>
      </c>
      <c r="P234" t="s">
        <v>641</v>
      </c>
      <c r="Q234">
        <v>1</v>
      </c>
      <c r="X234">
        <v>20.329999999999998</v>
      </c>
      <c r="Y234">
        <v>0</v>
      </c>
      <c r="Z234">
        <v>0</v>
      </c>
      <c r="AA234">
        <v>0</v>
      </c>
      <c r="AB234">
        <v>9.51</v>
      </c>
      <c r="AC234">
        <v>0</v>
      </c>
      <c r="AD234">
        <v>1</v>
      </c>
      <c r="AE234">
        <v>1</v>
      </c>
      <c r="AF234" t="s">
        <v>3</v>
      </c>
      <c r="AG234">
        <v>20.329999999999998</v>
      </c>
      <c r="AH234">
        <v>2</v>
      </c>
      <c r="AI234">
        <v>39491394</v>
      </c>
      <c r="AJ234">
        <v>236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ROW(Source!A171)</f>
        <v>171</v>
      </c>
      <c r="B235">
        <v>39491402</v>
      </c>
      <c r="C235">
        <v>39491393</v>
      </c>
      <c r="D235">
        <v>37064876</v>
      </c>
      <c r="E235">
        <v>1</v>
      </c>
      <c r="F235">
        <v>1</v>
      </c>
      <c r="G235">
        <v>1</v>
      </c>
      <c r="H235">
        <v>1</v>
      </c>
      <c r="I235" t="s">
        <v>642</v>
      </c>
      <c r="J235" t="s">
        <v>3</v>
      </c>
      <c r="K235" t="s">
        <v>643</v>
      </c>
      <c r="L235">
        <v>1191</v>
      </c>
      <c r="N235">
        <v>1013</v>
      </c>
      <c r="O235" t="s">
        <v>641</v>
      </c>
      <c r="P235" t="s">
        <v>641</v>
      </c>
      <c r="Q235">
        <v>1</v>
      </c>
      <c r="X235">
        <v>0.01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2</v>
      </c>
      <c r="AF235" t="s">
        <v>3</v>
      </c>
      <c r="AG235">
        <v>0.01</v>
      </c>
      <c r="AH235">
        <v>2</v>
      </c>
      <c r="AI235">
        <v>39491395</v>
      </c>
      <c r="AJ235">
        <v>237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ROW(Source!A171)</f>
        <v>171</v>
      </c>
      <c r="B236">
        <v>39491403</v>
      </c>
      <c r="C236">
        <v>39491393</v>
      </c>
      <c r="D236">
        <v>36882452</v>
      </c>
      <c r="E236">
        <v>1</v>
      </c>
      <c r="F236">
        <v>1</v>
      </c>
      <c r="G236">
        <v>1</v>
      </c>
      <c r="H236">
        <v>2</v>
      </c>
      <c r="I236" t="s">
        <v>644</v>
      </c>
      <c r="J236" t="s">
        <v>645</v>
      </c>
      <c r="K236" t="s">
        <v>646</v>
      </c>
      <c r="L236">
        <v>1368</v>
      </c>
      <c r="N236">
        <v>1011</v>
      </c>
      <c r="O236" t="s">
        <v>647</v>
      </c>
      <c r="P236" t="s">
        <v>647</v>
      </c>
      <c r="Q236">
        <v>1</v>
      </c>
      <c r="X236">
        <v>0.01</v>
      </c>
      <c r="Y236">
        <v>0</v>
      </c>
      <c r="Z236">
        <v>31.26</v>
      </c>
      <c r="AA236">
        <v>13.5</v>
      </c>
      <c r="AB236">
        <v>0</v>
      </c>
      <c r="AC236">
        <v>0</v>
      </c>
      <c r="AD236">
        <v>1</v>
      </c>
      <c r="AE236">
        <v>0</v>
      </c>
      <c r="AF236" t="s">
        <v>3</v>
      </c>
      <c r="AG236">
        <v>0.01</v>
      </c>
      <c r="AH236">
        <v>2</v>
      </c>
      <c r="AI236">
        <v>39491396</v>
      </c>
      <c r="AJ236">
        <v>238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ROW(Source!A171)</f>
        <v>171</v>
      </c>
      <c r="B237">
        <v>39491404</v>
      </c>
      <c r="C237">
        <v>39491393</v>
      </c>
      <c r="D237">
        <v>36804582</v>
      </c>
      <c r="E237">
        <v>1</v>
      </c>
      <c r="F237">
        <v>1</v>
      </c>
      <c r="G237">
        <v>1</v>
      </c>
      <c r="H237">
        <v>3</v>
      </c>
      <c r="I237" t="s">
        <v>795</v>
      </c>
      <c r="J237" t="s">
        <v>796</v>
      </c>
      <c r="K237" t="s">
        <v>797</v>
      </c>
      <c r="L237">
        <v>1356</v>
      </c>
      <c r="N237">
        <v>1010</v>
      </c>
      <c r="O237" t="s">
        <v>690</v>
      </c>
      <c r="P237" t="s">
        <v>690</v>
      </c>
      <c r="Q237">
        <v>1000</v>
      </c>
      <c r="X237">
        <v>0.4</v>
      </c>
      <c r="Y237">
        <v>180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3</v>
      </c>
      <c r="AG237">
        <v>0.4</v>
      </c>
      <c r="AH237">
        <v>2</v>
      </c>
      <c r="AI237">
        <v>39491397</v>
      </c>
      <c r="AJ237">
        <v>239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ROW(Source!A171)</f>
        <v>171</v>
      </c>
      <c r="B238">
        <v>39491405</v>
      </c>
      <c r="C238">
        <v>39491393</v>
      </c>
      <c r="D238">
        <v>36804944</v>
      </c>
      <c r="E238">
        <v>1</v>
      </c>
      <c r="F238">
        <v>1</v>
      </c>
      <c r="G238">
        <v>1</v>
      </c>
      <c r="H238">
        <v>3</v>
      </c>
      <c r="I238" t="s">
        <v>798</v>
      </c>
      <c r="J238" t="s">
        <v>799</v>
      </c>
      <c r="K238" t="s">
        <v>800</v>
      </c>
      <c r="L238">
        <v>1348</v>
      </c>
      <c r="N238">
        <v>1009</v>
      </c>
      <c r="O238" t="s">
        <v>189</v>
      </c>
      <c r="P238" t="s">
        <v>189</v>
      </c>
      <c r="Q238">
        <v>1000</v>
      </c>
      <c r="X238">
        <v>1.4E-3</v>
      </c>
      <c r="Y238">
        <v>12430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3</v>
      </c>
      <c r="AG238">
        <v>1.4E-3</v>
      </c>
      <c r="AH238">
        <v>2</v>
      </c>
      <c r="AI238">
        <v>39491398</v>
      </c>
      <c r="AJ238">
        <v>240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ROW(Source!A171)</f>
        <v>171</v>
      </c>
      <c r="B239">
        <v>39491406</v>
      </c>
      <c r="C239">
        <v>39491393</v>
      </c>
      <c r="D239">
        <v>36799065</v>
      </c>
      <c r="E239">
        <v>17</v>
      </c>
      <c r="F239">
        <v>1</v>
      </c>
      <c r="G239">
        <v>1</v>
      </c>
      <c r="H239">
        <v>3</v>
      </c>
      <c r="I239" t="s">
        <v>801</v>
      </c>
      <c r="J239" t="s">
        <v>3</v>
      </c>
      <c r="K239" t="s">
        <v>802</v>
      </c>
      <c r="L239">
        <v>1374</v>
      </c>
      <c r="N239">
        <v>1013</v>
      </c>
      <c r="O239" t="s">
        <v>803</v>
      </c>
      <c r="P239" t="s">
        <v>803</v>
      </c>
      <c r="Q239">
        <v>1</v>
      </c>
      <c r="X239">
        <v>3.87</v>
      </c>
      <c r="Y239">
        <v>1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3</v>
      </c>
      <c r="AG239">
        <v>3.87</v>
      </c>
      <c r="AH239">
        <v>2</v>
      </c>
      <c r="AI239">
        <v>39491400</v>
      </c>
      <c r="AJ239">
        <v>242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ROW(Source!A173)</f>
        <v>173</v>
      </c>
      <c r="B240">
        <v>39099786</v>
      </c>
      <c r="C240">
        <v>39099781</v>
      </c>
      <c r="D240">
        <v>37072767</v>
      </c>
      <c r="E240">
        <v>1</v>
      </c>
      <c r="F240">
        <v>1</v>
      </c>
      <c r="G240">
        <v>1</v>
      </c>
      <c r="H240">
        <v>1</v>
      </c>
      <c r="I240" t="s">
        <v>674</v>
      </c>
      <c r="J240" t="s">
        <v>3</v>
      </c>
      <c r="K240" t="s">
        <v>675</v>
      </c>
      <c r="L240">
        <v>1191</v>
      </c>
      <c r="N240">
        <v>1013</v>
      </c>
      <c r="O240" t="s">
        <v>641</v>
      </c>
      <c r="P240" t="s">
        <v>641</v>
      </c>
      <c r="Q240">
        <v>1</v>
      </c>
      <c r="X240">
        <v>15.2</v>
      </c>
      <c r="Y240">
        <v>0</v>
      </c>
      <c r="Z240">
        <v>0</v>
      </c>
      <c r="AA240">
        <v>0</v>
      </c>
      <c r="AB240">
        <v>9.18</v>
      </c>
      <c r="AC240">
        <v>0</v>
      </c>
      <c r="AD240">
        <v>1</v>
      </c>
      <c r="AE240">
        <v>1</v>
      </c>
      <c r="AF240" t="s">
        <v>3</v>
      </c>
      <c r="AG240">
        <v>15.2</v>
      </c>
      <c r="AH240">
        <v>2</v>
      </c>
      <c r="AI240">
        <v>39099782</v>
      </c>
      <c r="AJ240">
        <v>243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ROW(Source!A173)</f>
        <v>173</v>
      </c>
      <c r="B241">
        <v>39099787</v>
      </c>
      <c r="C241">
        <v>39099781</v>
      </c>
      <c r="D241">
        <v>36804661</v>
      </c>
      <c r="E241">
        <v>1</v>
      </c>
      <c r="F241">
        <v>1</v>
      </c>
      <c r="G241">
        <v>1</v>
      </c>
      <c r="H241">
        <v>3</v>
      </c>
      <c r="I241" t="s">
        <v>867</v>
      </c>
      <c r="J241" t="s">
        <v>868</v>
      </c>
      <c r="K241" t="s">
        <v>869</v>
      </c>
      <c r="L241">
        <v>1355</v>
      </c>
      <c r="N241">
        <v>1010</v>
      </c>
      <c r="O241" t="s">
        <v>120</v>
      </c>
      <c r="P241" t="s">
        <v>120</v>
      </c>
      <c r="Q241">
        <v>100</v>
      </c>
      <c r="X241">
        <v>1.75</v>
      </c>
      <c r="Y241">
        <v>8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0</v>
      </c>
      <c r="AF241" t="s">
        <v>3</v>
      </c>
      <c r="AG241">
        <v>1.75</v>
      </c>
      <c r="AH241">
        <v>2</v>
      </c>
      <c r="AI241">
        <v>39099783</v>
      </c>
      <c r="AJ241">
        <v>244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ROW(Source!A173)</f>
        <v>173</v>
      </c>
      <c r="B242">
        <v>39099788</v>
      </c>
      <c r="C242">
        <v>39099781</v>
      </c>
      <c r="D242">
        <v>36799065</v>
      </c>
      <c r="E242">
        <v>17</v>
      </c>
      <c r="F242">
        <v>1</v>
      </c>
      <c r="G242">
        <v>1</v>
      </c>
      <c r="H242">
        <v>3</v>
      </c>
      <c r="I242" t="s">
        <v>801</v>
      </c>
      <c r="J242" t="s">
        <v>3</v>
      </c>
      <c r="K242" t="s">
        <v>802</v>
      </c>
      <c r="L242">
        <v>1374</v>
      </c>
      <c r="N242">
        <v>1013</v>
      </c>
      <c r="O242" t="s">
        <v>803</v>
      </c>
      <c r="P242" t="s">
        <v>803</v>
      </c>
      <c r="Q242">
        <v>1</v>
      </c>
      <c r="X242">
        <v>2.79</v>
      </c>
      <c r="Y242">
        <v>1</v>
      </c>
      <c r="Z242">
        <v>0</v>
      </c>
      <c r="AA242">
        <v>0</v>
      </c>
      <c r="AB242">
        <v>0</v>
      </c>
      <c r="AC242">
        <v>0</v>
      </c>
      <c r="AD242">
        <v>1</v>
      </c>
      <c r="AE242">
        <v>0</v>
      </c>
      <c r="AF242" t="s">
        <v>3</v>
      </c>
      <c r="AG242">
        <v>2.79</v>
      </c>
      <c r="AH242">
        <v>2</v>
      </c>
      <c r="AI242">
        <v>39099784</v>
      </c>
      <c r="AJ242">
        <v>246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ROW(Source!A175)</f>
        <v>175</v>
      </c>
      <c r="B243">
        <v>39099800</v>
      </c>
      <c r="C243">
        <v>39099790</v>
      </c>
      <c r="D243">
        <v>37064878</v>
      </c>
      <c r="E243">
        <v>1</v>
      </c>
      <c r="F243">
        <v>1</v>
      </c>
      <c r="G243">
        <v>1</v>
      </c>
      <c r="H243">
        <v>1</v>
      </c>
      <c r="I243" t="s">
        <v>693</v>
      </c>
      <c r="J243" t="s">
        <v>3</v>
      </c>
      <c r="K243" t="s">
        <v>694</v>
      </c>
      <c r="L243">
        <v>1191</v>
      </c>
      <c r="N243">
        <v>1013</v>
      </c>
      <c r="O243" t="s">
        <v>641</v>
      </c>
      <c r="P243" t="s">
        <v>641</v>
      </c>
      <c r="Q243">
        <v>1</v>
      </c>
      <c r="X243">
        <v>3.76</v>
      </c>
      <c r="Y243">
        <v>0</v>
      </c>
      <c r="Z243">
        <v>0</v>
      </c>
      <c r="AA243">
        <v>0</v>
      </c>
      <c r="AB243">
        <v>9.4</v>
      </c>
      <c r="AC243">
        <v>0</v>
      </c>
      <c r="AD243">
        <v>1</v>
      </c>
      <c r="AE243">
        <v>1</v>
      </c>
      <c r="AF243" t="s">
        <v>3</v>
      </c>
      <c r="AG243">
        <v>3.76</v>
      </c>
      <c r="AH243">
        <v>2</v>
      </c>
      <c r="AI243">
        <v>39099791</v>
      </c>
      <c r="AJ243">
        <v>247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ROW(Source!A175)</f>
        <v>175</v>
      </c>
      <c r="B244">
        <v>39099801</v>
      </c>
      <c r="C244">
        <v>39099790</v>
      </c>
      <c r="D244">
        <v>37064876</v>
      </c>
      <c r="E244">
        <v>1</v>
      </c>
      <c r="F244">
        <v>1</v>
      </c>
      <c r="G244">
        <v>1</v>
      </c>
      <c r="H244">
        <v>1</v>
      </c>
      <c r="I244" t="s">
        <v>642</v>
      </c>
      <c r="J244" t="s">
        <v>3</v>
      </c>
      <c r="K244" t="s">
        <v>643</v>
      </c>
      <c r="L244">
        <v>1191</v>
      </c>
      <c r="N244">
        <v>1013</v>
      </c>
      <c r="O244" t="s">
        <v>641</v>
      </c>
      <c r="P244" t="s">
        <v>641</v>
      </c>
      <c r="Q244">
        <v>1</v>
      </c>
      <c r="X244">
        <v>0.02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2</v>
      </c>
      <c r="AF244" t="s">
        <v>3</v>
      </c>
      <c r="AG244">
        <v>0.02</v>
      </c>
      <c r="AH244">
        <v>2</v>
      </c>
      <c r="AI244">
        <v>39099792</v>
      </c>
      <c r="AJ244">
        <v>248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ROW(Source!A175)</f>
        <v>175</v>
      </c>
      <c r="B245">
        <v>39099802</v>
      </c>
      <c r="C245">
        <v>39099790</v>
      </c>
      <c r="D245">
        <v>36882159</v>
      </c>
      <c r="E245">
        <v>1</v>
      </c>
      <c r="F245">
        <v>1</v>
      </c>
      <c r="G245">
        <v>1</v>
      </c>
      <c r="H245">
        <v>2</v>
      </c>
      <c r="I245" t="s">
        <v>765</v>
      </c>
      <c r="J245" t="s">
        <v>766</v>
      </c>
      <c r="K245" t="s">
        <v>767</v>
      </c>
      <c r="L245">
        <v>1368</v>
      </c>
      <c r="N245">
        <v>1011</v>
      </c>
      <c r="O245" t="s">
        <v>647</v>
      </c>
      <c r="P245" t="s">
        <v>647</v>
      </c>
      <c r="Q245">
        <v>1</v>
      </c>
      <c r="X245">
        <v>0.01</v>
      </c>
      <c r="Y245">
        <v>0</v>
      </c>
      <c r="Z245">
        <v>111.99</v>
      </c>
      <c r="AA245">
        <v>13.5</v>
      </c>
      <c r="AB245">
        <v>0</v>
      </c>
      <c r="AC245">
        <v>0</v>
      </c>
      <c r="AD245">
        <v>1</v>
      </c>
      <c r="AE245">
        <v>0</v>
      </c>
      <c r="AF245" t="s">
        <v>3</v>
      </c>
      <c r="AG245">
        <v>0.01</v>
      </c>
      <c r="AH245">
        <v>2</v>
      </c>
      <c r="AI245">
        <v>39099793</v>
      </c>
      <c r="AJ245">
        <v>249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ROW(Source!A175)</f>
        <v>175</v>
      </c>
      <c r="B246">
        <v>39099803</v>
      </c>
      <c r="C246">
        <v>39099790</v>
      </c>
      <c r="D246">
        <v>36883554</v>
      </c>
      <c r="E246">
        <v>1</v>
      </c>
      <c r="F246">
        <v>1</v>
      </c>
      <c r="G246">
        <v>1</v>
      </c>
      <c r="H246">
        <v>2</v>
      </c>
      <c r="I246" t="s">
        <v>665</v>
      </c>
      <c r="J246" t="s">
        <v>666</v>
      </c>
      <c r="K246" t="s">
        <v>667</v>
      </c>
      <c r="L246">
        <v>1368</v>
      </c>
      <c r="N246">
        <v>1011</v>
      </c>
      <c r="O246" t="s">
        <v>647</v>
      </c>
      <c r="P246" t="s">
        <v>647</v>
      </c>
      <c r="Q246">
        <v>1</v>
      </c>
      <c r="X246">
        <v>0.01</v>
      </c>
      <c r="Y246">
        <v>0</v>
      </c>
      <c r="Z246">
        <v>65.709999999999994</v>
      </c>
      <c r="AA246">
        <v>11.6</v>
      </c>
      <c r="AB246">
        <v>0</v>
      </c>
      <c r="AC246">
        <v>0</v>
      </c>
      <c r="AD246">
        <v>1</v>
      </c>
      <c r="AE246">
        <v>0</v>
      </c>
      <c r="AF246" t="s">
        <v>3</v>
      </c>
      <c r="AG246">
        <v>0.01</v>
      </c>
      <c r="AH246">
        <v>2</v>
      </c>
      <c r="AI246">
        <v>39099794</v>
      </c>
      <c r="AJ246">
        <v>250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ROW(Source!A175)</f>
        <v>175</v>
      </c>
      <c r="B247">
        <v>39099804</v>
      </c>
      <c r="C247">
        <v>39099790</v>
      </c>
      <c r="D247">
        <v>36802094</v>
      </c>
      <c r="E247">
        <v>1</v>
      </c>
      <c r="F247">
        <v>1</v>
      </c>
      <c r="G247">
        <v>1</v>
      </c>
      <c r="H247">
        <v>3</v>
      </c>
      <c r="I247" t="s">
        <v>820</v>
      </c>
      <c r="J247" t="s">
        <v>821</v>
      </c>
      <c r="K247" t="s">
        <v>822</v>
      </c>
      <c r="L247">
        <v>1346</v>
      </c>
      <c r="N247">
        <v>1009</v>
      </c>
      <c r="O247" t="s">
        <v>97</v>
      </c>
      <c r="P247" t="s">
        <v>97</v>
      </c>
      <c r="Q247">
        <v>1</v>
      </c>
      <c r="X247">
        <v>0.16</v>
      </c>
      <c r="Y247">
        <v>30.4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0</v>
      </c>
      <c r="AF247" t="s">
        <v>3</v>
      </c>
      <c r="AG247">
        <v>0.16</v>
      </c>
      <c r="AH247">
        <v>2</v>
      </c>
      <c r="AI247">
        <v>39099795</v>
      </c>
      <c r="AJ247">
        <v>251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ROW(Source!A175)</f>
        <v>175</v>
      </c>
      <c r="B248">
        <v>39099805</v>
      </c>
      <c r="C248">
        <v>39099790</v>
      </c>
      <c r="D248">
        <v>36802106</v>
      </c>
      <c r="E248">
        <v>1</v>
      </c>
      <c r="F248">
        <v>1</v>
      </c>
      <c r="G248">
        <v>1</v>
      </c>
      <c r="H248">
        <v>3</v>
      </c>
      <c r="I248" t="s">
        <v>870</v>
      </c>
      <c r="J248" t="s">
        <v>871</v>
      </c>
      <c r="K248" t="s">
        <v>872</v>
      </c>
      <c r="L248">
        <v>1308</v>
      </c>
      <c r="N248">
        <v>1003</v>
      </c>
      <c r="O248" t="s">
        <v>17</v>
      </c>
      <c r="P248" t="s">
        <v>17</v>
      </c>
      <c r="Q248">
        <v>100</v>
      </c>
      <c r="X248">
        <v>5.5E-2</v>
      </c>
      <c r="Y248">
        <v>120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0</v>
      </c>
      <c r="AF248" t="s">
        <v>3</v>
      </c>
      <c r="AG248">
        <v>5.5E-2</v>
      </c>
      <c r="AH248">
        <v>2</v>
      </c>
      <c r="AI248">
        <v>39099796</v>
      </c>
      <c r="AJ248">
        <v>252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ROW(Source!A175)</f>
        <v>175</v>
      </c>
      <c r="B249">
        <v>39099806</v>
      </c>
      <c r="C249">
        <v>39099790</v>
      </c>
      <c r="D249">
        <v>36838317</v>
      </c>
      <c r="E249">
        <v>1</v>
      </c>
      <c r="F249">
        <v>1</v>
      </c>
      <c r="G249">
        <v>1</v>
      </c>
      <c r="H249">
        <v>3</v>
      </c>
      <c r="I249" t="s">
        <v>838</v>
      </c>
      <c r="J249" t="s">
        <v>839</v>
      </c>
      <c r="K249" t="s">
        <v>840</v>
      </c>
      <c r="L249">
        <v>1346</v>
      </c>
      <c r="N249">
        <v>1009</v>
      </c>
      <c r="O249" t="s">
        <v>97</v>
      </c>
      <c r="P249" t="s">
        <v>97</v>
      </c>
      <c r="Q249">
        <v>1</v>
      </c>
      <c r="X249">
        <v>0.05</v>
      </c>
      <c r="Y249">
        <v>28.6</v>
      </c>
      <c r="Z249">
        <v>0</v>
      </c>
      <c r="AA249">
        <v>0</v>
      </c>
      <c r="AB249">
        <v>0</v>
      </c>
      <c r="AC249">
        <v>0</v>
      </c>
      <c r="AD249">
        <v>1</v>
      </c>
      <c r="AE249">
        <v>0</v>
      </c>
      <c r="AF249" t="s">
        <v>3</v>
      </c>
      <c r="AG249">
        <v>0.05</v>
      </c>
      <c r="AH249">
        <v>2</v>
      </c>
      <c r="AI249">
        <v>39099797</v>
      </c>
      <c r="AJ249">
        <v>253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ROW(Source!A175)</f>
        <v>175</v>
      </c>
      <c r="B250">
        <v>39099807</v>
      </c>
      <c r="C250">
        <v>39099790</v>
      </c>
      <c r="D250">
        <v>36799065</v>
      </c>
      <c r="E250">
        <v>17</v>
      </c>
      <c r="F250">
        <v>1</v>
      </c>
      <c r="G250">
        <v>1</v>
      </c>
      <c r="H250">
        <v>3</v>
      </c>
      <c r="I250" t="s">
        <v>801</v>
      </c>
      <c r="J250" t="s">
        <v>3</v>
      </c>
      <c r="K250" t="s">
        <v>802</v>
      </c>
      <c r="L250">
        <v>1374</v>
      </c>
      <c r="N250">
        <v>1013</v>
      </c>
      <c r="O250" t="s">
        <v>803</v>
      </c>
      <c r="P250" t="s">
        <v>803</v>
      </c>
      <c r="Q250">
        <v>1</v>
      </c>
      <c r="X250">
        <v>0.71</v>
      </c>
      <c r="Y250">
        <v>1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3</v>
      </c>
      <c r="AG250">
        <v>0.71</v>
      </c>
      <c r="AH250">
        <v>2</v>
      </c>
      <c r="AI250">
        <v>39099798</v>
      </c>
      <c r="AJ250">
        <v>255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ROW(Source!A177)</f>
        <v>177</v>
      </c>
      <c r="B251">
        <v>39099821</v>
      </c>
      <c r="C251">
        <v>39099809</v>
      </c>
      <c r="D251">
        <v>37064878</v>
      </c>
      <c r="E251">
        <v>1</v>
      </c>
      <c r="F251">
        <v>1</v>
      </c>
      <c r="G251">
        <v>1</v>
      </c>
      <c r="H251">
        <v>1</v>
      </c>
      <c r="I251" t="s">
        <v>693</v>
      </c>
      <c r="J251" t="s">
        <v>3</v>
      </c>
      <c r="K251" t="s">
        <v>694</v>
      </c>
      <c r="L251">
        <v>1191</v>
      </c>
      <c r="N251">
        <v>1013</v>
      </c>
      <c r="O251" t="s">
        <v>641</v>
      </c>
      <c r="P251" t="s">
        <v>641</v>
      </c>
      <c r="Q251">
        <v>1</v>
      </c>
      <c r="X251">
        <v>6.29</v>
      </c>
      <c r="Y251">
        <v>0</v>
      </c>
      <c r="Z251">
        <v>0</v>
      </c>
      <c r="AA251">
        <v>0</v>
      </c>
      <c r="AB251">
        <v>9.4</v>
      </c>
      <c r="AC251">
        <v>0</v>
      </c>
      <c r="AD251">
        <v>1</v>
      </c>
      <c r="AE251">
        <v>1</v>
      </c>
      <c r="AF251" t="s">
        <v>3</v>
      </c>
      <c r="AG251">
        <v>6.29</v>
      </c>
      <c r="AH251">
        <v>2</v>
      </c>
      <c r="AI251">
        <v>39099810</v>
      </c>
      <c r="AJ251">
        <v>256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ROW(Source!A177)</f>
        <v>177</v>
      </c>
      <c r="B252">
        <v>39099822</v>
      </c>
      <c r="C252">
        <v>39099809</v>
      </c>
      <c r="D252">
        <v>37064876</v>
      </c>
      <c r="E252">
        <v>1</v>
      </c>
      <c r="F252">
        <v>1</v>
      </c>
      <c r="G252">
        <v>1</v>
      </c>
      <c r="H252">
        <v>1</v>
      </c>
      <c r="I252" t="s">
        <v>642</v>
      </c>
      <c r="J252" t="s">
        <v>3</v>
      </c>
      <c r="K252" t="s">
        <v>643</v>
      </c>
      <c r="L252">
        <v>1191</v>
      </c>
      <c r="N252">
        <v>1013</v>
      </c>
      <c r="O252" t="s">
        <v>641</v>
      </c>
      <c r="P252" t="s">
        <v>641</v>
      </c>
      <c r="Q252">
        <v>1</v>
      </c>
      <c r="X252">
        <v>0.06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2</v>
      </c>
      <c r="AF252" t="s">
        <v>3</v>
      </c>
      <c r="AG252">
        <v>0.06</v>
      </c>
      <c r="AH252">
        <v>2</v>
      </c>
      <c r="AI252">
        <v>39099811</v>
      </c>
      <c r="AJ252">
        <v>257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ROW(Source!A177)</f>
        <v>177</v>
      </c>
      <c r="B253">
        <v>39099823</v>
      </c>
      <c r="C253">
        <v>39099809</v>
      </c>
      <c r="D253">
        <v>36882159</v>
      </c>
      <c r="E253">
        <v>1</v>
      </c>
      <c r="F253">
        <v>1</v>
      </c>
      <c r="G253">
        <v>1</v>
      </c>
      <c r="H253">
        <v>2</v>
      </c>
      <c r="I253" t="s">
        <v>765</v>
      </c>
      <c r="J253" t="s">
        <v>766</v>
      </c>
      <c r="K253" t="s">
        <v>767</v>
      </c>
      <c r="L253">
        <v>1368</v>
      </c>
      <c r="N253">
        <v>1011</v>
      </c>
      <c r="O253" t="s">
        <v>647</v>
      </c>
      <c r="P253" t="s">
        <v>647</v>
      </c>
      <c r="Q253">
        <v>1</v>
      </c>
      <c r="X253">
        <v>0.03</v>
      </c>
      <c r="Y253">
        <v>0</v>
      </c>
      <c r="Z253">
        <v>111.99</v>
      </c>
      <c r="AA253">
        <v>13.5</v>
      </c>
      <c r="AB253">
        <v>0</v>
      </c>
      <c r="AC253">
        <v>0</v>
      </c>
      <c r="AD253">
        <v>1</v>
      </c>
      <c r="AE253">
        <v>0</v>
      </c>
      <c r="AF253" t="s">
        <v>3</v>
      </c>
      <c r="AG253">
        <v>0.03</v>
      </c>
      <c r="AH253">
        <v>2</v>
      </c>
      <c r="AI253">
        <v>39099812</v>
      </c>
      <c r="AJ253">
        <v>258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ROW(Source!A177)</f>
        <v>177</v>
      </c>
      <c r="B254">
        <v>39099824</v>
      </c>
      <c r="C254">
        <v>39099809</v>
      </c>
      <c r="D254">
        <v>36883554</v>
      </c>
      <c r="E254">
        <v>1</v>
      </c>
      <c r="F254">
        <v>1</v>
      </c>
      <c r="G254">
        <v>1</v>
      </c>
      <c r="H254">
        <v>2</v>
      </c>
      <c r="I254" t="s">
        <v>665</v>
      </c>
      <c r="J254" t="s">
        <v>666</v>
      </c>
      <c r="K254" t="s">
        <v>667</v>
      </c>
      <c r="L254">
        <v>1368</v>
      </c>
      <c r="N254">
        <v>1011</v>
      </c>
      <c r="O254" t="s">
        <v>647</v>
      </c>
      <c r="P254" t="s">
        <v>647</v>
      </c>
      <c r="Q254">
        <v>1</v>
      </c>
      <c r="X254">
        <v>0.03</v>
      </c>
      <c r="Y254">
        <v>0</v>
      </c>
      <c r="Z254">
        <v>65.709999999999994</v>
      </c>
      <c r="AA254">
        <v>11.6</v>
      </c>
      <c r="AB254">
        <v>0</v>
      </c>
      <c r="AC254">
        <v>0</v>
      </c>
      <c r="AD254">
        <v>1</v>
      </c>
      <c r="AE254">
        <v>0</v>
      </c>
      <c r="AF254" t="s">
        <v>3</v>
      </c>
      <c r="AG254">
        <v>0.03</v>
      </c>
      <c r="AH254">
        <v>2</v>
      </c>
      <c r="AI254">
        <v>39099813</v>
      </c>
      <c r="AJ254">
        <v>259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ROW(Source!A177)</f>
        <v>177</v>
      </c>
      <c r="B255">
        <v>39099825</v>
      </c>
      <c r="C255">
        <v>39099809</v>
      </c>
      <c r="D255">
        <v>36802094</v>
      </c>
      <c r="E255">
        <v>1</v>
      </c>
      <c r="F255">
        <v>1</v>
      </c>
      <c r="G255">
        <v>1</v>
      </c>
      <c r="H255">
        <v>3</v>
      </c>
      <c r="I255" t="s">
        <v>820</v>
      </c>
      <c r="J255" t="s">
        <v>821</v>
      </c>
      <c r="K255" t="s">
        <v>822</v>
      </c>
      <c r="L255">
        <v>1346</v>
      </c>
      <c r="N255">
        <v>1009</v>
      </c>
      <c r="O255" t="s">
        <v>97</v>
      </c>
      <c r="P255" t="s">
        <v>97</v>
      </c>
      <c r="Q255">
        <v>1</v>
      </c>
      <c r="X255">
        <v>0.32</v>
      </c>
      <c r="Y255">
        <v>30.4</v>
      </c>
      <c r="Z255">
        <v>0</v>
      </c>
      <c r="AA255">
        <v>0</v>
      </c>
      <c r="AB255">
        <v>0</v>
      </c>
      <c r="AC255">
        <v>0</v>
      </c>
      <c r="AD255">
        <v>1</v>
      </c>
      <c r="AE255">
        <v>0</v>
      </c>
      <c r="AF255" t="s">
        <v>3</v>
      </c>
      <c r="AG255">
        <v>0.32</v>
      </c>
      <c r="AH255">
        <v>2</v>
      </c>
      <c r="AI255">
        <v>39099814</v>
      </c>
      <c r="AJ255">
        <v>260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ROW(Source!A177)</f>
        <v>177</v>
      </c>
      <c r="B256">
        <v>39099826</v>
      </c>
      <c r="C256">
        <v>39099809</v>
      </c>
      <c r="D256">
        <v>36802373</v>
      </c>
      <c r="E256">
        <v>1</v>
      </c>
      <c r="F256">
        <v>1</v>
      </c>
      <c r="G256">
        <v>1</v>
      </c>
      <c r="H256">
        <v>3</v>
      </c>
      <c r="I256" t="s">
        <v>873</v>
      </c>
      <c r="J256" t="s">
        <v>874</v>
      </c>
      <c r="K256" t="s">
        <v>875</v>
      </c>
      <c r="L256">
        <v>1348</v>
      </c>
      <c r="N256">
        <v>1009</v>
      </c>
      <c r="O256" t="s">
        <v>189</v>
      </c>
      <c r="P256" t="s">
        <v>189</v>
      </c>
      <c r="Q256">
        <v>1000</v>
      </c>
      <c r="X256">
        <v>1.0499999999999999E-3</v>
      </c>
      <c r="Y256">
        <v>1820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0</v>
      </c>
      <c r="AF256" t="s">
        <v>3</v>
      </c>
      <c r="AG256">
        <v>1.0499999999999999E-3</v>
      </c>
      <c r="AH256">
        <v>2</v>
      </c>
      <c r="AI256">
        <v>39099815</v>
      </c>
      <c r="AJ256">
        <v>261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ROW(Source!A177)</f>
        <v>177</v>
      </c>
      <c r="B257">
        <v>39099827</v>
      </c>
      <c r="C257">
        <v>39099809</v>
      </c>
      <c r="D257">
        <v>36838317</v>
      </c>
      <c r="E257">
        <v>1</v>
      </c>
      <c r="F257">
        <v>1</v>
      </c>
      <c r="G257">
        <v>1</v>
      </c>
      <c r="H257">
        <v>3</v>
      </c>
      <c r="I257" t="s">
        <v>838</v>
      </c>
      <c r="J257" t="s">
        <v>839</v>
      </c>
      <c r="K257" t="s">
        <v>840</v>
      </c>
      <c r="L257">
        <v>1346</v>
      </c>
      <c r="N257">
        <v>1009</v>
      </c>
      <c r="O257" t="s">
        <v>97</v>
      </c>
      <c r="P257" t="s">
        <v>97</v>
      </c>
      <c r="Q257">
        <v>1</v>
      </c>
      <c r="X257">
        <v>0.02</v>
      </c>
      <c r="Y257">
        <v>28.6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3</v>
      </c>
      <c r="AG257">
        <v>0.02</v>
      </c>
      <c r="AH257">
        <v>2</v>
      </c>
      <c r="AI257">
        <v>39099816</v>
      </c>
      <c r="AJ257">
        <v>262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ROW(Source!A177)</f>
        <v>177</v>
      </c>
      <c r="B258">
        <v>39099828</v>
      </c>
      <c r="C258">
        <v>39099809</v>
      </c>
      <c r="D258">
        <v>36852011</v>
      </c>
      <c r="E258">
        <v>1</v>
      </c>
      <c r="F258">
        <v>1</v>
      </c>
      <c r="G258">
        <v>1</v>
      </c>
      <c r="H258">
        <v>3</v>
      </c>
      <c r="I258" t="s">
        <v>876</v>
      </c>
      <c r="J258" t="s">
        <v>877</v>
      </c>
      <c r="K258" t="s">
        <v>878</v>
      </c>
      <c r="L258">
        <v>1355</v>
      </c>
      <c r="N258">
        <v>1010</v>
      </c>
      <c r="O258" t="s">
        <v>120</v>
      </c>
      <c r="P258" t="s">
        <v>120</v>
      </c>
      <c r="Q258">
        <v>100</v>
      </c>
      <c r="X258">
        <v>0.05</v>
      </c>
      <c r="Y258">
        <v>143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3</v>
      </c>
      <c r="AG258">
        <v>0.05</v>
      </c>
      <c r="AH258">
        <v>2</v>
      </c>
      <c r="AI258">
        <v>39099817</v>
      </c>
      <c r="AJ258">
        <v>263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ROW(Source!A177)</f>
        <v>177</v>
      </c>
      <c r="B259">
        <v>39099829</v>
      </c>
      <c r="C259">
        <v>39099809</v>
      </c>
      <c r="D259">
        <v>36852061</v>
      </c>
      <c r="E259">
        <v>1</v>
      </c>
      <c r="F259">
        <v>1</v>
      </c>
      <c r="G259">
        <v>1</v>
      </c>
      <c r="H259">
        <v>3</v>
      </c>
      <c r="I259" t="s">
        <v>879</v>
      </c>
      <c r="J259" t="s">
        <v>880</v>
      </c>
      <c r="K259" t="s">
        <v>881</v>
      </c>
      <c r="L259">
        <v>1356</v>
      </c>
      <c r="N259">
        <v>1010</v>
      </c>
      <c r="O259" t="s">
        <v>690</v>
      </c>
      <c r="P259" t="s">
        <v>690</v>
      </c>
      <c r="Q259">
        <v>1000</v>
      </c>
      <c r="X259">
        <v>1.2200000000000001E-2</v>
      </c>
      <c r="Y259">
        <v>176.21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0</v>
      </c>
      <c r="AF259" t="s">
        <v>3</v>
      </c>
      <c r="AG259">
        <v>1.2200000000000001E-2</v>
      </c>
      <c r="AH259">
        <v>2</v>
      </c>
      <c r="AI259">
        <v>39099818</v>
      </c>
      <c r="AJ259">
        <v>264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ROW(Source!A177)</f>
        <v>177</v>
      </c>
      <c r="B260">
        <v>39099830</v>
      </c>
      <c r="C260">
        <v>39099809</v>
      </c>
      <c r="D260">
        <v>36799065</v>
      </c>
      <c r="E260">
        <v>17</v>
      </c>
      <c r="F260">
        <v>1</v>
      </c>
      <c r="G260">
        <v>1</v>
      </c>
      <c r="H260">
        <v>3</v>
      </c>
      <c r="I260" t="s">
        <v>801</v>
      </c>
      <c r="J260" t="s">
        <v>3</v>
      </c>
      <c r="K260" t="s">
        <v>802</v>
      </c>
      <c r="L260">
        <v>1374</v>
      </c>
      <c r="N260">
        <v>1013</v>
      </c>
      <c r="O260" t="s">
        <v>803</v>
      </c>
      <c r="P260" t="s">
        <v>803</v>
      </c>
      <c r="Q260">
        <v>1</v>
      </c>
      <c r="X260">
        <v>1.18</v>
      </c>
      <c r="Y260">
        <v>1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3</v>
      </c>
      <c r="AG260">
        <v>1.18</v>
      </c>
      <c r="AH260">
        <v>2</v>
      </c>
      <c r="AI260">
        <v>39099819</v>
      </c>
      <c r="AJ260">
        <v>266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ROW(Source!A179)</f>
        <v>179</v>
      </c>
      <c r="B261">
        <v>39491418</v>
      </c>
      <c r="C261">
        <v>39491408</v>
      </c>
      <c r="D261">
        <v>37080781</v>
      </c>
      <c r="E261">
        <v>1</v>
      </c>
      <c r="F261">
        <v>1</v>
      </c>
      <c r="G261">
        <v>1</v>
      </c>
      <c r="H261">
        <v>1</v>
      </c>
      <c r="I261" t="s">
        <v>804</v>
      </c>
      <c r="J261" t="s">
        <v>3</v>
      </c>
      <c r="K261" t="s">
        <v>805</v>
      </c>
      <c r="L261">
        <v>1191</v>
      </c>
      <c r="N261">
        <v>1013</v>
      </c>
      <c r="O261" t="s">
        <v>641</v>
      </c>
      <c r="P261" t="s">
        <v>641</v>
      </c>
      <c r="Q261">
        <v>1</v>
      </c>
      <c r="X261">
        <v>35.130000000000003</v>
      </c>
      <c r="Y261">
        <v>0</v>
      </c>
      <c r="Z261">
        <v>0</v>
      </c>
      <c r="AA261">
        <v>0</v>
      </c>
      <c r="AB261">
        <v>9.92</v>
      </c>
      <c r="AC261">
        <v>0</v>
      </c>
      <c r="AD261">
        <v>1</v>
      </c>
      <c r="AE261">
        <v>1</v>
      </c>
      <c r="AF261" t="s">
        <v>3</v>
      </c>
      <c r="AG261">
        <v>35.130000000000003</v>
      </c>
      <c r="AH261">
        <v>2</v>
      </c>
      <c r="AI261">
        <v>39491409</v>
      </c>
      <c r="AJ261">
        <v>267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ROW(Source!A179)</f>
        <v>179</v>
      </c>
      <c r="B262">
        <v>39491419</v>
      </c>
      <c r="C262">
        <v>39491408</v>
      </c>
      <c r="D262">
        <v>37064876</v>
      </c>
      <c r="E262">
        <v>1</v>
      </c>
      <c r="F262">
        <v>1</v>
      </c>
      <c r="G262">
        <v>1</v>
      </c>
      <c r="H262">
        <v>1</v>
      </c>
      <c r="I262" t="s">
        <v>642</v>
      </c>
      <c r="J262" t="s">
        <v>3</v>
      </c>
      <c r="K262" t="s">
        <v>643</v>
      </c>
      <c r="L262">
        <v>1191</v>
      </c>
      <c r="N262">
        <v>1013</v>
      </c>
      <c r="O262" t="s">
        <v>641</v>
      </c>
      <c r="P262" t="s">
        <v>641</v>
      </c>
      <c r="Q262">
        <v>1</v>
      </c>
      <c r="X262">
        <v>0.05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2</v>
      </c>
      <c r="AF262" t="s">
        <v>3</v>
      </c>
      <c r="AG262">
        <v>0.05</v>
      </c>
      <c r="AH262">
        <v>2</v>
      </c>
      <c r="AI262">
        <v>39491410</v>
      </c>
      <c r="AJ262">
        <v>268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ROW(Source!A179)</f>
        <v>179</v>
      </c>
      <c r="B263">
        <v>39491420</v>
      </c>
      <c r="C263">
        <v>39491408</v>
      </c>
      <c r="D263">
        <v>36882159</v>
      </c>
      <c r="E263">
        <v>1</v>
      </c>
      <c r="F263">
        <v>1</v>
      </c>
      <c r="G263">
        <v>1</v>
      </c>
      <c r="H263">
        <v>2</v>
      </c>
      <c r="I263" t="s">
        <v>765</v>
      </c>
      <c r="J263" t="s">
        <v>766</v>
      </c>
      <c r="K263" t="s">
        <v>767</v>
      </c>
      <c r="L263">
        <v>1368</v>
      </c>
      <c r="N263">
        <v>1011</v>
      </c>
      <c r="O263" t="s">
        <v>647</v>
      </c>
      <c r="P263" t="s">
        <v>647</v>
      </c>
      <c r="Q263">
        <v>1</v>
      </c>
      <c r="X263">
        <v>0.03</v>
      </c>
      <c r="Y263">
        <v>0</v>
      </c>
      <c r="Z263">
        <v>111.99</v>
      </c>
      <c r="AA263">
        <v>13.5</v>
      </c>
      <c r="AB263">
        <v>0</v>
      </c>
      <c r="AC263">
        <v>0</v>
      </c>
      <c r="AD263">
        <v>1</v>
      </c>
      <c r="AE263">
        <v>0</v>
      </c>
      <c r="AF263" t="s">
        <v>3</v>
      </c>
      <c r="AG263">
        <v>0.03</v>
      </c>
      <c r="AH263">
        <v>2</v>
      </c>
      <c r="AI263">
        <v>39491411</v>
      </c>
      <c r="AJ263">
        <v>269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ROW(Source!A179)</f>
        <v>179</v>
      </c>
      <c r="B264">
        <v>39491421</v>
      </c>
      <c r="C264">
        <v>39491408</v>
      </c>
      <c r="D264">
        <v>36883554</v>
      </c>
      <c r="E264">
        <v>1</v>
      </c>
      <c r="F264">
        <v>1</v>
      </c>
      <c r="G264">
        <v>1</v>
      </c>
      <c r="H264">
        <v>2</v>
      </c>
      <c r="I264" t="s">
        <v>665</v>
      </c>
      <c r="J264" t="s">
        <v>666</v>
      </c>
      <c r="K264" t="s">
        <v>667</v>
      </c>
      <c r="L264">
        <v>1368</v>
      </c>
      <c r="N264">
        <v>1011</v>
      </c>
      <c r="O264" t="s">
        <v>647</v>
      </c>
      <c r="P264" t="s">
        <v>647</v>
      </c>
      <c r="Q264">
        <v>1</v>
      </c>
      <c r="X264">
        <v>0.02</v>
      </c>
      <c r="Y264">
        <v>0</v>
      </c>
      <c r="Z264">
        <v>65.709999999999994</v>
      </c>
      <c r="AA264">
        <v>11.6</v>
      </c>
      <c r="AB264">
        <v>0</v>
      </c>
      <c r="AC264">
        <v>0</v>
      </c>
      <c r="AD264">
        <v>1</v>
      </c>
      <c r="AE264">
        <v>0</v>
      </c>
      <c r="AF264" t="s">
        <v>3</v>
      </c>
      <c r="AG264">
        <v>0.02</v>
      </c>
      <c r="AH264">
        <v>2</v>
      </c>
      <c r="AI264">
        <v>39491412</v>
      </c>
      <c r="AJ264">
        <v>270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ROW(Source!A179)</f>
        <v>179</v>
      </c>
      <c r="B265">
        <v>39491422</v>
      </c>
      <c r="C265">
        <v>39491408</v>
      </c>
      <c r="D265">
        <v>36804580</v>
      </c>
      <c r="E265">
        <v>1</v>
      </c>
      <c r="F265">
        <v>1</v>
      </c>
      <c r="G265">
        <v>1</v>
      </c>
      <c r="H265">
        <v>3</v>
      </c>
      <c r="I265" t="s">
        <v>829</v>
      </c>
      <c r="J265" t="s">
        <v>830</v>
      </c>
      <c r="K265" t="s">
        <v>831</v>
      </c>
      <c r="L265">
        <v>1355</v>
      </c>
      <c r="N265">
        <v>1010</v>
      </c>
      <c r="O265" t="s">
        <v>120</v>
      </c>
      <c r="P265" t="s">
        <v>120</v>
      </c>
      <c r="Q265">
        <v>100</v>
      </c>
      <c r="X265">
        <v>1.02</v>
      </c>
      <c r="Y265">
        <v>86</v>
      </c>
      <c r="Z265">
        <v>0</v>
      </c>
      <c r="AA265">
        <v>0</v>
      </c>
      <c r="AB265">
        <v>0</v>
      </c>
      <c r="AC265">
        <v>0</v>
      </c>
      <c r="AD265">
        <v>1</v>
      </c>
      <c r="AE265">
        <v>0</v>
      </c>
      <c r="AF265" t="s">
        <v>3</v>
      </c>
      <c r="AG265">
        <v>1.02</v>
      </c>
      <c r="AH265">
        <v>2</v>
      </c>
      <c r="AI265">
        <v>39491413</v>
      </c>
      <c r="AJ265">
        <v>271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ROW(Source!A179)</f>
        <v>179</v>
      </c>
      <c r="B266">
        <v>39491423</v>
      </c>
      <c r="C266">
        <v>39491408</v>
      </c>
      <c r="D266">
        <v>36804940</v>
      </c>
      <c r="E266">
        <v>1</v>
      </c>
      <c r="F266">
        <v>1</v>
      </c>
      <c r="G266">
        <v>1</v>
      </c>
      <c r="H266">
        <v>3</v>
      </c>
      <c r="I266" t="s">
        <v>882</v>
      </c>
      <c r="J266" t="s">
        <v>883</v>
      </c>
      <c r="K266" t="s">
        <v>884</v>
      </c>
      <c r="L266">
        <v>1348</v>
      </c>
      <c r="N266">
        <v>1009</v>
      </c>
      <c r="O266" t="s">
        <v>189</v>
      </c>
      <c r="P266" t="s">
        <v>189</v>
      </c>
      <c r="Q266">
        <v>1000</v>
      </c>
      <c r="X266">
        <v>1.6000000000000001E-4</v>
      </c>
      <c r="Y266">
        <v>29800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0</v>
      </c>
      <c r="AF266" t="s">
        <v>3</v>
      </c>
      <c r="AG266">
        <v>1.6000000000000001E-4</v>
      </c>
      <c r="AH266">
        <v>2</v>
      </c>
      <c r="AI266">
        <v>39491414</v>
      </c>
      <c r="AJ266">
        <v>272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ROW(Source!A179)</f>
        <v>179</v>
      </c>
      <c r="B267">
        <v>39491424</v>
      </c>
      <c r="C267">
        <v>39491408</v>
      </c>
      <c r="D267">
        <v>36804944</v>
      </c>
      <c r="E267">
        <v>1</v>
      </c>
      <c r="F267">
        <v>1</v>
      </c>
      <c r="G267">
        <v>1</v>
      </c>
      <c r="H267">
        <v>3</v>
      </c>
      <c r="I267" t="s">
        <v>798</v>
      </c>
      <c r="J267" t="s">
        <v>799</v>
      </c>
      <c r="K267" t="s">
        <v>800</v>
      </c>
      <c r="L267">
        <v>1348</v>
      </c>
      <c r="N267">
        <v>1009</v>
      </c>
      <c r="O267" t="s">
        <v>189</v>
      </c>
      <c r="P267" t="s">
        <v>189</v>
      </c>
      <c r="Q267">
        <v>1000</v>
      </c>
      <c r="X267">
        <v>2.9999999999999997E-4</v>
      </c>
      <c r="Y267">
        <v>12430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0</v>
      </c>
      <c r="AF267" t="s">
        <v>3</v>
      </c>
      <c r="AG267">
        <v>2.9999999999999997E-4</v>
      </c>
      <c r="AH267">
        <v>2</v>
      </c>
      <c r="AI267">
        <v>39491415</v>
      </c>
      <c r="AJ267">
        <v>273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ROW(Source!A179)</f>
        <v>179</v>
      </c>
      <c r="B268">
        <v>39491425</v>
      </c>
      <c r="C268">
        <v>39491408</v>
      </c>
      <c r="D268">
        <v>36799065</v>
      </c>
      <c r="E268">
        <v>17</v>
      </c>
      <c r="F268">
        <v>1</v>
      </c>
      <c r="G268">
        <v>1</v>
      </c>
      <c r="H268">
        <v>3</v>
      </c>
      <c r="I268" t="s">
        <v>801</v>
      </c>
      <c r="J268" t="s">
        <v>3</v>
      </c>
      <c r="K268" t="s">
        <v>802</v>
      </c>
      <c r="L268">
        <v>1374</v>
      </c>
      <c r="N268">
        <v>1013</v>
      </c>
      <c r="O268" t="s">
        <v>803</v>
      </c>
      <c r="P268" t="s">
        <v>803</v>
      </c>
      <c r="Q268">
        <v>1</v>
      </c>
      <c r="X268">
        <v>6.97</v>
      </c>
      <c r="Y268">
        <v>1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3</v>
      </c>
      <c r="AG268">
        <v>6.97</v>
      </c>
      <c r="AH268">
        <v>2</v>
      </c>
      <c r="AI268">
        <v>39491417</v>
      </c>
      <c r="AJ268">
        <v>275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ROW(Source!A181)</f>
        <v>181</v>
      </c>
      <c r="B269">
        <v>39491439</v>
      </c>
      <c r="C269">
        <v>39491427</v>
      </c>
      <c r="D269">
        <v>37080781</v>
      </c>
      <c r="E269">
        <v>1</v>
      </c>
      <c r="F269">
        <v>1</v>
      </c>
      <c r="G269">
        <v>1</v>
      </c>
      <c r="H269">
        <v>1</v>
      </c>
      <c r="I269" t="s">
        <v>804</v>
      </c>
      <c r="J269" t="s">
        <v>3</v>
      </c>
      <c r="K269" t="s">
        <v>805</v>
      </c>
      <c r="L269">
        <v>1191</v>
      </c>
      <c r="N269">
        <v>1013</v>
      </c>
      <c r="O269" t="s">
        <v>641</v>
      </c>
      <c r="P269" t="s">
        <v>641</v>
      </c>
      <c r="Q269">
        <v>1</v>
      </c>
      <c r="X269">
        <v>34.56</v>
      </c>
      <c r="Y269">
        <v>0</v>
      </c>
      <c r="Z269">
        <v>0</v>
      </c>
      <c r="AA269">
        <v>0</v>
      </c>
      <c r="AB269">
        <v>9.92</v>
      </c>
      <c r="AC269">
        <v>0</v>
      </c>
      <c r="AD269">
        <v>1</v>
      </c>
      <c r="AE269">
        <v>1</v>
      </c>
      <c r="AF269" t="s">
        <v>3</v>
      </c>
      <c r="AG269">
        <v>34.56</v>
      </c>
      <c r="AH269">
        <v>2</v>
      </c>
      <c r="AI269">
        <v>39491428</v>
      </c>
      <c r="AJ269">
        <v>276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ROW(Source!A181)</f>
        <v>181</v>
      </c>
      <c r="B270">
        <v>39491440</v>
      </c>
      <c r="C270">
        <v>39491427</v>
      </c>
      <c r="D270">
        <v>37064876</v>
      </c>
      <c r="E270">
        <v>1</v>
      </c>
      <c r="F270">
        <v>1</v>
      </c>
      <c r="G270">
        <v>1</v>
      </c>
      <c r="H270">
        <v>1</v>
      </c>
      <c r="I270" t="s">
        <v>642</v>
      </c>
      <c r="J270" t="s">
        <v>3</v>
      </c>
      <c r="K270" t="s">
        <v>643</v>
      </c>
      <c r="L270">
        <v>1191</v>
      </c>
      <c r="N270">
        <v>1013</v>
      </c>
      <c r="O270" t="s">
        <v>641</v>
      </c>
      <c r="P270" t="s">
        <v>641</v>
      </c>
      <c r="Q270">
        <v>1</v>
      </c>
      <c r="X270">
        <v>0.05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2</v>
      </c>
      <c r="AF270" t="s">
        <v>3</v>
      </c>
      <c r="AG270">
        <v>0.05</v>
      </c>
      <c r="AH270">
        <v>2</v>
      </c>
      <c r="AI270">
        <v>39491429</v>
      </c>
      <c r="AJ270">
        <v>277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ROW(Source!A181)</f>
        <v>181</v>
      </c>
      <c r="B271">
        <v>39491441</v>
      </c>
      <c r="C271">
        <v>39491427</v>
      </c>
      <c r="D271">
        <v>36882159</v>
      </c>
      <c r="E271">
        <v>1</v>
      </c>
      <c r="F271">
        <v>1</v>
      </c>
      <c r="G271">
        <v>1</v>
      </c>
      <c r="H271">
        <v>2</v>
      </c>
      <c r="I271" t="s">
        <v>765</v>
      </c>
      <c r="J271" t="s">
        <v>766</v>
      </c>
      <c r="K271" t="s">
        <v>767</v>
      </c>
      <c r="L271">
        <v>1368</v>
      </c>
      <c r="N271">
        <v>1011</v>
      </c>
      <c r="O271" t="s">
        <v>647</v>
      </c>
      <c r="P271" t="s">
        <v>647</v>
      </c>
      <c r="Q271">
        <v>1</v>
      </c>
      <c r="X271">
        <v>0.03</v>
      </c>
      <c r="Y271">
        <v>0</v>
      </c>
      <c r="Z271">
        <v>111.99</v>
      </c>
      <c r="AA271">
        <v>13.5</v>
      </c>
      <c r="AB271">
        <v>0</v>
      </c>
      <c r="AC271">
        <v>0</v>
      </c>
      <c r="AD271">
        <v>1</v>
      </c>
      <c r="AE271">
        <v>0</v>
      </c>
      <c r="AF271" t="s">
        <v>3</v>
      </c>
      <c r="AG271">
        <v>0.03</v>
      </c>
      <c r="AH271">
        <v>2</v>
      </c>
      <c r="AI271">
        <v>39491430</v>
      </c>
      <c r="AJ271">
        <v>278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ROW(Source!A181)</f>
        <v>181</v>
      </c>
      <c r="B272">
        <v>39491442</v>
      </c>
      <c r="C272">
        <v>39491427</v>
      </c>
      <c r="D272">
        <v>36883554</v>
      </c>
      <c r="E272">
        <v>1</v>
      </c>
      <c r="F272">
        <v>1</v>
      </c>
      <c r="G272">
        <v>1</v>
      </c>
      <c r="H272">
        <v>2</v>
      </c>
      <c r="I272" t="s">
        <v>665</v>
      </c>
      <c r="J272" t="s">
        <v>666</v>
      </c>
      <c r="K272" t="s">
        <v>667</v>
      </c>
      <c r="L272">
        <v>1368</v>
      </c>
      <c r="N272">
        <v>1011</v>
      </c>
      <c r="O272" t="s">
        <v>647</v>
      </c>
      <c r="P272" t="s">
        <v>647</v>
      </c>
      <c r="Q272">
        <v>1</v>
      </c>
      <c r="X272">
        <v>0.02</v>
      </c>
      <c r="Y272">
        <v>0</v>
      </c>
      <c r="Z272">
        <v>65.709999999999994</v>
      </c>
      <c r="AA272">
        <v>11.6</v>
      </c>
      <c r="AB272">
        <v>0</v>
      </c>
      <c r="AC272">
        <v>0</v>
      </c>
      <c r="AD272">
        <v>1</v>
      </c>
      <c r="AE272">
        <v>0</v>
      </c>
      <c r="AF272" t="s">
        <v>3</v>
      </c>
      <c r="AG272">
        <v>0.02</v>
      </c>
      <c r="AH272">
        <v>2</v>
      </c>
      <c r="AI272">
        <v>39491431</v>
      </c>
      <c r="AJ272">
        <v>279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ROW(Source!A181)</f>
        <v>181</v>
      </c>
      <c r="B273">
        <v>39491443</v>
      </c>
      <c r="C273">
        <v>39491427</v>
      </c>
      <c r="D273">
        <v>36802094</v>
      </c>
      <c r="E273">
        <v>1</v>
      </c>
      <c r="F273">
        <v>1</v>
      </c>
      <c r="G273">
        <v>1</v>
      </c>
      <c r="H273">
        <v>3</v>
      </c>
      <c r="I273" t="s">
        <v>820</v>
      </c>
      <c r="J273" t="s">
        <v>821</v>
      </c>
      <c r="K273" t="s">
        <v>822</v>
      </c>
      <c r="L273">
        <v>1346</v>
      </c>
      <c r="N273">
        <v>1009</v>
      </c>
      <c r="O273" t="s">
        <v>97</v>
      </c>
      <c r="P273" t="s">
        <v>97</v>
      </c>
      <c r="Q273">
        <v>1</v>
      </c>
      <c r="X273">
        <v>0.11</v>
      </c>
      <c r="Y273">
        <v>30.4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0</v>
      </c>
      <c r="AF273" t="s">
        <v>3</v>
      </c>
      <c r="AG273">
        <v>0.11</v>
      </c>
      <c r="AH273">
        <v>2</v>
      </c>
      <c r="AI273">
        <v>39491432</v>
      </c>
      <c r="AJ273">
        <v>280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ROW(Source!A181)</f>
        <v>181</v>
      </c>
      <c r="B274">
        <v>39491444</v>
      </c>
      <c r="C274">
        <v>39491427</v>
      </c>
      <c r="D274">
        <v>36804580</v>
      </c>
      <c r="E274">
        <v>1</v>
      </c>
      <c r="F274">
        <v>1</v>
      </c>
      <c r="G274">
        <v>1</v>
      </c>
      <c r="H274">
        <v>3</v>
      </c>
      <c r="I274" t="s">
        <v>829</v>
      </c>
      <c r="J274" t="s">
        <v>830</v>
      </c>
      <c r="K274" t="s">
        <v>831</v>
      </c>
      <c r="L274">
        <v>1355</v>
      </c>
      <c r="N274">
        <v>1010</v>
      </c>
      <c r="O274" t="s">
        <v>120</v>
      </c>
      <c r="P274" t="s">
        <v>120</v>
      </c>
      <c r="Q274">
        <v>100</v>
      </c>
      <c r="X274">
        <v>1.02</v>
      </c>
      <c r="Y274">
        <v>86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0</v>
      </c>
      <c r="AF274" t="s">
        <v>3</v>
      </c>
      <c r="AG274">
        <v>1.02</v>
      </c>
      <c r="AH274">
        <v>2</v>
      </c>
      <c r="AI274">
        <v>39491433</v>
      </c>
      <c r="AJ274">
        <v>281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ROW(Source!A181)</f>
        <v>181</v>
      </c>
      <c r="B275">
        <v>39491445</v>
      </c>
      <c r="C275">
        <v>39491427</v>
      </c>
      <c r="D275">
        <v>36804940</v>
      </c>
      <c r="E275">
        <v>1</v>
      </c>
      <c r="F275">
        <v>1</v>
      </c>
      <c r="G275">
        <v>1</v>
      </c>
      <c r="H275">
        <v>3</v>
      </c>
      <c r="I275" t="s">
        <v>882</v>
      </c>
      <c r="J275" t="s">
        <v>883</v>
      </c>
      <c r="K275" t="s">
        <v>884</v>
      </c>
      <c r="L275">
        <v>1348</v>
      </c>
      <c r="N275">
        <v>1009</v>
      </c>
      <c r="O275" t="s">
        <v>189</v>
      </c>
      <c r="P275" t="s">
        <v>189</v>
      </c>
      <c r="Q275">
        <v>1000</v>
      </c>
      <c r="X275">
        <v>1.6000000000000001E-4</v>
      </c>
      <c r="Y275">
        <v>29800</v>
      </c>
      <c r="Z275">
        <v>0</v>
      </c>
      <c r="AA275">
        <v>0</v>
      </c>
      <c r="AB275">
        <v>0</v>
      </c>
      <c r="AC275">
        <v>0</v>
      </c>
      <c r="AD275">
        <v>1</v>
      </c>
      <c r="AE275">
        <v>0</v>
      </c>
      <c r="AF275" t="s">
        <v>3</v>
      </c>
      <c r="AG275">
        <v>1.6000000000000001E-4</v>
      </c>
      <c r="AH275">
        <v>2</v>
      </c>
      <c r="AI275">
        <v>39491434</v>
      </c>
      <c r="AJ275">
        <v>282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ROW(Source!A181)</f>
        <v>181</v>
      </c>
      <c r="B276">
        <v>39491446</v>
      </c>
      <c r="C276">
        <v>39491427</v>
      </c>
      <c r="D276">
        <v>36804944</v>
      </c>
      <c r="E276">
        <v>1</v>
      </c>
      <c r="F276">
        <v>1</v>
      </c>
      <c r="G276">
        <v>1</v>
      </c>
      <c r="H276">
        <v>3</v>
      </c>
      <c r="I276" t="s">
        <v>798</v>
      </c>
      <c r="J276" t="s">
        <v>799</v>
      </c>
      <c r="K276" t="s">
        <v>800</v>
      </c>
      <c r="L276">
        <v>1348</v>
      </c>
      <c r="N276">
        <v>1009</v>
      </c>
      <c r="O276" t="s">
        <v>189</v>
      </c>
      <c r="P276" t="s">
        <v>189</v>
      </c>
      <c r="Q276">
        <v>1000</v>
      </c>
      <c r="X276">
        <v>2.9999999999999997E-4</v>
      </c>
      <c r="Y276">
        <v>12430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3</v>
      </c>
      <c r="AG276">
        <v>2.9999999999999997E-4</v>
      </c>
      <c r="AH276">
        <v>2</v>
      </c>
      <c r="AI276">
        <v>39491435</v>
      </c>
      <c r="AJ276">
        <v>283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ROW(Source!A181)</f>
        <v>181</v>
      </c>
      <c r="B277">
        <v>39491447</v>
      </c>
      <c r="C277">
        <v>39491427</v>
      </c>
      <c r="D277">
        <v>36799065</v>
      </c>
      <c r="E277">
        <v>17</v>
      </c>
      <c r="F277">
        <v>1</v>
      </c>
      <c r="G277">
        <v>1</v>
      </c>
      <c r="H277">
        <v>3</v>
      </c>
      <c r="I277" t="s">
        <v>801</v>
      </c>
      <c r="J277" t="s">
        <v>3</v>
      </c>
      <c r="K277" t="s">
        <v>802</v>
      </c>
      <c r="L277">
        <v>1374</v>
      </c>
      <c r="N277">
        <v>1013</v>
      </c>
      <c r="O277" t="s">
        <v>803</v>
      </c>
      <c r="P277" t="s">
        <v>803</v>
      </c>
      <c r="Q277">
        <v>1</v>
      </c>
      <c r="X277">
        <v>6.86</v>
      </c>
      <c r="Y277">
        <v>1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3</v>
      </c>
      <c r="AG277">
        <v>6.86</v>
      </c>
      <c r="AH277">
        <v>2</v>
      </c>
      <c r="AI277">
        <v>39491438</v>
      </c>
      <c r="AJ277">
        <v>286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ROW(Source!A184)</f>
        <v>184</v>
      </c>
      <c r="B278">
        <v>39491460</v>
      </c>
      <c r="C278">
        <v>39491450</v>
      </c>
      <c r="D278">
        <v>37077359</v>
      </c>
      <c r="E278">
        <v>1</v>
      </c>
      <c r="F278">
        <v>1</v>
      </c>
      <c r="G278">
        <v>1</v>
      </c>
      <c r="H278">
        <v>1</v>
      </c>
      <c r="I278" t="s">
        <v>885</v>
      </c>
      <c r="J278" t="s">
        <v>3</v>
      </c>
      <c r="K278" t="s">
        <v>886</v>
      </c>
      <c r="L278">
        <v>1191</v>
      </c>
      <c r="N278">
        <v>1013</v>
      </c>
      <c r="O278" t="s">
        <v>641</v>
      </c>
      <c r="P278" t="s">
        <v>641</v>
      </c>
      <c r="Q278">
        <v>1</v>
      </c>
      <c r="X278">
        <v>0.9</v>
      </c>
      <c r="Y278">
        <v>0</v>
      </c>
      <c r="Z278">
        <v>0</v>
      </c>
      <c r="AA278">
        <v>0</v>
      </c>
      <c r="AB278">
        <v>10.5</v>
      </c>
      <c r="AC278">
        <v>0</v>
      </c>
      <c r="AD278">
        <v>1</v>
      </c>
      <c r="AE278">
        <v>1</v>
      </c>
      <c r="AF278" t="s">
        <v>3</v>
      </c>
      <c r="AG278">
        <v>0.9</v>
      </c>
      <c r="AH278">
        <v>2</v>
      </c>
      <c r="AI278">
        <v>39491451</v>
      </c>
      <c r="AJ278">
        <v>287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ROW(Source!A184)</f>
        <v>184</v>
      </c>
      <c r="B279">
        <v>39491461</v>
      </c>
      <c r="C279">
        <v>39491450</v>
      </c>
      <c r="D279">
        <v>37064876</v>
      </c>
      <c r="E279">
        <v>1</v>
      </c>
      <c r="F279">
        <v>1</v>
      </c>
      <c r="G279">
        <v>1</v>
      </c>
      <c r="H279">
        <v>1</v>
      </c>
      <c r="I279" t="s">
        <v>642</v>
      </c>
      <c r="J279" t="s">
        <v>3</v>
      </c>
      <c r="K279" t="s">
        <v>643</v>
      </c>
      <c r="L279">
        <v>1191</v>
      </c>
      <c r="N279">
        <v>1013</v>
      </c>
      <c r="O279" t="s">
        <v>641</v>
      </c>
      <c r="P279" t="s">
        <v>641</v>
      </c>
      <c r="Q279">
        <v>1</v>
      </c>
      <c r="X279">
        <v>0.2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2</v>
      </c>
      <c r="AF279" t="s">
        <v>3</v>
      </c>
      <c r="AG279">
        <v>0.2</v>
      </c>
      <c r="AH279">
        <v>2</v>
      </c>
      <c r="AI279">
        <v>39491452</v>
      </c>
      <c r="AJ279">
        <v>288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ROW(Source!A184)</f>
        <v>184</v>
      </c>
      <c r="B280">
        <v>39491462</v>
      </c>
      <c r="C280">
        <v>39491450</v>
      </c>
      <c r="D280">
        <v>36882159</v>
      </c>
      <c r="E280">
        <v>1</v>
      </c>
      <c r="F280">
        <v>1</v>
      </c>
      <c r="G280">
        <v>1</v>
      </c>
      <c r="H280">
        <v>2</v>
      </c>
      <c r="I280" t="s">
        <v>765</v>
      </c>
      <c r="J280" t="s">
        <v>766</v>
      </c>
      <c r="K280" t="s">
        <v>767</v>
      </c>
      <c r="L280">
        <v>1368</v>
      </c>
      <c r="N280">
        <v>1011</v>
      </c>
      <c r="O280" t="s">
        <v>647</v>
      </c>
      <c r="P280" t="s">
        <v>647</v>
      </c>
      <c r="Q280">
        <v>1</v>
      </c>
      <c r="X280">
        <v>0.1</v>
      </c>
      <c r="Y280">
        <v>0</v>
      </c>
      <c r="Z280">
        <v>111.99</v>
      </c>
      <c r="AA280">
        <v>13.5</v>
      </c>
      <c r="AB280">
        <v>0</v>
      </c>
      <c r="AC280">
        <v>0</v>
      </c>
      <c r="AD280">
        <v>1</v>
      </c>
      <c r="AE280">
        <v>0</v>
      </c>
      <c r="AF280" t="s">
        <v>3</v>
      </c>
      <c r="AG280">
        <v>0.1</v>
      </c>
      <c r="AH280">
        <v>2</v>
      </c>
      <c r="AI280">
        <v>39491453</v>
      </c>
      <c r="AJ280">
        <v>289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ROW(Source!A184)</f>
        <v>184</v>
      </c>
      <c r="B281">
        <v>39491463</v>
      </c>
      <c r="C281">
        <v>39491450</v>
      </c>
      <c r="D281">
        <v>36883554</v>
      </c>
      <c r="E281">
        <v>1</v>
      </c>
      <c r="F281">
        <v>1</v>
      </c>
      <c r="G281">
        <v>1</v>
      </c>
      <c r="H281">
        <v>2</v>
      </c>
      <c r="I281" t="s">
        <v>665</v>
      </c>
      <c r="J281" t="s">
        <v>666</v>
      </c>
      <c r="K281" t="s">
        <v>667</v>
      </c>
      <c r="L281">
        <v>1368</v>
      </c>
      <c r="N281">
        <v>1011</v>
      </c>
      <c r="O281" t="s">
        <v>647</v>
      </c>
      <c r="P281" t="s">
        <v>647</v>
      </c>
      <c r="Q281">
        <v>1</v>
      </c>
      <c r="X281">
        <v>0.1</v>
      </c>
      <c r="Y281">
        <v>0</v>
      </c>
      <c r="Z281">
        <v>65.709999999999994</v>
      </c>
      <c r="AA281">
        <v>11.6</v>
      </c>
      <c r="AB281">
        <v>0</v>
      </c>
      <c r="AC281">
        <v>0</v>
      </c>
      <c r="AD281">
        <v>1</v>
      </c>
      <c r="AE281">
        <v>0</v>
      </c>
      <c r="AF281" t="s">
        <v>3</v>
      </c>
      <c r="AG281">
        <v>0.1</v>
      </c>
      <c r="AH281">
        <v>2</v>
      </c>
      <c r="AI281">
        <v>39491454</v>
      </c>
      <c r="AJ281">
        <v>290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ROW(Source!A184)</f>
        <v>184</v>
      </c>
      <c r="B282">
        <v>39491464</v>
      </c>
      <c r="C282">
        <v>39491450</v>
      </c>
      <c r="D282">
        <v>36802094</v>
      </c>
      <c r="E282">
        <v>1</v>
      </c>
      <c r="F282">
        <v>1</v>
      </c>
      <c r="G282">
        <v>1</v>
      </c>
      <c r="H282">
        <v>3</v>
      </c>
      <c r="I282" t="s">
        <v>820</v>
      </c>
      <c r="J282" t="s">
        <v>821</v>
      </c>
      <c r="K282" t="s">
        <v>822</v>
      </c>
      <c r="L282">
        <v>1346</v>
      </c>
      <c r="N282">
        <v>1009</v>
      </c>
      <c r="O282" t="s">
        <v>97</v>
      </c>
      <c r="P282" t="s">
        <v>97</v>
      </c>
      <c r="Q282">
        <v>1</v>
      </c>
      <c r="X282">
        <v>0.01</v>
      </c>
      <c r="Y282">
        <v>30.4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0</v>
      </c>
      <c r="AF282" t="s">
        <v>3</v>
      </c>
      <c r="AG282">
        <v>0.01</v>
      </c>
      <c r="AH282">
        <v>2</v>
      </c>
      <c r="AI282">
        <v>39491455</v>
      </c>
      <c r="AJ282">
        <v>291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ROW(Source!A184)</f>
        <v>184</v>
      </c>
      <c r="B283">
        <v>39491465</v>
      </c>
      <c r="C283">
        <v>39491450</v>
      </c>
      <c r="D283">
        <v>36804448</v>
      </c>
      <c r="E283">
        <v>1</v>
      </c>
      <c r="F283">
        <v>1</v>
      </c>
      <c r="G283">
        <v>1</v>
      </c>
      <c r="H283">
        <v>3</v>
      </c>
      <c r="I283" t="s">
        <v>826</v>
      </c>
      <c r="J283" t="s">
        <v>827</v>
      </c>
      <c r="K283" t="s">
        <v>828</v>
      </c>
      <c r="L283">
        <v>1346</v>
      </c>
      <c r="N283">
        <v>1009</v>
      </c>
      <c r="O283" t="s">
        <v>97</v>
      </c>
      <c r="P283" t="s">
        <v>97</v>
      </c>
      <c r="Q283">
        <v>1</v>
      </c>
      <c r="X283">
        <v>0.3</v>
      </c>
      <c r="Y283">
        <v>9.0399999999999991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0</v>
      </c>
      <c r="AF283" t="s">
        <v>3</v>
      </c>
      <c r="AG283">
        <v>0.3</v>
      </c>
      <c r="AH283">
        <v>2</v>
      </c>
      <c r="AI283">
        <v>39491456</v>
      </c>
      <c r="AJ283">
        <v>292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ROW(Source!A184)</f>
        <v>184</v>
      </c>
      <c r="B284">
        <v>39491466</v>
      </c>
      <c r="C284">
        <v>39491450</v>
      </c>
      <c r="D284">
        <v>36825981</v>
      </c>
      <c r="E284">
        <v>1</v>
      </c>
      <c r="F284">
        <v>1</v>
      </c>
      <c r="G284">
        <v>1</v>
      </c>
      <c r="H284">
        <v>3</v>
      </c>
      <c r="I284" t="s">
        <v>887</v>
      </c>
      <c r="J284" t="s">
        <v>888</v>
      </c>
      <c r="K284" t="s">
        <v>889</v>
      </c>
      <c r="L284">
        <v>1348</v>
      </c>
      <c r="N284">
        <v>1009</v>
      </c>
      <c r="O284" t="s">
        <v>189</v>
      </c>
      <c r="P284" t="s">
        <v>189</v>
      </c>
      <c r="Q284">
        <v>1000</v>
      </c>
      <c r="X284">
        <v>5.9999999999999995E-4</v>
      </c>
      <c r="Y284">
        <v>5000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0</v>
      </c>
      <c r="AF284" t="s">
        <v>3</v>
      </c>
      <c r="AG284">
        <v>5.9999999999999995E-4</v>
      </c>
      <c r="AH284">
        <v>2</v>
      </c>
      <c r="AI284">
        <v>39491457</v>
      </c>
      <c r="AJ284">
        <v>293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ROW(Source!A184)</f>
        <v>184</v>
      </c>
      <c r="B285">
        <v>39491467</v>
      </c>
      <c r="C285">
        <v>39491450</v>
      </c>
      <c r="D285">
        <v>36799065</v>
      </c>
      <c r="E285">
        <v>17</v>
      </c>
      <c r="F285">
        <v>1</v>
      </c>
      <c r="G285">
        <v>1</v>
      </c>
      <c r="H285">
        <v>3</v>
      </c>
      <c r="I285" t="s">
        <v>801</v>
      </c>
      <c r="J285" t="s">
        <v>3</v>
      </c>
      <c r="K285" t="s">
        <v>802</v>
      </c>
      <c r="L285">
        <v>1374</v>
      </c>
      <c r="N285">
        <v>1013</v>
      </c>
      <c r="O285" t="s">
        <v>803</v>
      </c>
      <c r="P285" t="s">
        <v>803</v>
      </c>
      <c r="Q285">
        <v>1</v>
      </c>
      <c r="X285">
        <v>0.19</v>
      </c>
      <c r="Y285">
        <v>1</v>
      </c>
      <c r="Z285">
        <v>0</v>
      </c>
      <c r="AA285">
        <v>0</v>
      </c>
      <c r="AB285">
        <v>0</v>
      </c>
      <c r="AC285">
        <v>0</v>
      </c>
      <c r="AD285">
        <v>1</v>
      </c>
      <c r="AE285">
        <v>0</v>
      </c>
      <c r="AF285" t="s">
        <v>3</v>
      </c>
      <c r="AG285">
        <v>0.19</v>
      </c>
      <c r="AH285">
        <v>2</v>
      </c>
      <c r="AI285">
        <v>39491459</v>
      </c>
      <c r="AJ285">
        <v>295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ROW(Source!A186)</f>
        <v>186</v>
      </c>
      <c r="B286">
        <v>39491489</v>
      </c>
      <c r="C286">
        <v>39491469</v>
      </c>
      <c r="D286">
        <v>37070202</v>
      </c>
      <c r="E286">
        <v>1</v>
      </c>
      <c r="F286">
        <v>1</v>
      </c>
      <c r="G286">
        <v>1</v>
      </c>
      <c r="H286">
        <v>1</v>
      </c>
      <c r="I286" t="s">
        <v>717</v>
      </c>
      <c r="J286" t="s">
        <v>3</v>
      </c>
      <c r="K286" t="s">
        <v>718</v>
      </c>
      <c r="L286">
        <v>1191</v>
      </c>
      <c r="N286">
        <v>1013</v>
      </c>
      <c r="O286" t="s">
        <v>641</v>
      </c>
      <c r="P286" t="s">
        <v>641</v>
      </c>
      <c r="Q286">
        <v>1</v>
      </c>
      <c r="X286">
        <v>1.56</v>
      </c>
      <c r="Y286">
        <v>0</v>
      </c>
      <c r="Z286">
        <v>0</v>
      </c>
      <c r="AA286">
        <v>0</v>
      </c>
      <c r="AB286">
        <v>9.51</v>
      </c>
      <c r="AC286">
        <v>0</v>
      </c>
      <c r="AD286">
        <v>1</v>
      </c>
      <c r="AE286">
        <v>1</v>
      </c>
      <c r="AF286" t="s">
        <v>3</v>
      </c>
      <c r="AG286">
        <v>1.56</v>
      </c>
      <c r="AH286">
        <v>2</v>
      </c>
      <c r="AI286">
        <v>39491470</v>
      </c>
      <c r="AJ286">
        <v>296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ROW(Source!A186)</f>
        <v>186</v>
      </c>
      <c r="B287">
        <v>39491490</v>
      </c>
      <c r="C287">
        <v>39491469</v>
      </c>
      <c r="D287">
        <v>36883858</v>
      </c>
      <c r="E287">
        <v>1</v>
      </c>
      <c r="F287">
        <v>1</v>
      </c>
      <c r="G287">
        <v>1</v>
      </c>
      <c r="H287">
        <v>2</v>
      </c>
      <c r="I287" t="s">
        <v>783</v>
      </c>
      <c r="J287" t="s">
        <v>784</v>
      </c>
      <c r="K287" t="s">
        <v>785</v>
      </c>
      <c r="L287">
        <v>1368</v>
      </c>
      <c r="N287">
        <v>1011</v>
      </c>
      <c r="O287" t="s">
        <v>647</v>
      </c>
      <c r="P287" t="s">
        <v>647</v>
      </c>
      <c r="Q287">
        <v>1</v>
      </c>
      <c r="X287">
        <v>0.13</v>
      </c>
      <c r="Y287">
        <v>0</v>
      </c>
      <c r="Z287">
        <v>8.1</v>
      </c>
      <c r="AA287">
        <v>0</v>
      </c>
      <c r="AB287">
        <v>0</v>
      </c>
      <c r="AC287">
        <v>0</v>
      </c>
      <c r="AD287">
        <v>1</v>
      </c>
      <c r="AE287">
        <v>0</v>
      </c>
      <c r="AF287" t="s">
        <v>3</v>
      </c>
      <c r="AG287">
        <v>0.13</v>
      </c>
      <c r="AH287">
        <v>2</v>
      </c>
      <c r="AI287">
        <v>39491471</v>
      </c>
      <c r="AJ287">
        <v>297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ROW(Source!A186)</f>
        <v>186</v>
      </c>
      <c r="B288">
        <v>39491491</v>
      </c>
      <c r="C288">
        <v>39491469</v>
      </c>
      <c r="D288">
        <v>36800043</v>
      </c>
      <c r="E288">
        <v>1</v>
      </c>
      <c r="F288">
        <v>1</v>
      </c>
      <c r="G288">
        <v>1</v>
      </c>
      <c r="H288">
        <v>3</v>
      </c>
      <c r="I288" t="s">
        <v>814</v>
      </c>
      <c r="J288" t="s">
        <v>815</v>
      </c>
      <c r="K288" t="s">
        <v>816</v>
      </c>
      <c r="L288">
        <v>1346</v>
      </c>
      <c r="N288">
        <v>1009</v>
      </c>
      <c r="O288" t="s">
        <v>97</v>
      </c>
      <c r="P288" t="s">
        <v>97</v>
      </c>
      <c r="Q288">
        <v>1</v>
      </c>
      <c r="X288">
        <v>6.0000000000000001E-3</v>
      </c>
      <c r="Y288">
        <v>44.97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0</v>
      </c>
      <c r="AF288" t="s">
        <v>3</v>
      </c>
      <c r="AG288">
        <v>6.0000000000000001E-3</v>
      </c>
      <c r="AH288">
        <v>2</v>
      </c>
      <c r="AI288">
        <v>39491472</v>
      </c>
      <c r="AJ288">
        <v>298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ROW(Source!A186)</f>
        <v>186</v>
      </c>
      <c r="B289">
        <v>39491492</v>
      </c>
      <c r="C289">
        <v>39491469</v>
      </c>
      <c r="D289">
        <v>36801775</v>
      </c>
      <c r="E289">
        <v>1</v>
      </c>
      <c r="F289">
        <v>1</v>
      </c>
      <c r="G289">
        <v>1</v>
      </c>
      <c r="H289">
        <v>3</v>
      </c>
      <c r="I289" t="s">
        <v>817</v>
      </c>
      <c r="J289" t="s">
        <v>818</v>
      </c>
      <c r="K289" t="s">
        <v>819</v>
      </c>
      <c r="L289">
        <v>1346</v>
      </c>
      <c r="N289">
        <v>1009</v>
      </c>
      <c r="O289" t="s">
        <v>97</v>
      </c>
      <c r="P289" t="s">
        <v>97</v>
      </c>
      <c r="Q289">
        <v>1</v>
      </c>
      <c r="X289">
        <v>1E-3</v>
      </c>
      <c r="Y289">
        <v>11.5</v>
      </c>
      <c r="Z289">
        <v>0</v>
      </c>
      <c r="AA289">
        <v>0</v>
      </c>
      <c r="AB289">
        <v>0</v>
      </c>
      <c r="AC289">
        <v>0</v>
      </c>
      <c r="AD289">
        <v>1</v>
      </c>
      <c r="AE289">
        <v>0</v>
      </c>
      <c r="AF289" t="s">
        <v>3</v>
      </c>
      <c r="AG289">
        <v>1E-3</v>
      </c>
      <c r="AH289">
        <v>2</v>
      </c>
      <c r="AI289">
        <v>39491473</v>
      </c>
      <c r="AJ289">
        <v>299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ROW(Source!A186)</f>
        <v>186</v>
      </c>
      <c r="B290">
        <v>39491493</v>
      </c>
      <c r="C290">
        <v>39491469</v>
      </c>
      <c r="D290">
        <v>36802094</v>
      </c>
      <c r="E290">
        <v>1</v>
      </c>
      <c r="F290">
        <v>1</v>
      </c>
      <c r="G290">
        <v>1</v>
      </c>
      <c r="H290">
        <v>3</v>
      </c>
      <c r="I290" t="s">
        <v>820</v>
      </c>
      <c r="J290" t="s">
        <v>821</v>
      </c>
      <c r="K290" t="s">
        <v>822</v>
      </c>
      <c r="L290">
        <v>1346</v>
      </c>
      <c r="N290">
        <v>1009</v>
      </c>
      <c r="O290" t="s">
        <v>97</v>
      </c>
      <c r="P290" t="s">
        <v>97</v>
      </c>
      <c r="Q290">
        <v>1</v>
      </c>
      <c r="X290">
        <v>1.2E-2</v>
      </c>
      <c r="Y290">
        <v>30.4</v>
      </c>
      <c r="Z290">
        <v>0</v>
      </c>
      <c r="AA290">
        <v>0</v>
      </c>
      <c r="AB290">
        <v>0</v>
      </c>
      <c r="AC290">
        <v>0</v>
      </c>
      <c r="AD290">
        <v>1</v>
      </c>
      <c r="AE290">
        <v>0</v>
      </c>
      <c r="AF290" t="s">
        <v>3</v>
      </c>
      <c r="AG290">
        <v>1.2E-2</v>
      </c>
      <c r="AH290">
        <v>2</v>
      </c>
      <c r="AI290">
        <v>39491474</v>
      </c>
      <c r="AJ290">
        <v>300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ROW(Source!A186)</f>
        <v>186</v>
      </c>
      <c r="B291">
        <v>39491494</v>
      </c>
      <c r="C291">
        <v>39491469</v>
      </c>
      <c r="D291">
        <v>36803258</v>
      </c>
      <c r="E291">
        <v>1</v>
      </c>
      <c r="F291">
        <v>1</v>
      </c>
      <c r="G291">
        <v>1</v>
      </c>
      <c r="H291">
        <v>3</v>
      </c>
      <c r="I291" t="s">
        <v>823</v>
      </c>
      <c r="J291" t="s">
        <v>824</v>
      </c>
      <c r="K291" t="s">
        <v>825</v>
      </c>
      <c r="L291">
        <v>1346</v>
      </c>
      <c r="N291">
        <v>1009</v>
      </c>
      <c r="O291" t="s">
        <v>97</v>
      </c>
      <c r="P291" t="s">
        <v>97</v>
      </c>
      <c r="Q291">
        <v>1</v>
      </c>
      <c r="X291">
        <v>7.0000000000000007E-2</v>
      </c>
      <c r="Y291">
        <v>10.57</v>
      </c>
      <c r="Z291">
        <v>0</v>
      </c>
      <c r="AA291">
        <v>0</v>
      </c>
      <c r="AB291">
        <v>0</v>
      </c>
      <c r="AC291">
        <v>0</v>
      </c>
      <c r="AD291">
        <v>1</v>
      </c>
      <c r="AE291">
        <v>0</v>
      </c>
      <c r="AF291" t="s">
        <v>3</v>
      </c>
      <c r="AG291">
        <v>7.0000000000000007E-2</v>
      </c>
      <c r="AH291">
        <v>2</v>
      </c>
      <c r="AI291">
        <v>39491475</v>
      </c>
      <c r="AJ291">
        <v>301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ROW(Source!A186)</f>
        <v>186</v>
      </c>
      <c r="B292">
        <v>39491495</v>
      </c>
      <c r="C292">
        <v>39491469</v>
      </c>
      <c r="D292">
        <v>36804448</v>
      </c>
      <c r="E292">
        <v>1</v>
      </c>
      <c r="F292">
        <v>1</v>
      </c>
      <c r="G292">
        <v>1</v>
      </c>
      <c r="H292">
        <v>3</v>
      </c>
      <c r="I292" t="s">
        <v>826</v>
      </c>
      <c r="J292" t="s">
        <v>827</v>
      </c>
      <c r="K292" t="s">
        <v>828</v>
      </c>
      <c r="L292">
        <v>1346</v>
      </c>
      <c r="N292">
        <v>1009</v>
      </c>
      <c r="O292" t="s">
        <v>97</v>
      </c>
      <c r="P292" t="s">
        <v>97</v>
      </c>
      <c r="Q292">
        <v>1</v>
      </c>
      <c r="X292">
        <v>4.9000000000000002E-2</v>
      </c>
      <c r="Y292">
        <v>9.0399999999999991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3</v>
      </c>
      <c r="AG292">
        <v>4.9000000000000002E-2</v>
      </c>
      <c r="AH292">
        <v>2</v>
      </c>
      <c r="AI292">
        <v>39491476</v>
      </c>
      <c r="AJ292">
        <v>302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ROW(Source!A186)</f>
        <v>186</v>
      </c>
      <c r="B293">
        <v>39491496</v>
      </c>
      <c r="C293">
        <v>39491469</v>
      </c>
      <c r="D293">
        <v>36804580</v>
      </c>
      <c r="E293">
        <v>1</v>
      </c>
      <c r="F293">
        <v>1</v>
      </c>
      <c r="G293">
        <v>1</v>
      </c>
      <c r="H293">
        <v>3</v>
      </c>
      <c r="I293" t="s">
        <v>829</v>
      </c>
      <c r="J293" t="s">
        <v>830</v>
      </c>
      <c r="K293" t="s">
        <v>831</v>
      </c>
      <c r="L293">
        <v>1355</v>
      </c>
      <c r="N293">
        <v>1010</v>
      </c>
      <c r="O293" t="s">
        <v>120</v>
      </c>
      <c r="P293" t="s">
        <v>120</v>
      </c>
      <c r="Q293">
        <v>100</v>
      </c>
      <c r="X293">
        <v>1.4E-2</v>
      </c>
      <c r="Y293">
        <v>86</v>
      </c>
      <c r="Z293">
        <v>0</v>
      </c>
      <c r="AA293">
        <v>0</v>
      </c>
      <c r="AB293">
        <v>0</v>
      </c>
      <c r="AC293">
        <v>0</v>
      </c>
      <c r="AD293">
        <v>1</v>
      </c>
      <c r="AE293">
        <v>0</v>
      </c>
      <c r="AF293" t="s">
        <v>3</v>
      </c>
      <c r="AG293">
        <v>1.4E-2</v>
      </c>
      <c r="AH293">
        <v>2</v>
      </c>
      <c r="AI293">
        <v>39491477</v>
      </c>
      <c r="AJ293">
        <v>303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ROW(Source!A186)</f>
        <v>186</v>
      </c>
      <c r="B294">
        <v>39491497</v>
      </c>
      <c r="C294">
        <v>39491469</v>
      </c>
      <c r="D294">
        <v>36805500</v>
      </c>
      <c r="E294">
        <v>1</v>
      </c>
      <c r="F294">
        <v>1</v>
      </c>
      <c r="G294">
        <v>1</v>
      </c>
      <c r="H294">
        <v>3</v>
      </c>
      <c r="I294" t="s">
        <v>832</v>
      </c>
      <c r="J294" t="s">
        <v>833</v>
      </c>
      <c r="K294" t="s">
        <v>834</v>
      </c>
      <c r="L294">
        <v>1346</v>
      </c>
      <c r="N294">
        <v>1009</v>
      </c>
      <c r="O294" t="s">
        <v>97</v>
      </c>
      <c r="P294" t="s">
        <v>97</v>
      </c>
      <c r="Q294">
        <v>1</v>
      </c>
      <c r="X294">
        <v>1E-3</v>
      </c>
      <c r="Y294">
        <v>133.05000000000001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3</v>
      </c>
      <c r="AG294">
        <v>1E-3</v>
      </c>
      <c r="AH294">
        <v>2</v>
      </c>
      <c r="AI294">
        <v>39491478</v>
      </c>
      <c r="AJ294">
        <v>304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ROW(Source!A186)</f>
        <v>186</v>
      </c>
      <c r="B295">
        <v>39491498</v>
      </c>
      <c r="C295">
        <v>39491469</v>
      </c>
      <c r="D295">
        <v>36823140</v>
      </c>
      <c r="E295">
        <v>1</v>
      </c>
      <c r="F295">
        <v>1</v>
      </c>
      <c r="G295">
        <v>1</v>
      </c>
      <c r="H295">
        <v>3</v>
      </c>
      <c r="I295" t="s">
        <v>835</v>
      </c>
      <c r="J295" t="s">
        <v>836</v>
      </c>
      <c r="K295" t="s">
        <v>837</v>
      </c>
      <c r="L295">
        <v>1348</v>
      </c>
      <c r="N295">
        <v>1009</v>
      </c>
      <c r="O295" t="s">
        <v>189</v>
      </c>
      <c r="P295" t="s">
        <v>189</v>
      </c>
      <c r="Q295">
        <v>1000</v>
      </c>
      <c r="X295">
        <v>1E-3</v>
      </c>
      <c r="Y295">
        <v>11500</v>
      </c>
      <c r="Z295">
        <v>0</v>
      </c>
      <c r="AA295">
        <v>0</v>
      </c>
      <c r="AB295">
        <v>0</v>
      </c>
      <c r="AC295">
        <v>0</v>
      </c>
      <c r="AD295">
        <v>1</v>
      </c>
      <c r="AE295">
        <v>0</v>
      </c>
      <c r="AF295" t="s">
        <v>3</v>
      </c>
      <c r="AG295">
        <v>1E-3</v>
      </c>
      <c r="AH295">
        <v>2</v>
      </c>
      <c r="AI295">
        <v>39491479</v>
      </c>
      <c r="AJ295">
        <v>305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ROW(Source!A186)</f>
        <v>186</v>
      </c>
      <c r="B296">
        <v>39491499</v>
      </c>
      <c r="C296">
        <v>39491469</v>
      </c>
      <c r="D296">
        <v>36838317</v>
      </c>
      <c r="E296">
        <v>1</v>
      </c>
      <c r="F296">
        <v>1</v>
      </c>
      <c r="G296">
        <v>1</v>
      </c>
      <c r="H296">
        <v>3</v>
      </c>
      <c r="I296" t="s">
        <v>838</v>
      </c>
      <c r="J296" t="s">
        <v>839</v>
      </c>
      <c r="K296" t="s">
        <v>840</v>
      </c>
      <c r="L296">
        <v>1346</v>
      </c>
      <c r="N296">
        <v>1009</v>
      </c>
      <c r="O296" t="s">
        <v>97</v>
      </c>
      <c r="P296" t="s">
        <v>97</v>
      </c>
      <c r="Q296">
        <v>1</v>
      </c>
      <c r="X296">
        <v>3.5999999999999997E-2</v>
      </c>
      <c r="Y296">
        <v>28.6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3</v>
      </c>
      <c r="AG296">
        <v>3.5999999999999997E-2</v>
      </c>
      <c r="AH296">
        <v>2</v>
      </c>
      <c r="AI296">
        <v>39491480</v>
      </c>
      <c r="AJ296">
        <v>306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ROW(Source!A186)</f>
        <v>186</v>
      </c>
      <c r="B297">
        <v>39491500</v>
      </c>
      <c r="C297">
        <v>39491469</v>
      </c>
      <c r="D297">
        <v>36838470</v>
      </c>
      <c r="E297">
        <v>1</v>
      </c>
      <c r="F297">
        <v>1</v>
      </c>
      <c r="G297">
        <v>1</v>
      </c>
      <c r="H297">
        <v>3</v>
      </c>
      <c r="I297" t="s">
        <v>841</v>
      </c>
      <c r="J297" t="s">
        <v>842</v>
      </c>
      <c r="K297" t="s">
        <v>843</v>
      </c>
      <c r="L297">
        <v>1346</v>
      </c>
      <c r="N297">
        <v>1009</v>
      </c>
      <c r="O297" t="s">
        <v>97</v>
      </c>
      <c r="P297" t="s">
        <v>97</v>
      </c>
      <c r="Q297">
        <v>1</v>
      </c>
      <c r="X297">
        <v>6.0000000000000001E-3</v>
      </c>
      <c r="Y297">
        <v>35.630000000000003</v>
      </c>
      <c r="Z297">
        <v>0</v>
      </c>
      <c r="AA297">
        <v>0</v>
      </c>
      <c r="AB297">
        <v>0</v>
      </c>
      <c r="AC297">
        <v>0</v>
      </c>
      <c r="AD297">
        <v>1</v>
      </c>
      <c r="AE297">
        <v>0</v>
      </c>
      <c r="AF297" t="s">
        <v>3</v>
      </c>
      <c r="AG297">
        <v>6.0000000000000001E-3</v>
      </c>
      <c r="AH297">
        <v>2</v>
      </c>
      <c r="AI297">
        <v>39491481</v>
      </c>
      <c r="AJ297">
        <v>307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ROW(Source!A186)</f>
        <v>186</v>
      </c>
      <c r="B298">
        <v>39491501</v>
      </c>
      <c r="C298">
        <v>39491469</v>
      </c>
      <c r="D298">
        <v>36851945</v>
      </c>
      <c r="E298">
        <v>1</v>
      </c>
      <c r="F298">
        <v>1</v>
      </c>
      <c r="G298">
        <v>1</v>
      </c>
      <c r="H298">
        <v>3</v>
      </c>
      <c r="I298" t="s">
        <v>844</v>
      </c>
      <c r="J298" t="s">
        <v>845</v>
      </c>
      <c r="K298" t="s">
        <v>846</v>
      </c>
      <c r="L298">
        <v>1358</v>
      </c>
      <c r="N298">
        <v>1010</v>
      </c>
      <c r="O298" t="s">
        <v>417</v>
      </c>
      <c r="P298" t="s">
        <v>417</v>
      </c>
      <c r="Q298">
        <v>10</v>
      </c>
      <c r="X298">
        <v>0.1</v>
      </c>
      <c r="Y298">
        <v>39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0</v>
      </c>
      <c r="AF298" t="s">
        <v>3</v>
      </c>
      <c r="AG298">
        <v>0.1</v>
      </c>
      <c r="AH298">
        <v>2</v>
      </c>
      <c r="AI298">
        <v>39491482</v>
      </c>
      <c r="AJ298">
        <v>308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ROW(Source!A186)</f>
        <v>186</v>
      </c>
      <c r="B299">
        <v>39491502</v>
      </c>
      <c r="C299">
        <v>39491469</v>
      </c>
      <c r="D299">
        <v>36799065</v>
      </c>
      <c r="E299">
        <v>17</v>
      </c>
      <c r="F299">
        <v>1</v>
      </c>
      <c r="G299">
        <v>1</v>
      </c>
      <c r="H299">
        <v>3</v>
      </c>
      <c r="I299" t="s">
        <v>801</v>
      </c>
      <c r="J299" t="s">
        <v>3</v>
      </c>
      <c r="K299" t="s">
        <v>802</v>
      </c>
      <c r="L299">
        <v>1374</v>
      </c>
      <c r="N299">
        <v>1013</v>
      </c>
      <c r="O299" t="s">
        <v>803</v>
      </c>
      <c r="P299" t="s">
        <v>803</v>
      </c>
      <c r="Q299">
        <v>1</v>
      </c>
      <c r="X299">
        <v>0.3</v>
      </c>
      <c r="Y299">
        <v>1</v>
      </c>
      <c r="Z299">
        <v>0</v>
      </c>
      <c r="AA299">
        <v>0</v>
      </c>
      <c r="AB299">
        <v>0</v>
      </c>
      <c r="AC299">
        <v>0</v>
      </c>
      <c r="AD299">
        <v>1</v>
      </c>
      <c r="AE299">
        <v>0</v>
      </c>
      <c r="AF299" t="s">
        <v>3</v>
      </c>
      <c r="AG299">
        <v>0.3</v>
      </c>
      <c r="AH299">
        <v>2</v>
      </c>
      <c r="AI299">
        <v>39491488</v>
      </c>
      <c r="AJ299">
        <v>314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ROW(Source!A192)</f>
        <v>192</v>
      </c>
      <c r="B300">
        <v>39491522</v>
      </c>
      <c r="C300">
        <v>39491508</v>
      </c>
      <c r="D300">
        <v>37080781</v>
      </c>
      <c r="E300">
        <v>1</v>
      </c>
      <c r="F300">
        <v>1</v>
      </c>
      <c r="G300">
        <v>1</v>
      </c>
      <c r="H300">
        <v>1</v>
      </c>
      <c r="I300" t="s">
        <v>804</v>
      </c>
      <c r="J300" t="s">
        <v>3</v>
      </c>
      <c r="K300" t="s">
        <v>805</v>
      </c>
      <c r="L300">
        <v>1191</v>
      </c>
      <c r="N300">
        <v>1013</v>
      </c>
      <c r="O300" t="s">
        <v>641</v>
      </c>
      <c r="P300" t="s">
        <v>641</v>
      </c>
      <c r="Q300">
        <v>1</v>
      </c>
      <c r="X300">
        <v>213.6</v>
      </c>
      <c r="Y300">
        <v>0</v>
      </c>
      <c r="Z300">
        <v>0</v>
      </c>
      <c r="AA300">
        <v>0</v>
      </c>
      <c r="AB300">
        <v>9.92</v>
      </c>
      <c r="AC300">
        <v>0</v>
      </c>
      <c r="AD300">
        <v>1</v>
      </c>
      <c r="AE300">
        <v>1</v>
      </c>
      <c r="AF300" t="s">
        <v>3</v>
      </c>
      <c r="AG300">
        <v>213.6</v>
      </c>
      <c r="AH300">
        <v>2</v>
      </c>
      <c r="AI300">
        <v>39491509</v>
      </c>
      <c r="AJ300">
        <v>315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ROW(Source!A192)</f>
        <v>192</v>
      </c>
      <c r="B301">
        <v>39491523</v>
      </c>
      <c r="C301">
        <v>39491508</v>
      </c>
      <c r="D301">
        <v>37064876</v>
      </c>
      <c r="E301">
        <v>1</v>
      </c>
      <c r="F301">
        <v>1</v>
      </c>
      <c r="G301">
        <v>1</v>
      </c>
      <c r="H301">
        <v>1</v>
      </c>
      <c r="I301" t="s">
        <v>642</v>
      </c>
      <c r="J301" t="s">
        <v>3</v>
      </c>
      <c r="K301" t="s">
        <v>643</v>
      </c>
      <c r="L301">
        <v>1191</v>
      </c>
      <c r="N301">
        <v>1013</v>
      </c>
      <c r="O301" t="s">
        <v>641</v>
      </c>
      <c r="P301" t="s">
        <v>641</v>
      </c>
      <c r="Q301">
        <v>1</v>
      </c>
      <c r="X301">
        <v>1.98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1</v>
      </c>
      <c r="AE301">
        <v>2</v>
      </c>
      <c r="AF301" t="s">
        <v>3</v>
      </c>
      <c r="AG301">
        <v>1.98</v>
      </c>
      <c r="AH301">
        <v>2</v>
      </c>
      <c r="AI301">
        <v>39491510</v>
      </c>
      <c r="AJ301">
        <v>316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ROW(Source!A192)</f>
        <v>192</v>
      </c>
      <c r="B302">
        <v>39491524</v>
      </c>
      <c r="C302">
        <v>39491508</v>
      </c>
      <c r="D302">
        <v>36882159</v>
      </c>
      <c r="E302">
        <v>1</v>
      </c>
      <c r="F302">
        <v>1</v>
      </c>
      <c r="G302">
        <v>1</v>
      </c>
      <c r="H302">
        <v>2</v>
      </c>
      <c r="I302" t="s">
        <v>765</v>
      </c>
      <c r="J302" t="s">
        <v>766</v>
      </c>
      <c r="K302" t="s">
        <v>767</v>
      </c>
      <c r="L302">
        <v>1368</v>
      </c>
      <c r="N302">
        <v>1011</v>
      </c>
      <c r="O302" t="s">
        <v>647</v>
      </c>
      <c r="P302" t="s">
        <v>647</v>
      </c>
      <c r="Q302">
        <v>1</v>
      </c>
      <c r="X302">
        <v>0.99</v>
      </c>
      <c r="Y302">
        <v>0</v>
      </c>
      <c r="Z302">
        <v>111.99</v>
      </c>
      <c r="AA302">
        <v>13.5</v>
      </c>
      <c r="AB302">
        <v>0</v>
      </c>
      <c r="AC302">
        <v>0</v>
      </c>
      <c r="AD302">
        <v>1</v>
      </c>
      <c r="AE302">
        <v>0</v>
      </c>
      <c r="AF302" t="s">
        <v>3</v>
      </c>
      <c r="AG302">
        <v>0.99</v>
      </c>
      <c r="AH302">
        <v>2</v>
      </c>
      <c r="AI302">
        <v>39491511</v>
      </c>
      <c r="AJ302">
        <v>317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ROW(Source!A192)</f>
        <v>192</v>
      </c>
      <c r="B303">
        <v>39491525</v>
      </c>
      <c r="C303">
        <v>39491508</v>
      </c>
      <c r="D303">
        <v>36883554</v>
      </c>
      <c r="E303">
        <v>1</v>
      </c>
      <c r="F303">
        <v>1</v>
      </c>
      <c r="G303">
        <v>1</v>
      </c>
      <c r="H303">
        <v>2</v>
      </c>
      <c r="I303" t="s">
        <v>665</v>
      </c>
      <c r="J303" t="s">
        <v>666</v>
      </c>
      <c r="K303" t="s">
        <v>667</v>
      </c>
      <c r="L303">
        <v>1368</v>
      </c>
      <c r="N303">
        <v>1011</v>
      </c>
      <c r="O303" t="s">
        <v>647</v>
      </c>
      <c r="P303" t="s">
        <v>647</v>
      </c>
      <c r="Q303">
        <v>1</v>
      </c>
      <c r="X303">
        <v>0.99</v>
      </c>
      <c r="Y303">
        <v>0</v>
      </c>
      <c r="Z303">
        <v>65.709999999999994</v>
      </c>
      <c r="AA303">
        <v>11.6</v>
      </c>
      <c r="AB303">
        <v>0</v>
      </c>
      <c r="AC303">
        <v>0</v>
      </c>
      <c r="AD303">
        <v>1</v>
      </c>
      <c r="AE303">
        <v>0</v>
      </c>
      <c r="AF303" t="s">
        <v>3</v>
      </c>
      <c r="AG303">
        <v>0.99</v>
      </c>
      <c r="AH303">
        <v>2</v>
      </c>
      <c r="AI303">
        <v>39491512</v>
      </c>
      <c r="AJ303">
        <v>318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ROW(Source!A192)</f>
        <v>192</v>
      </c>
      <c r="B304">
        <v>39491526</v>
      </c>
      <c r="C304">
        <v>39491508</v>
      </c>
      <c r="D304">
        <v>36883858</v>
      </c>
      <c r="E304">
        <v>1</v>
      </c>
      <c r="F304">
        <v>1</v>
      </c>
      <c r="G304">
        <v>1</v>
      </c>
      <c r="H304">
        <v>2</v>
      </c>
      <c r="I304" t="s">
        <v>783</v>
      </c>
      <c r="J304" t="s">
        <v>784</v>
      </c>
      <c r="K304" t="s">
        <v>785</v>
      </c>
      <c r="L304">
        <v>1368</v>
      </c>
      <c r="N304">
        <v>1011</v>
      </c>
      <c r="O304" t="s">
        <v>647</v>
      </c>
      <c r="P304" t="s">
        <v>647</v>
      </c>
      <c r="Q304">
        <v>1</v>
      </c>
      <c r="X304">
        <v>1.1399999999999999</v>
      </c>
      <c r="Y304">
        <v>0</v>
      </c>
      <c r="Z304">
        <v>8.1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3</v>
      </c>
      <c r="AG304">
        <v>1.1399999999999999</v>
      </c>
      <c r="AH304">
        <v>2</v>
      </c>
      <c r="AI304">
        <v>39491513</v>
      </c>
      <c r="AJ304">
        <v>319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ROW(Source!A192)</f>
        <v>192</v>
      </c>
      <c r="B305">
        <v>39491527</v>
      </c>
      <c r="C305">
        <v>39491508</v>
      </c>
      <c r="D305">
        <v>36802094</v>
      </c>
      <c r="E305">
        <v>1</v>
      </c>
      <c r="F305">
        <v>1</v>
      </c>
      <c r="G305">
        <v>1</v>
      </c>
      <c r="H305">
        <v>3</v>
      </c>
      <c r="I305" t="s">
        <v>820</v>
      </c>
      <c r="J305" t="s">
        <v>821</v>
      </c>
      <c r="K305" t="s">
        <v>822</v>
      </c>
      <c r="L305">
        <v>1346</v>
      </c>
      <c r="N305">
        <v>1009</v>
      </c>
      <c r="O305" t="s">
        <v>97</v>
      </c>
      <c r="P305" t="s">
        <v>97</v>
      </c>
      <c r="Q305">
        <v>1</v>
      </c>
      <c r="X305">
        <v>0.42</v>
      </c>
      <c r="Y305">
        <v>30.4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3</v>
      </c>
      <c r="AG305">
        <v>0.42</v>
      </c>
      <c r="AH305">
        <v>2</v>
      </c>
      <c r="AI305">
        <v>39491514</v>
      </c>
      <c r="AJ305">
        <v>320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ROW(Source!A192)</f>
        <v>192</v>
      </c>
      <c r="B306">
        <v>39491528</v>
      </c>
      <c r="C306">
        <v>39491508</v>
      </c>
      <c r="D306">
        <v>36802106</v>
      </c>
      <c r="E306">
        <v>1</v>
      </c>
      <c r="F306">
        <v>1</v>
      </c>
      <c r="G306">
        <v>1</v>
      </c>
      <c r="H306">
        <v>3</v>
      </c>
      <c r="I306" t="s">
        <v>870</v>
      </c>
      <c r="J306" t="s">
        <v>871</v>
      </c>
      <c r="K306" t="s">
        <v>872</v>
      </c>
      <c r="L306">
        <v>1308</v>
      </c>
      <c r="N306">
        <v>1003</v>
      </c>
      <c r="O306" t="s">
        <v>17</v>
      </c>
      <c r="P306" t="s">
        <v>17</v>
      </c>
      <c r="Q306">
        <v>100</v>
      </c>
      <c r="X306">
        <v>0.1</v>
      </c>
      <c r="Y306">
        <v>120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3</v>
      </c>
      <c r="AG306">
        <v>0.1</v>
      </c>
      <c r="AH306">
        <v>2</v>
      </c>
      <c r="AI306">
        <v>39491515</v>
      </c>
      <c r="AJ306">
        <v>321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ROW(Source!A192)</f>
        <v>192</v>
      </c>
      <c r="B307">
        <v>39491529</v>
      </c>
      <c r="C307">
        <v>39491508</v>
      </c>
      <c r="D307">
        <v>36803258</v>
      </c>
      <c r="E307">
        <v>1</v>
      </c>
      <c r="F307">
        <v>1</v>
      </c>
      <c r="G307">
        <v>1</v>
      </c>
      <c r="H307">
        <v>3</v>
      </c>
      <c r="I307" t="s">
        <v>823</v>
      </c>
      <c r="J307" t="s">
        <v>824</v>
      </c>
      <c r="K307" t="s">
        <v>825</v>
      </c>
      <c r="L307">
        <v>1346</v>
      </c>
      <c r="N307">
        <v>1009</v>
      </c>
      <c r="O307" t="s">
        <v>97</v>
      </c>
      <c r="P307" t="s">
        <v>97</v>
      </c>
      <c r="Q307">
        <v>1</v>
      </c>
      <c r="X307">
        <v>2.1</v>
      </c>
      <c r="Y307">
        <v>10.57</v>
      </c>
      <c r="Z307">
        <v>0</v>
      </c>
      <c r="AA307">
        <v>0</v>
      </c>
      <c r="AB307">
        <v>0</v>
      </c>
      <c r="AC307">
        <v>0</v>
      </c>
      <c r="AD307">
        <v>1</v>
      </c>
      <c r="AE307">
        <v>0</v>
      </c>
      <c r="AF307" t="s">
        <v>3</v>
      </c>
      <c r="AG307">
        <v>2.1</v>
      </c>
      <c r="AH307">
        <v>2</v>
      </c>
      <c r="AI307">
        <v>39491516</v>
      </c>
      <c r="AJ307">
        <v>322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ROW(Source!A192)</f>
        <v>192</v>
      </c>
      <c r="B308">
        <v>39491530</v>
      </c>
      <c r="C308">
        <v>39491508</v>
      </c>
      <c r="D308">
        <v>36804448</v>
      </c>
      <c r="E308">
        <v>1</v>
      </c>
      <c r="F308">
        <v>1</v>
      </c>
      <c r="G308">
        <v>1</v>
      </c>
      <c r="H308">
        <v>3</v>
      </c>
      <c r="I308" t="s">
        <v>826</v>
      </c>
      <c r="J308" t="s">
        <v>827</v>
      </c>
      <c r="K308" t="s">
        <v>828</v>
      </c>
      <c r="L308">
        <v>1346</v>
      </c>
      <c r="N308">
        <v>1009</v>
      </c>
      <c r="O308" t="s">
        <v>97</v>
      </c>
      <c r="P308" t="s">
        <v>97</v>
      </c>
      <c r="Q308">
        <v>1</v>
      </c>
      <c r="X308">
        <v>10.4</v>
      </c>
      <c r="Y308">
        <v>9.0399999999999991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3</v>
      </c>
      <c r="AG308">
        <v>10.4</v>
      </c>
      <c r="AH308">
        <v>2</v>
      </c>
      <c r="AI308">
        <v>39491517</v>
      </c>
      <c r="AJ308">
        <v>323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ROW(Source!A192)</f>
        <v>192</v>
      </c>
      <c r="B309">
        <v>39491531</v>
      </c>
      <c r="C309">
        <v>39491508</v>
      </c>
      <c r="D309">
        <v>36825981</v>
      </c>
      <c r="E309">
        <v>1</v>
      </c>
      <c r="F309">
        <v>1</v>
      </c>
      <c r="G309">
        <v>1</v>
      </c>
      <c r="H309">
        <v>3</v>
      </c>
      <c r="I309" t="s">
        <v>887</v>
      </c>
      <c r="J309" t="s">
        <v>888</v>
      </c>
      <c r="K309" t="s">
        <v>889</v>
      </c>
      <c r="L309">
        <v>1348</v>
      </c>
      <c r="N309">
        <v>1009</v>
      </c>
      <c r="O309" t="s">
        <v>189</v>
      </c>
      <c r="P309" t="s">
        <v>189</v>
      </c>
      <c r="Q309">
        <v>1000</v>
      </c>
      <c r="X309">
        <v>0.15</v>
      </c>
      <c r="Y309">
        <v>5000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0</v>
      </c>
      <c r="AF309" t="s">
        <v>3</v>
      </c>
      <c r="AG309">
        <v>0.15</v>
      </c>
      <c r="AH309">
        <v>2</v>
      </c>
      <c r="AI309">
        <v>39491518</v>
      </c>
      <c r="AJ309">
        <v>324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ROW(Source!A192)</f>
        <v>192</v>
      </c>
      <c r="B310">
        <v>39491532</v>
      </c>
      <c r="C310">
        <v>39491508</v>
      </c>
      <c r="D310">
        <v>36838317</v>
      </c>
      <c r="E310">
        <v>1</v>
      </c>
      <c r="F310">
        <v>1</v>
      </c>
      <c r="G310">
        <v>1</v>
      </c>
      <c r="H310">
        <v>3</v>
      </c>
      <c r="I310" t="s">
        <v>838</v>
      </c>
      <c r="J310" t="s">
        <v>839</v>
      </c>
      <c r="K310" t="s">
        <v>840</v>
      </c>
      <c r="L310">
        <v>1346</v>
      </c>
      <c r="N310">
        <v>1009</v>
      </c>
      <c r="O310" t="s">
        <v>97</v>
      </c>
      <c r="P310" t="s">
        <v>97</v>
      </c>
      <c r="Q310">
        <v>1</v>
      </c>
      <c r="X310">
        <v>3</v>
      </c>
      <c r="Y310">
        <v>28.6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0</v>
      </c>
      <c r="AF310" t="s">
        <v>3</v>
      </c>
      <c r="AG310">
        <v>3</v>
      </c>
      <c r="AH310">
        <v>2</v>
      </c>
      <c r="AI310">
        <v>39491519</v>
      </c>
      <c r="AJ310">
        <v>325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ROW(Source!A192)</f>
        <v>192</v>
      </c>
      <c r="B311">
        <v>39491533</v>
      </c>
      <c r="C311">
        <v>39491508</v>
      </c>
      <c r="D311">
        <v>36799065</v>
      </c>
      <c r="E311">
        <v>17</v>
      </c>
      <c r="F311">
        <v>1</v>
      </c>
      <c r="G311">
        <v>1</v>
      </c>
      <c r="H311">
        <v>3</v>
      </c>
      <c r="I311" t="s">
        <v>801</v>
      </c>
      <c r="J311" t="s">
        <v>3</v>
      </c>
      <c r="K311" t="s">
        <v>802</v>
      </c>
      <c r="L311">
        <v>1374</v>
      </c>
      <c r="N311">
        <v>1013</v>
      </c>
      <c r="O311" t="s">
        <v>803</v>
      </c>
      <c r="P311" t="s">
        <v>803</v>
      </c>
      <c r="Q311">
        <v>1</v>
      </c>
      <c r="X311">
        <v>42.38</v>
      </c>
      <c r="Y311">
        <v>1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3</v>
      </c>
      <c r="AG311">
        <v>42.38</v>
      </c>
      <c r="AH311">
        <v>2</v>
      </c>
      <c r="AI311">
        <v>39491521</v>
      </c>
      <c r="AJ311">
        <v>327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ROW(Source!A194)</f>
        <v>194</v>
      </c>
      <c r="B312">
        <v>39099950</v>
      </c>
      <c r="C312">
        <v>39099947</v>
      </c>
      <c r="D312">
        <v>37519679</v>
      </c>
      <c r="E312">
        <v>1</v>
      </c>
      <c r="F312">
        <v>1</v>
      </c>
      <c r="G312">
        <v>1</v>
      </c>
      <c r="H312">
        <v>1</v>
      </c>
      <c r="I312" t="s">
        <v>890</v>
      </c>
      <c r="J312" t="s">
        <v>3</v>
      </c>
      <c r="K312" t="s">
        <v>891</v>
      </c>
      <c r="L312">
        <v>1191</v>
      </c>
      <c r="N312">
        <v>1013</v>
      </c>
      <c r="O312" t="s">
        <v>641</v>
      </c>
      <c r="P312" t="s">
        <v>641</v>
      </c>
      <c r="Q312">
        <v>1</v>
      </c>
      <c r="X312">
        <v>0.16</v>
      </c>
      <c r="Y312">
        <v>0</v>
      </c>
      <c r="Z312">
        <v>0</v>
      </c>
      <c r="AA312">
        <v>0</v>
      </c>
      <c r="AB312">
        <v>12.92</v>
      </c>
      <c r="AC312">
        <v>0</v>
      </c>
      <c r="AD312">
        <v>1</v>
      </c>
      <c r="AE312">
        <v>1</v>
      </c>
      <c r="AF312" t="s">
        <v>211</v>
      </c>
      <c r="AG312">
        <v>0.128</v>
      </c>
      <c r="AH312">
        <v>2</v>
      </c>
      <c r="AI312">
        <v>39099948</v>
      </c>
      <c r="AJ312">
        <v>328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ROW(Source!A194)</f>
        <v>194</v>
      </c>
      <c r="B313">
        <v>39099951</v>
      </c>
      <c r="C313">
        <v>39099947</v>
      </c>
      <c r="D313">
        <v>37518716</v>
      </c>
      <c r="E313">
        <v>1</v>
      </c>
      <c r="F313">
        <v>1</v>
      </c>
      <c r="G313">
        <v>1</v>
      </c>
      <c r="H313">
        <v>1</v>
      </c>
      <c r="I313" t="s">
        <v>892</v>
      </c>
      <c r="J313" t="s">
        <v>3</v>
      </c>
      <c r="K313" t="s">
        <v>893</v>
      </c>
      <c r="L313">
        <v>1191</v>
      </c>
      <c r="N313">
        <v>1013</v>
      </c>
      <c r="O313" t="s">
        <v>641</v>
      </c>
      <c r="P313" t="s">
        <v>641</v>
      </c>
      <c r="Q313">
        <v>1</v>
      </c>
      <c r="X313">
        <v>0.16</v>
      </c>
      <c r="Y313">
        <v>0</v>
      </c>
      <c r="Z313">
        <v>0</v>
      </c>
      <c r="AA313">
        <v>0</v>
      </c>
      <c r="AB313">
        <v>12.69</v>
      </c>
      <c r="AC313">
        <v>0</v>
      </c>
      <c r="AD313">
        <v>1</v>
      </c>
      <c r="AE313">
        <v>1</v>
      </c>
      <c r="AF313" t="s">
        <v>211</v>
      </c>
      <c r="AG313">
        <v>0.128</v>
      </c>
      <c r="AH313">
        <v>2</v>
      </c>
      <c r="AI313">
        <v>39099949</v>
      </c>
      <c r="AJ313">
        <v>329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ROW(Source!A195)</f>
        <v>195</v>
      </c>
      <c r="B314">
        <v>39099955</v>
      </c>
      <c r="C314">
        <v>39099952</v>
      </c>
      <c r="D314">
        <v>37519679</v>
      </c>
      <c r="E314">
        <v>1</v>
      </c>
      <c r="F314">
        <v>1</v>
      </c>
      <c r="G314">
        <v>1</v>
      </c>
      <c r="H314">
        <v>1</v>
      </c>
      <c r="I314" t="s">
        <v>890</v>
      </c>
      <c r="J314" t="s">
        <v>3</v>
      </c>
      <c r="K314" t="s">
        <v>891</v>
      </c>
      <c r="L314">
        <v>1191</v>
      </c>
      <c r="N314">
        <v>1013</v>
      </c>
      <c r="O314" t="s">
        <v>641</v>
      </c>
      <c r="P314" t="s">
        <v>641</v>
      </c>
      <c r="Q314">
        <v>1</v>
      </c>
      <c r="X314">
        <v>6.48</v>
      </c>
      <c r="Y314">
        <v>0</v>
      </c>
      <c r="Z314">
        <v>0</v>
      </c>
      <c r="AA314">
        <v>0</v>
      </c>
      <c r="AB314">
        <v>12.92</v>
      </c>
      <c r="AC314">
        <v>0</v>
      </c>
      <c r="AD314">
        <v>1</v>
      </c>
      <c r="AE314">
        <v>1</v>
      </c>
      <c r="AF314" t="s">
        <v>211</v>
      </c>
      <c r="AG314">
        <v>5.1840000000000011</v>
      </c>
      <c r="AH314">
        <v>2</v>
      </c>
      <c r="AI314">
        <v>39099953</v>
      </c>
      <c r="AJ314">
        <v>330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ROW(Source!A195)</f>
        <v>195</v>
      </c>
      <c r="B315">
        <v>39099956</v>
      </c>
      <c r="C315">
        <v>39099952</v>
      </c>
      <c r="D315">
        <v>37518716</v>
      </c>
      <c r="E315">
        <v>1</v>
      </c>
      <c r="F315">
        <v>1</v>
      </c>
      <c r="G315">
        <v>1</v>
      </c>
      <c r="H315">
        <v>1</v>
      </c>
      <c r="I315" t="s">
        <v>892</v>
      </c>
      <c r="J315" t="s">
        <v>3</v>
      </c>
      <c r="K315" t="s">
        <v>893</v>
      </c>
      <c r="L315">
        <v>1191</v>
      </c>
      <c r="N315">
        <v>1013</v>
      </c>
      <c r="O315" t="s">
        <v>641</v>
      </c>
      <c r="P315" t="s">
        <v>641</v>
      </c>
      <c r="Q315">
        <v>1</v>
      </c>
      <c r="X315">
        <v>6.48</v>
      </c>
      <c r="Y315">
        <v>0</v>
      </c>
      <c r="Z315">
        <v>0</v>
      </c>
      <c r="AA315">
        <v>0</v>
      </c>
      <c r="AB315">
        <v>12.69</v>
      </c>
      <c r="AC315">
        <v>0</v>
      </c>
      <c r="AD315">
        <v>1</v>
      </c>
      <c r="AE315">
        <v>1</v>
      </c>
      <c r="AF315" t="s">
        <v>211</v>
      </c>
      <c r="AG315">
        <v>5.1840000000000011</v>
      </c>
      <c r="AH315">
        <v>2</v>
      </c>
      <c r="AI315">
        <v>39099954</v>
      </c>
      <c r="AJ315">
        <v>331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ROW(Source!A196)</f>
        <v>196</v>
      </c>
      <c r="B316">
        <v>39099960</v>
      </c>
      <c r="C316">
        <v>39099957</v>
      </c>
      <c r="D316">
        <v>37519679</v>
      </c>
      <c r="E316">
        <v>1</v>
      </c>
      <c r="F316">
        <v>1</v>
      </c>
      <c r="G316">
        <v>1</v>
      </c>
      <c r="H316">
        <v>1</v>
      </c>
      <c r="I316" t="s">
        <v>890</v>
      </c>
      <c r="J316" t="s">
        <v>3</v>
      </c>
      <c r="K316" t="s">
        <v>891</v>
      </c>
      <c r="L316">
        <v>1191</v>
      </c>
      <c r="N316">
        <v>1013</v>
      </c>
      <c r="O316" t="s">
        <v>641</v>
      </c>
      <c r="P316" t="s">
        <v>641</v>
      </c>
      <c r="Q316">
        <v>1</v>
      </c>
      <c r="X316">
        <v>0.61</v>
      </c>
      <c r="Y316">
        <v>0</v>
      </c>
      <c r="Z316">
        <v>0</v>
      </c>
      <c r="AA316">
        <v>0</v>
      </c>
      <c r="AB316">
        <v>12.92</v>
      </c>
      <c r="AC316">
        <v>0</v>
      </c>
      <c r="AD316">
        <v>1</v>
      </c>
      <c r="AE316">
        <v>1</v>
      </c>
      <c r="AF316" t="s">
        <v>211</v>
      </c>
      <c r="AG316">
        <v>0.48799999999999999</v>
      </c>
      <c r="AH316">
        <v>2</v>
      </c>
      <c r="AI316">
        <v>39099958</v>
      </c>
      <c r="AJ316">
        <v>332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ROW(Source!A196)</f>
        <v>196</v>
      </c>
      <c r="B317">
        <v>39099961</v>
      </c>
      <c r="C317">
        <v>39099957</v>
      </c>
      <c r="D317">
        <v>37518716</v>
      </c>
      <c r="E317">
        <v>1</v>
      </c>
      <c r="F317">
        <v>1</v>
      </c>
      <c r="G317">
        <v>1</v>
      </c>
      <c r="H317">
        <v>1</v>
      </c>
      <c r="I317" t="s">
        <v>892</v>
      </c>
      <c r="J317" t="s">
        <v>3</v>
      </c>
      <c r="K317" t="s">
        <v>893</v>
      </c>
      <c r="L317">
        <v>1191</v>
      </c>
      <c r="N317">
        <v>1013</v>
      </c>
      <c r="O317" t="s">
        <v>641</v>
      </c>
      <c r="P317" t="s">
        <v>641</v>
      </c>
      <c r="Q317">
        <v>1</v>
      </c>
      <c r="X317">
        <v>0.61</v>
      </c>
      <c r="Y317">
        <v>0</v>
      </c>
      <c r="Z317">
        <v>0</v>
      </c>
      <c r="AA317">
        <v>0</v>
      </c>
      <c r="AB317">
        <v>12.69</v>
      </c>
      <c r="AC317">
        <v>0</v>
      </c>
      <c r="AD317">
        <v>1</v>
      </c>
      <c r="AE317">
        <v>1</v>
      </c>
      <c r="AF317" t="s">
        <v>211</v>
      </c>
      <c r="AG317">
        <v>0.48799999999999999</v>
      </c>
      <c r="AH317">
        <v>2</v>
      </c>
      <c r="AI317">
        <v>39099959</v>
      </c>
      <c r="AJ317">
        <v>333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ROW(Source!A197)</f>
        <v>197</v>
      </c>
      <c r="B318">
        <v>39099965</v>
      </c>
      <c r="C318">
        <v>39099962</v>
      </c>
      <c r="D318">
        <v>37518712</v>
      </c>
      <c r="E318">
        <v>1</v>
      </c>
      <c r="F318">
        <v>1</v>
      </c>
      <c r="G318">
        <v>1</v>
      </c>
      <c r="H318">
        <v>1</v>
      </c>
      <c r="I318" t="s">
        <v>894</v>
      </c>
      <c r="J318" t="s">
        <v>3</v>
      </c>
      <c r="K318" t="s">
        <v>895</v>
      </c>
      <c r="L318">
        <v>1191</v>
      </c>
      <c r="N318">
        <v>1013</v>
      </c>
      <c r="O318" t="s">
        <v>641</v>
      </c>
      <c r="P318" t="s">
        <v>641</v>
      </c>
      <c r="Q318">
        <v>1</v>
      </c>
      <c r="X318">
        <v>1.1299999999999999</v>
      </c>
      <c r="Y318">
        <v>0</v>
      </c>
      <c r="Z318">
        <v>0</v>
      </c>
      <c r="AA318">
        <v>0</v>
      </c>
      <c r="AB318">
        <v>9.17</v>
      </c>
      <c r="AC318">
        <v>0</v>
      </c>
      <c r="AD318">
        <v>1</v>
      </c>
      <c r="AE318">
        <v>1</v>
      </c>
      <c r="AF318" t="s">
        <v>211</v>
      </c>
      <c r="AG318">
        <v>0.90399999999999991</v>
      </c>
      <c r="AH318">
        <v>2</v>
      </c>
      <c r="AI318">
        <v>39099963</v>
      </c>
      <c r="AJ318">
        <v>334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ROW(Source!A197)</f>
        <v>197</v>
      </c>
      <c r="B319">
        <v>39099966</v>
      </c>
      <c r="C319">
        <v>39099962</v>
      </c>
      <c r="D319">
        <v>37518766</v>
      </c>
      <c r="E319">
        <v>1</v>
      </c>
      <c r="F319">
        <v>1</v>
      </c>
      <c r="G319">
        <v>1</v>
      </c>
      <c r="H319">
        <v>1</v>
      </c>
      <c r="I319" t="s">
        <v>896</v>
      </c>
      <c r="J319" t="s">
        <v>3</v>
      </c>
      <c r="K319" t="s">
        <v>897</v>
      </c>
      <c r="L319">
        <v>1191</v>
      </c>
      <c r="N319">
        <v>1013</v>
      </c>
      <c r="O319" t="s">
        <v>641</v>
      </c>
      <c r="P319" t="s">
        <v>641</v>
      </c>
      <c r="Q319">
        <v>1</v>
      </c>
      <c r="X319">
        <v>1.7</v>
      </c>
      <c r="Y319">
        <v>0</v>
      </c>
      <c r="Z319">
        <v>0</v>
      </c>
      <c r="AA319">
        <v>0</v>
      </c>
      <c r="AB319">
        <v>14.09</v>
      </c>
      <c r="AC319">
        <v>0</v>
      </c>
      <c r="AD319">
        <v>1</v>
      </c>
      <c r="AE319">
        <v>1</v>
      </c>
      <c r="AF319" t="s">
        <v>211</v>
      </c>
      <c r="AG319">
        <v>1.36</v>
      </c>
      <c r="AH319">
        <v>2</v>
      </c>
      <c r="AI319">
        <v>39099964</v>
      </c>
      <c r="AJ319">
        <v>335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ROW(Source!A235)</f>
        <v>235</v>
      </c>
      <c r="B320">
        <v>39491543</v>
      </c>
      <c r="C320">
        <v>39491535</v>
      </c>
      <c r="D320">
        <v>37071037</v>
      </c>
      <c r="E320">
        <v>1</v>
      </c>
      <c r="F320">
        <v>1</v>
      </c>
      <c r="G320">
        <v>1</v>
      </c>
      <c r="H320">
        <v>1</v>
      </c>
      <c r="I320" t="s">
        <v>707</v>
      </c>
      <c r="J320" t="s">
        <v>3</v>
      </c>
      <c r="K320" t="s">
        <v>708</v>
      </c>
      <c r="L320">
        <v>1191</v>
      </c>
      <c r="N320">
        <v>1013</v>
      </c>
      <c r="O320" t="s">
        <v>641</v>
      </c>
      <c r="P320" t="s">
        <v>641</v>
      </c>
      <c r="Q320">
        <v>1</v>
      </c>
      <c r="X320">
        <v>0.84</v>
      </c>
      <c r="Y320">
        <v>0</v>
      </c>
      <c r="Z320">
        <v>0</v>
      </c>
      <c r="AA320">
        <v>0</v>
      </c>
      <c r="AB320">
        <v>9.6199999999999992</v>
      </c>
      <c r="AC320">
        <v>0</v>
      </c>
      <c r="AD320">
        <v>1</v>
      </c>
      <c r="AE320">
        <v>1</v>
      </c>
      <c r="AF320" t="s">
        <v>373</v>
      </c>
      <c r="AG320">
        <v>0.252</v>
      </c>
      <c r="AH320">
        <v>2</v>
      </c>
      <c r="AI320">
        <v>39491536</v>
      </c>
      <c r="AJ320">
        <v>336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ROW(Source!A235)</f>
        <v>235</v>
      </c>
      <c r="B321">
        <v>39491544</v>
      </c>
      <c r="C321">
        <v>39491535</v>
      </c>
      <c r="D321">
        <v>36800424</v>
      </c>
      <c r="E321">
        <v>1</v>
      </c>
      <c r="F321">
        <v>1</v>
      </c>
      <c r="G321">
        <v>1</v>
      </c>
      <c r="H321">
        <v>3</v>
      </c>
      <c r="I321" t="s">
        <v>898</v>
      </c>
      <c r="J321" t="s">
        <v>899</v>
      </c>
      <c r="K321" t="s">
        <v>900</v>
      </c>
      <c r="L321">
        <v>1346</v>
      </c>
      <c r="N321">
        <v>1009</v>
      </c>
      <c r="O321" t="s">
        <v>97</v>
      </c>
      <c r="P321" t="s">
        <v>97</v>
      </c>
      <c r="Q321">
        <v>1</v>
      </c>
      <c r="X321">
        <v>2.0000000000000001E-4</v>
      </c>
      <c r="Y321">
        <v>27.74</v>
      </c>
      <c r="Z321">
        <v>0</v>
      </c>
      <c r="AA321">
        <v>0</v>
      </c>
      <c r="AB321">
        <v>0</v>
      </c>
      <c r="AC321">
        <v>0</v>
      </c>
      <c r="AD321">
        <v>1</v>
      </c>
      <c r="AE321">
        <v>0</v>
      </c>
      <c r="AF321" t="s">
        <v>210</v>
      </c>
      <c r="AG321">
        <v>0</v>
      </c>
      <c r="AH321">
        <v>2</v>
      </c>
      <c r="AI321">
        <v>39491537</v>
      </c>
      <c r="AJ321">
        <v>337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ROW(Source!A235)</f>
        <v>235</v>
      </c>
      <c r="B322">
        <v>39491545</v>
      </c>
      <c r="C322">
        <v>39491535</v>
      </c>
      <c r="D322">
        <v>36804578</v>
      </c>
      <c r="E322">
        <v>1</v>
      </c>
      <c r="F322">
        <v>1</v>
      </c>
      <c r="G322">
        <v>1</v>
      </c>
      <c r="H322">
        <v>3</v>
      </c>
      <c r="I322" t="s">
        <v>901</v>
      </c>
      <c r="J322" t="s">
        <v>902</v>
      </c>
      <c r="K322" t="s">
        <v>903</v>
      </c>
      <c r="L322">
        <v>1355</v>
      </c>
      <c r="N322">
        <v>1010</v>
      </c>
      <c r="O322" t="s">
        <v>120</v>
      </c>
      <c r="P322" t="s">
        <v>120</v>
      </c>
      <c r="Q322">
        <v>100</v>
      </c>
      <c r="X322">
        <v>0.01</v>
      </c>
      <c r="Y322">
        <v>83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210</v>
      </c>
      <c r="AG322">
        <v>0</v>
      </c>
      <c r="AH322">
        <v>2</v>
      </c>
      <c r="AI322">
        <v>39491538</v>
      </c>
      <c r="AJ322">
        <v>338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ROW(Source!A235)</f>
        <v>235</v>
      </c>
      <c r="B323">
        <v>39491546</v>
      </c>
      <c r="C323">
        <v>39491535</v>
      </c>
      <c r="D323">
        <v>36806488</v>
      </c>
      <c r="E323">
        <v>1</v>
      </c>
      <c r="F323">
        <v>1</v>
      </c>
      <c r="G323">
        <v>1</v>
      </c>
      <c r="H323">
        <v>3</v>
      </c>
      <c r="I323" t="s">
        <v>653</v>
      </c>
      <c r="J323" t="s">
        <v>654</v>
      </c>
      <c r="K323" t="s">
        <v>655</v>
      </c>
      <c r="L323">
        <v>1348</v>
      </c>
      <c r="N323">
        <v>1009</v>
      </c>
      <c r="O323" t="s">
        <v>189</v>
      </c>
      <c r="P323" t="s">
        <v>189</v>
      </c>
      <c r="Q323">
        <v>1000</v>
      </c>
      <c r="X323">
        <v>1.0000000000000001E-5</v>
      </c>
      <c r="Y323">
        <v>729.98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210</v>
      </c>
      <c r="AG323">
        <v>0</v>
      </c>
      <c r="AH323">
        <v>2</v>
      </c>
      <c r="AI323">
        <v>39491539</v>
      </c>
      <c r="AJ323">
        <v>339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ROW(Source!A235)</f>
        <v>235</v>
      </c>
      <c r="B324">
        <v>39491547</v>
      </c>
      <c r="C324">
        <v>39491535</v>
      </c>
      <c r="D324">
        <v>36829536</v>
      </c>
      <c r="E324">
        <v>1</v>
      </c>
      <c r="F324">
        <v>1</v>
      </c>
      <c r="G324">
        <v>1</v>
      </c>
      <c r="H324">
        <v>3</v>
      </c>
      <c r="I324" t="s">
        <v>904</v>
      </c>
      <c r="J324" t="s">
        <v>905</v>
      </c>
      <c r="K324" t="s">
        <v>906</v>
      </c>
      <c r="L324">
        <v>1346</v>
      </c>
      <c r="N324">
        <v>1009</v>
      </c>
      <c r="O324" t="s">
        <v>97</v>
      </c>
      <c r="P324" t="s">
        <v>97</v>
      </c>
      <c r="Q324">
        <v>1</v>
      </c>
      <c r="X324">
        <v>2E-3</v>
      </c>
      <c r="Y324">
        <v>65.75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210</v>
      </c>
      <c r="AG324">
        <v>0</v>
      </c>
      <c r="AH324">
        <v>2</v>
      </c>
      <c r="AI324">
        <v>39491540</v>
      </c>
      <c r="AJ324">
        <v>340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ROW(Source!A235)</f>
        <v>235</v>
      </c>
      <c r="B325">
        <v>39491548</v>
      </c>
      <c r="C325">
        <v>39491535</v>
      </c>
      <c r="D325">
        <v>36836995</v>
      </c>
      <c r="E325">
        <v>1</v>
      </c>
      <c r="F325">
        <v>1</v>
      </c>
      <c r="G325">
        <v>1</v>
      </c>
      <c r="H325">
        <v>3</v>
      </c>
      <c r="I325" t="s">
        <v>907</v>
      </c>
      <c r="J325" t="s">
        <v>908</v>
      </c>
      <c r="K325" t="s">
        <v>909</v>
      </c>
      <c r="L325">
        <v>1346</v>
      </c>
      <c r="N325">
        <v>1009</v>
      </c>
      <c r="O325" t="s">
        <v>97</v>
      </c>
      <c r="P325" t="s">
        <v>97</v>
      </c>
      <c r="Q325">
        <v>1</v>
      </c>
      <c r="X325">
        <v>5.0000000000000001E-3</v>
      </c>
      <c r="Y325">
        <v>28.93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210</v>
      </c>
      <c r="AG325">
        <v>0</v>
      </c>
      <c r="AH325">
        <v>2</v>
      </c>
      <c r="AI325">
        <v>39491541</v>
      </c>
      <c r="AJ325">
        <v>341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ROW(Source!A235)</f>
        <v>235</v>
      </c>
      <c r="B326">
        <v>39491549</v>
      </c>
      <c r="C326">
        <v>39491535</v>
      </c>
      <c r="D326">
        <v>36799065</v>
      </c>
      <c r="E326">
        <v>17</v>
      </c>
      <c r="F326">
        <v>1</v>
      </c>
      <c r="G326">
        <v>1</v>
      </c>
      <c r="H326">
        <v>3</v>
      </c>
      <c r="I326" t="s">
        <v>801</v>
      </c>
      <c r="J326" t="s">
        <v>3</v>
      </c>
      <c r="K326" t="s">
        <v>802</v>
      </c>
      <c r="L326">
        <v>1374</v>
      </c>
      <c r="N326">
        <v>1013</v>
      </c>
      <c r="O326" t="s">
        <v>803</v>
      </c>
      <c r="P326" t="s">
        <v>803</v>
      </c>
      <c r="Q326">
        <v>1</v>
      </c>
      <c r="X326">
        <v>0.16</v>
      </c>
      <c r="Y326">
        <v>1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0</v>
      </c>
      <c r="AF326" t="s">
        <v>210</v>
      </c>
      <c r="AG326">
        <v>0</v>
      </c>
      <c r="AH326">
        <v>2</v>
      </c>
      <c r="AI326">
        <v>39491542</v>
      </c>
      <c r="AJ326">
        <v>342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ROW(Source!A236)</f>
        <v>236</v>
      </c>
      <c r="B327">
        <v>39491559</v>
      </c>
      <c r="C327">
        <v>39491550</v>
      </c>
      <c r="D327">
        <v>37071037</v>
      </c>
      <c r="E327">
        <v>1</v>
      </c>
      <c r="F327">
        <v>1</v>
      </c>
      <c r="G327">
        <v>1</v>
      </c>
      <c r="H327">
        <v>1</v>
      </c>
      <c r="I327" t="s">
        <v>707</v>
      </c>
      <c r="J327" t="s">
        <v>3</v>
      </c>
      <c r="K327" t="s">
        <v>708</v>
      </c>
      <c r="L327">
        <v>1191</v>
      </c>
      <c r="N327">
        <v>1013</v>
      </c>
      <c r="O327" t="s">
        <v>641</v>
      </c>
      <c r="P327" t="s">
        <v>641</v>
      </c>
      <c r="Q327">
        <v>1</v>
      </c>
      <c r="X327">
        <v>0.84</v>
      </c>
      <c r="Y327">
        <v>0</v>
      </c>
      <c r="Z327">
        <v>0</v>
      </c>
      <c r="AA327">
        <v>0</v>
      </c>
      <c r="AB327">
        <v>9.6199999999999992</v>
      </c>
      <c r="AC327">
        <v>0</v>
      </c>
      <c r="AD327">
        <v>1</v>
      </c>
      <c r="AE327">
        <v>1</v>
      </c>
      <c r="AF327" t="s">
        <v>3</v>
      </c>
      <c r="AG327">
        <v>0.84</v>
      </c>
      <c r="AH327">
        <v>2</v>
      </c>
      <c r="AI327">
        <v>39491551</v>
      </c>
      <c r="AJ327">
        <v>343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ROW(Source!A236)</f>
        <v>236</v>
      </c>
      <c r="B328">
        <v>39491560</v>
      </c>
      <c r="C328">
        <v>39491550</v>
      </c>
      <c r="D328">
        <v>36800424</v>
      </c>
      <c r="E328">
        <v>1</v>
      </c>
      <c r="F328">
        <v>1</v>
      </c>
      <c r="G328">
        <v>1</v>
      </c>
      <c r="H328">
        <v>3</v>
      </c>
      <c r="I328" t="s">
        <v>898</v>
      </c>
      <c r="J328" t="s">
        <v>899</v>
      </c>
      <c r="K328" t="s">
        <v>900</v>
      </c>
      <c r="L328">
        <v>1346</v>
      </c>
      <c r="N328">
        <v>1009</v>
      </c>
      <c r="O328" t="s">
        <v>97</v>
      </c>
      <c r="P328" t="s">
        <v>97</v>
      </c>
      <c r="Q328">
        <v>1</v>
      </c>
      <c r="X328">
        <v>2.0000000000000001E-4</v>
      </c>
      <c r="Y328">
        <v>27.74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3</v>
      </c>
      <c r="AG328">
        <v>2.0000000000000001E-4</v>
      </c>
      <c r="AH328">
        <v>2</v>
      </c>
      <c r="AI328">
        <v>39491552</v>
      </c>
      <c r="AJ328">
        <v>344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ROW(Source!A236)</f>
        <v>236</v>
      </c>
      <c r="B329">
        <v>39491561</v>
      </c>
      <c r="C329">
        <v>39491550</v>
      </c>
      <c r="D329">
        <v>36804578</v>
      </c>
      <c r="E329">
        <v>1</v>
      </c>
      <c r="F329">
        <v>1</v>
      </c>
      <c r="G329">
        <v>1</v>
      </c>
      <c r="H329">
        <v>3</v>
      </c>
      <c r="I329" t="s">
        <v>901</v>
      </c>
      <c r="J329" t="s">
        <v>902</v>
      </c>
      <c r="K329" t="s">
        <v>903</v>
      </c>
      <c r="L329">
        <v>1355</v>
      </c>
      <c r="N329">
        <v>1010</v>
      </c>
      <c r="O329" t="s">
        <v>120</v>
      </c>
      <c r="P329" t="s">
        <v>120</v>
      </c>
      <c r="Q329">
        <v>100</v>
      </c>
      <c r="X329">
        <v>0.01</v>
      </c>
      <c r="Y329">
        <v>83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0</v>
      </c>
      <c r="AF329" t="s">
        <v>3</v>
      </c>
      <c r="AG329">
        <v>0.01</v>
      </c>
      <c r="AH329">
        <v>2</v>
      </c>
      <c r="AI329">
        <v>39491553</v>
      </c>
      <c r="AJ329">
        <v>345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ROW(Source!A236)</f>
        <v>236</v>
      </c>
      <c r="B330">
        <v>39491562</v>
      </c>
      <c r="C330">
        <v>39491550</v>
      </c>
      <c r="D330">
        <v>36806488</v>
      </c>
      <c r="E330">
        <v>1</v>
      </c>
      <c r="F330">
        <v>1</v>
      </c>
      <c r="G330">
        <v>1</v>
      </c>
      <c r="H330">
        <v>3</v>
      </c>
      <c r="I330" t="s">
        <v>653</v>
      </c>
      <c r="J330" t="s">
        <v>654</v>
      </c>
      <c r="K330" t="s">
        <v>655</v>
      </c>
      <c r="L330">
        <v>1348</v>
      </c>
      <c r="N330">
        <v>1009</v>
      </c>
      <c r="O330" t="s">
        <v>189</v>
      </c>
      <c r="P330" t="s">
        <v>189</v>
      </c>
      <c r="Q330">
        <v>1000</v>
      </c>
      <c r="X330">
        <v>1.0000000000000001E-5</v>
      </c>
      <c r="Y330">
        <v>729.98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0</v>
      </c>
      <c r="AF330" t="s">
        <v>3</v>
      </c>
      <c r="AG330">
        <v>1.0000000000000001E-5</v>
      </c>
      <c r="AH330">
        <v>2</v>
      </c>
      <c r="AI330">
        <v>39491554</v>
      </c>
      <c r="AJ330">
        <v>346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ROW(Source!A236)</f>
        <v>236</v>
      </c>
      <c r="B331">
        <v>39491563</v>
      </c>
      <c r="C331">
        <v>39491550</v>
      </c>
      <c r="D331">
        <v>36829536</v>
      </c>
      <c r="E331">
        <v>1</v>
      </c>
      <c r="F331">
        <v>1</v>
      </c>
      <c r="G331">
        <v>1</v>
      </c>
      <c r="H331">
        <v>3</v>
      </c>
      <c r="I331" t="s">
        <v>904</v>
      </c>
      <c r="J331" t="s">
        <v>905</v>
      </c>
      <c r="K331" t="s">
        <v>906</v>
      </c>
      <c r="L331">
        <v>1346</v>
      </c>
      <c r="N331">
        <v>1009</v>
      </c>
      <c r="O331" t="s">
        <v>97</v>
      </c>
      <c r="P331" t="s">
        <v>97</v>
      </c>
      <c r="Q331">
        <v>1</v>
      </c>
      <c r="X331">
        <v>2E-3</v>
      </c>
      <c r="Y331">
        <v>65.75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0</v>
      </c>
      <c r="AF331" t="s">
        <v>3</v>
      </c>
      <c r="AG331">
        <v>2E-3</v>
      </c>
      <c r="AH331">
        <v>2</v>
      </c>
      <c r="AI331">
        <v>39491555</v>
      </c>
      <c r="AJ331">
        <v>347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ROW(Source!A236)</f>
        <v>236</v>
      </c>
      <c r="B332">
        <v>39491564</v>
      </c>
      <c r="C332">
        <v>39491550</v>
      </c>
      <c r="D332">
        <v>36836995</v>
      </c>
      <c r="E332">
        <v>1</v>
      </c>
      <c r="F332">
        <v>1</v>
      </c>
      <c r="G332">
        <v>1</v>
      </c>
      <c r="H332">
        <v>3</v>
      </c>
      <c r="I332" t="s">
        <v>907</v>
      </c>
      <c r="J332" t="s">
        <v>908</v>
      </c>
      <c r="K332" t="s">
        <v>909</v>
      </c>
      <c r="L332">
        <v>1346</v>
      </c>
      <c r="N332">
        <v>1009</v>
      </c>
      <c r="O332" t="s">
        <v>97</v>
      </c>
      <c r="P332" t="s">
        <v>97</v>
      </c>
      <c r="Q332">
        <v>1</v>
      </c>
      <c r="X332">
        <v>5.0000000000000001E-3</v>
      </c>
      <c r="Y332">
        <v>28.93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3</v>
      </c>
      <c r="AG332">
        <v>5.0000000000000001E-3</v>
      </c>
      <c r="AH332">
        <v>2</v>
      </c>
      <c r="AI332">
        <v>39491556</v>
      </c>
      <c r="AJ332">
        <v>348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ROW(Source!A236)</f>
        <v>236</v>
      </c>
      <c r="B333">
        <v>39491565</v>
      </c>
      <c r="C333">
        <v>39491550</v>
      </c>
      <c r="D333">
        <v>36799065</v>
      </c>
      <c r="E333">
        <v>17</v>
      </c>
      <c r="F333">
        <v>1</v>
      </c>
      <c r="G333">
        <v>1</v>
      </c>
      <c r="H333">
        <v>3</v>
      </c>
      <c r="I333" t="s">
        <v>801</v>
      </c>
      <c r="J333" t="s">
        <v>3</v>
      </c>
      <c r="K333" t="s">
        <v>802</v>
      </c>
      <c r="L333">
        <v>1374</v>
      </c>
      <c r="N333">
        <v>1013</v>
      </c>
      <c r="O333" t="s">
        <v>803</v>
      </c>
      <c r="P333" t="s">
        <v>803</v>
      </c>
      <c r="Q333">
        <v>1</v>
      </c>
      <c r="X333">
        <v>0.16</v>
      </c>
      <c r="Y333">
        <v>1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0</v>
      </c>
      <c r="AF333" t="s">
        <v>3</v>
      </c>
      <c r="AG333">
        <v>0.16</v>
      </c>
      <c r="AH333">
        <v>2</v>
      </c>
      <c r="AI333">
        <v>39491558</v>
      </c>
      <c r="AJ333">
        <v>350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ROW(Source!A238)</f>
        <v>238</v>
      </c>
      <c r="B334">
        <v>39491574</v>
      </c>
      <c r="C334">
        <v>39491567</v>
      </c>
      <c r="D334">
        <v>37080781</v>
      </c>
      <c r="E334">
        <v>1</v>
      </c>
      <c r="F334">
        <v>1</v>
      </c>
      <c r="G334">
        <v>1</v>
      </c>
      <c r="H334">
        <v>1</v>
      </c>
      <c r="I334" t="s">
        <v>804</v>
      </c>
      <c r="J334" t="s">
        <v>3</v>
      </c>
      <c r="K334" t="s">
        <v>805</v>
      </c>
      <c r="L334">
        <v>1191</v>
      </c>
      <c r="N334">
        <v>1013</v>
      </c>
      <c r="O334" t="s">
        <v>641</v>
      </c>
      <c r="P334" t="s">
        <v>641</v>
      </c>
      <c r="Q334">
        <v>1</v>
      </c>
      <c r="X334">
        <v>5.4</v>
      </c>
      <c r="Y334">
        <v>0</v>
      </c>
      <c r="Z334">
        <v>0</v>
      </c>
      <c r="AA334">
        <v>0</v>
      </c>
      <c r="AB334">
        <v>9.92</v>
      </c>
      <c r="AC334">
        <v>0</v>
      </c>
      <c r="AD334">
        <v>1</v>
      </c>
      <c r="AE334">
        <v>1</v>
      </c>
      <c r="AF334" t="s">
        <v>3</v>
      </c>
      <c r="AG334">
        <v>5.4</v>
      </c>
      <c r="AH334">
        <v>2</v>
      </c>
      <c r="AI334">
        <v>39491568</v>
      </c>
      <c r="AJ334">
        <v>351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ROW(Source!A238)</f>
        <v>238</v>
      </c>
      <c r="B335">
        <v>39491575</v>
      </c>
      <c r="C335">
        <v>39491567</v>
      </c>
      <c r="D335">
        <v>36800424</v>
      </c>
      <c r="E335">
        <v>1</v>
      </c>
      <c r="F335">
        <v>1</v>
      </c>
      <c r="G335">
        <v>1</v>
      </c>
      <c r="H335">
        <v>3</v>
      </c>
      <c r="I335" t="s">
        <v>898</v>
      </c>
      <c r="J335" t="s">
        <v>899</v>
      </c>
      <c r="K335" t="s">
        <v>900</v>
      </c>
      <c r="L335">
        <v>1346</v>
      </c>
      <c r="N335">
        <v>1009</v>
      </c>
      <c r="O335" t="s">
        <v>97</v>
      </c>
      <c r="P335" t="s">
        <v>97</v>
      </c>
      <c r="Q335">
        <v>1</v>
      </c>
      <c r="X335">
        <v>1.2E-2</v>
      </c>
      <c r="Y335">
        <v>27.74</v>
      </c>
      <c r="Z335">
        <v>0</v>
      </c>
      <c r="AA335">
        <v>0</v>
      </c>
      <c r="AB335">
        <v>0</v>
      </c>
      <c r="AC335">
        <v>0</v>
      </c>
      <c r="AD335">
        <v>1</v>
      </c>
      <c r="AE335">
        <v>0</v>
      </c>
      <c r="AF335" t="s">
        <v>3</v>
      </c>
      <c r="AG335">
        <v>1.2E-2</v>
      </c>
      <c r="AH335">
        <v>2</v>
      </c>
      <c r="AI335">
        <v>39491569</v>
      </c>
      <c r="AJ335">
        <v>352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ROW(Source!A238)</f>
        <v>238</v>
      </c>
      <c r="B336">
        <v>39491576</v>
      </c>
      <c r="C336">
        <v>39491567</v>
      </c>
      <c r="D336">
        <v>36804578</v>
      </c>
      <c r="E336">
        <v>1</v>
      </c>
      <c r="F336">
        <v>1</v>
      </c>
      <c r="G336">
        <v>1</v>
      </c>
      <c r="H336">
        <v>3</v>
      </c>
      <c r="I336" t="s">
        <v>901</v>
      </c>
      <c r="J336" t="s">
        <v>902</v>
      </c>
      <c r="K336" t="s">
        <v>903</v>
      </c>
      <c r="L336">
        <v>1355</v>
      </c>
      <c r="N336">
        <v>1010</v>
      </c>
      <c r="O336" t="s">
        <v>120</v>
      </c>
      <c r="P336" t="s">
        <v>120</v>
      </c>
      <c r="Q336">
        <v>100</v>
      </c>
      <c r="X336">
        <v>0.04</v>
      </c>
      <c r="Y336">
        <v>83</v>
      </c>
      <c r="Z336">
        <v>0</v>
      </c>
      <c r="AA336">
        <v>0</v>
      </c>
      <c r="AB336">
        <v>0</v>
      </c>
      <c r="AC336">
        <v>0</v>
      </c>
      <c r="AD336">
        <v>1</v>
      </c>
      <c r="AE336">
        <v>0</v>
      </c>
      <c r="AF336" t="s">
        <v>3</v>
      </c>
      <c r="AG336">
        <v>0.04</v>
      </c>
      <c r="AH336">
        <v>2</v>
      </c>
      <c r="AI336">
        <v>39491570</v>
      </c>
      <c r="AJ336">
        <v>353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ROW(Source!A238)</f>
        <v>238</v>
      </c>
      <c r="B337">
        <v>39491577</v>
      </c>
      <c r="C337">
        <v>39491567</v>
      </c>
      <c r="D337">
        <v>36829536</v>
      </c>
      <c r="E337">
        <v>1</v>
      </c>
      <c r="F337">
        <v>1</v>
      </c>
      <c r="G337">
        <v>1</v>
      </c>
      <c r="H337">
        <v>3</v>
      </c>
      <c r="I337" t="s">
        <v>904</v>
      </c>
      <c r="J337" t="s">
        <v>905</v>
      </c>
      <c r="K337" t="s">
        <v>906</v>
      </c>
      <c r="L337">
        <v>1346</v>
      </c>
      <c r="N337">
        <v>1009</v>
      </c>
      <c r="O337" t="s">
        <v>97</v>
      </c>
      <c r="P337" t="s">
        <v>97</v>
      </c>
      <c r="Q337">
        <v>1</v>
      </c>
      <c r="X337">
        <v>0.12</v>
      </c>
      <c r="Y337">
        <v>65.75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3</v>
      </c>
      <c r="AG337">
        <v>0.12</v>
      </c>
      <c r="AH337">
        <v>2</v>
      </c>
      <c r="AI337">
        <v>39491571</v>
      </c>
      <c r="AJ337">
        <v>354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ROW(Source!A238)</f>
        <v>238</v>
      </c>
      <c r="B338">
        <v>39491578</v>
      </c>
      <c r="C338">
        <v>39491567</v>
      </c>
      <c r="D338">
        <v>36799065</v>
      </c>
      <c r="E338">
        <v>17</v>
      </c>
      <c r="F338">
        <v>1</v>
      </c>
      <c r="G338">
        <v>1</v>
      </c>
      <c r="H338">
        <v>3</v>
      </c>
      <c r="I338" t="s">
        <v>801</v>
      </c>
      <c r="J338" t="s">
        <v>3</v>
      </c>
      <c r="K338" t="s">
        <v>802</v>
      </c>
      <c r="L338">
        <v>1374</v>
      </c>
      <c r="N338">
        <v>1013</v>
      </c>
      <c r="O338" t="s">
        <v>803</v>
      </c>
      <c r="P338" t="s">
        <v>803</v>
      </c>
      <c r="Q338">
        <v>1</v>
      </c>
      <c r="X338">
        <v>1.07</v>
      </c>
      <c r="Y338">
        <v>1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3</v>
      </c>
      <c r="AG338">
        <v>1.07</v>
      </c>
      <c r="AH338">
        <v>2</v>
      </c>
      <c r="AI338">
        <v>39491573</v>
      </c>
      <c r="AJ338">
        <v>356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ROW(Source!A240)</f>
        <v>240</v>
      </c>
      <c r="B339">
        <v>39099989</v>
      </c>
      <c r="C339">
        <v>39099984</v>
      </c>
      <c r="D339">
        <v>37072767</v>
      </c>
      <c r="E339">
        <v>1</v>
      </c>
      <c r="F339">
        <v>1</v>
      </c>
      <c r="G339">
        <v>1</v>
      </c>
      <c r="H339">
        <v>1</v>
      </c>
      <c r="I339" t="s">
        <v>674</v>
      </c>
      <c r="J339" t="s">
        <v>3</v>
      </c>
      <c r="K339" t="s">
        <v>675</v>
      </c>
      <c r="L339">
        <v>1191</v>
      </c>
      <c r="N339">
        <v>1013</v>
      </c>
      <c r="O339" t="s">
        <v>641</v>
      </c>
      <c r="P339" t="s">
        <v>641</v>
      </c>
      <c r="Q339">
        <v>1</v>
      </c>
      <c r="X339">
        <v>15.2</v>
      </c>
      <c r="Y339">
        <v>0</v>
      </c>
      <c r="Z339">
        <v>0</v>
      </c>
      <c r="AA339">
        <v>0</v>
      </c>
      <c r="AB339">
        <v>9.18</v>
      </c>
      <c r="AC339">
        <v>0</v>
      </c>
      <c r="AD339">
        <v>1</v>
      </c>
      <c r="AE339">
        <v>1</v>
      </c>
      <c r="AF339" t="s">
        <v>3</v>
      </c>
      <c r="AG339">
        <v>15.2</v>
      </c>
      <c r="AH339">
        <v>2</v>
      </c>
      <c r="AI339">
        <v>39099985</v>
      </c>
      <c r="AJ339">
        <v>357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ROW(Source!A240)</f>
        <v>240</v>
      </c>
      <c r="B340">
        <v>39099990</v>
      </c>
      <c r="C340">
        <v>39099984</v>
      </c>
      <c r="D340">
        <v>36804661</v>
      </c>
      <c r="E340">
        <v>1</v>
      </c>
      <c r="F340">
        <v>1</v>
      </c>
      <c r="G340">
        <v>1</v>
      </c>
      <c r="H340">
        <v>3</v>
      </c>
      <c r="I340" t="s">
        <v>867</v>
      </c>
      <c r="J340" t="s">
        <v>868</v>
      </c>
      <c r="K340" t="s">
        <v>869</v>
      </c>
      <c r="L340">
        <v>1355</v>
      </c>
      <c r="N340">
        <v>1010</v>
      </c>
      <c r="O340" t="s">
        <v>120</v>
      </c>
      <c r="P340" t="s">
        <v>120</v>
      </c>
      <c r="Q340">
        <v>100</v>
      </c>
      <c r="X340">
        <v>1.75</v>
      </c>
      <c r="Y340">
        <v>8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3</v>
      </c>
      <c r="AG340">
        <v>1.75</v>
      </c>
      <c r="AH340">
        <v>2</v>
      </c>
      <c r="AI340">
        <v>39099986</v>
      </c>
      <c r="AJ340">
        <v>358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ROW(Source!A240)</f>
        <v>240</v>
      </c>
      <c r="B341">
        <v>39099991</v>
      </c>
      <c r="C341">
        <v>39099984</v>
      </c>
      <c r="D341">
        <v>36799065</v>
      </c>
      <c r="E341">
        <v>17</v>
      </c>
      <c r="F341">
        <v>1</v>
      </c>
      <c r="G341">
        <v>1</v>
      </c>
      <c r="H341">
        <v>3</v>
      </c>
      <c r="I341" t="s">
        <v>801</v>
      </c>
      <c r="J341" t="s">
        <v>3</v>
      </c>
      <c r="K341" t="s">
        <v>802</v>
      </c>
      <c r="L341">
        <v>1374</v>
      </c>
      <c r="N341">
        <v>1013</v>
      </c>
      <c r="O341" t="s">
        <v>803</v>
      </c>
      <c r="P341" t="s">
        <v>803</v>
      </c>
      <c r="Q341">
        <v>1</v>
      </c>
      <c r="X341">
        <v>2.79</v>
      </c>
      <c r="Y341">
        <v>1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0</v>
      </c>
      <c r="AF341" t="s">
        <v>3</v>
      </c>
      <c r="AG341">
        <v>2.79</v>
      </c>
      <c r="AH341">
        <v>2</v>
      </c>
      <c r="AI341">
        <v>39099987</v>
      </c>
      <c r="AJ341">
        <v>360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ROW(Source!A242)</f>
        <v>242</v>
      </c>
      <c r="B342">
        <v>39100005</v>
      </c>
      <c r="C342">
        <v>39099993</v>
      </c>
      <c r="D342">
        <v>37064878</v>
      </c>
      <c r="E342">
        <v>1</v>
      </c>
      <c r="F342">
        <v>1</v>
      </c>
      <c r="G342">
        <v>1</v>
      </c>
      <c r="H342">
        <v>1</v>
      </c>
      <c r="I342" t="s">
        <v>693</v>
      </c>
      <c r="J342" t="s">
        <v>3</v>
      </c>
      <c r="K342" t="s">
        <v>694</v>
      </c>
      <c r="L342">
        <v>1191</v>
      </c>
      <c r="N342">
        <v>1013</v>
      </c>
      <c r="O342" t="s">
        <v>641</v>
      </c>
      <c r="P342" t="s">
        <v>641</v>
      </c>
      <c r="Q342">
        <v>1</v>
      </c>
      <c r="X342">
        <v>5.39</v>
      </c>
      <c r="Y342">
        <v>0</v>
      </c>
      <c r="Z342">
        <v>0</v>
      </c>
      <c r="AA342">
        <v>0</v>
      </c>
      <c r="AB342">
        <v>9.4</v>
      </c>
      <c r="AC342">
        <v>0</v>
      </c>
      <c r="AD342">
        <v>1</v>
      </c>
      <c r="AE342">
        <v>1</v>
      </c>
      <c r="AF342" t="s">
        <v>3</v>
      </c>
      <c r="AG342">
        <v>5.39</v>
      </c>
      <c r="AH342">
        <v>2</v>
      </c>
      <c r="AI342">
        <v>39099994</v>
      </c>
      <c r="AJ342">
        <v>361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ROW(Source!A242)</f>
        <v>242</v>
      </c>
      <c r="B343">
        <v>39100006</v>
      </c>
      <c r="C343">
        <v>39099993</v>
      </c>
      <c r="D343">
        <v>37064876</v>
      </c>
      <c r="E343">
        <v>1</v>
      </c>
      <c r="F343">
        <v>1</v>
      </c>
      <c r="G343">
        <v>1</v>
      </c>
      <c r="H343">
        <v>1</v>
      </c>
      <c r="I343" t="s">
        <v>642</v>
      </c>
      <c r="J343" t="s">
        <v>3</v>
      </c>
      <c r="K343" t="s">
        <v>643</v>
      </c>
      <c r="L343">
        <v>1191</v>
      </c>
      <c r="N343">
        <v>1013</v>
      </c>
      <c r="O343" t="s">
        <v>641</v>
      </c>
      <c r="P343" t="s">
        <v>641</v>
      </c>
      <c r="Q343">
        <v>1</v>
      </c>
      <c r="X343">
        <v>0.04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1</v>
      </c>
      <c r="AE343">
        <v>2</v>
      </c>
      <c r="AF343" t="s">
        <v>3</v>
      </c>
      <c r="AG343">
        <v>0.04</v>
      </c>
      <c r="AH343">
        <v>2</v>
      </c>
      <c r="AI343">
        <v>39099995</v>
      </c>
      <c r="AJ343">
        <v>362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ROW(Source!A242)</f>
        <v>242</v>
      </c>
      <c r="B344">
        <v>39100007</v>
      </c>
      <c r="C344">
        <v>39099993</v>
      </c>
      <c r="D344">
        <v>36882159</v>
      </c>
      <c r="E344">
        <v>1</v>
      </c>
      <c r="F344">
        <v>1</v>
      </c>
      <c r="G344">
        <v>1</v>
      </c>
      <c r="H344">
        <v>2</v>
      </c>
      <c r="I344" t="s">
        <v>765</v>
      </c>
      <c r="J344" t="s">
        <v>766</v>
      </c>
      <c r="K344" t="s">
        <v>767</v>
      </c>
      <c r="L344">
        <v>1368</v>
      </c>
      <c r="N344">
        <v>1011</v>
      </c>
      <c r="O344" t="s">
        <v>647</v>
      </c>
      <c r="P344" t="s">
        <v>647</v>
      </c>
      <c r="Q344">
        <v>1</v>
      </c>
      <c r="X344">
        <v>0.02</v>
      </c>
      <c r="Y344">
        <v>0</v>
      </c>
      <c r="Z344">
        <v>111.99</v>
      </c>
      <c r="AA344">
        <v>13.5</v>
      </c>
      <c r="AB344">
        <v>0</v>
      </c>
      <c r="AC344">
        <v>0</v>
      </c>
      <c r="AD344">
        <v>1</v>
      </c>
      <c r="AE344">
        <v>0</v>
      </c>
      <c r="AF344" t="s">
        <v>3</v>
      </c>
      <c r="AG344">
        <v>0.02</v>
      </c>
      <c r="AH344">
        <v>2</v>
      </c>
      <c r="AI344">
        <v>39099996</v>
      </c>
      <c r="AJ344">
        <v>363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ROW(Source!A242)</f>
        <v>242</v>
      </c>
      <c r="B345">
        <v>39100008</v>
      </c>
      <c r="C345">
        <v>39099993</v>
      </c>
      <c r="D345">
        <v>36883554</v>
      </c>
      <c r="E345">
        <v>1</v>
      </c>
      <c r="F345">
        <v>1</v>
      </c>
      <c r="G345">
        <v>1</v>
      </c>
      <c r="H345">
        <v>2</v>
      </c>
      <c r="I345" t="s">
        <v>665</v>
      </c>
      <c r="J345" t="s">
        <v>666</v>
      </c>
      <c r="K345" t="s">
        <v>667</v>
      </c>
      <c r="L345">
        <v>1368</v>
      </c>
      <c r="N345">
        <v>1011</v>
      </c>
      <c r="O345" t="s">
        <v>647</v>
      </c>
      <c r="P345" t="s">
        <v>647</v>
      </c>
      <c r="Q345">
        <v>1</v>
      </c>
      <c r="X345">
        <v>0.02</v>
      </c>
      <c r="Y345">
        <v>0</v>
      </c>
      <c r="Z345">
        <v>65.709999999999994</v>
      </c>
      <c r="AA345">
        <v>11.6</v>
      </c>
      <c r="AB345">
        <v>0</v>
      </c>
      <c r="AC345">
        <v>0</v>
      </c>
      <c r="AD345">
        <v>1</v>
      </c>
      <c r="AE345">
        <v>0</v>
      </c>
      <c r="AF345" t="s">
        <v>3</v>
      </c>
      <c r="AG345">
        <v>0.02</v>
      </c>
      <c r="AH345">
        <v>2</v>
      </c>
      <c r="AI345">
        <v>39099997</v>
      </c>
      <c r="AJ345">
        <v>364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ROW(Source!A242)</f>
        <v>242</v>
      </c>
      <c r="B346">
        <v>39100009</v>
      </c>
      <c r="C346">
        <v>39099993</v>
      </c>
      <c r="D346">
        <v>36802094</v>
      </c>
      <c r="E346">
        <v>1</v>
      </c>
      <c r="F346">
        <v>1</v>
      </c>
      <c r="G346">
        <v>1</v>
      </c>
      <c r="H346">
        <v>3</v>
      </c>
      <c r="I346" t="s">
        <v>820</v>
      </c>
      <c r="J346" t="s">
        <v>821</v>
      </c>
      <c r="K346" t="s">
        <v>822</v>
      </c>
      <c r="L346">
        <v>1346</v>
      </c>
      <c r="N346">
        <v>1009</v>
      </c>
      <c r="O346" t="s">
        <v>97</v>
      </c>
      <c r="P346" t="s">
        <v>97</v>
      </c>
      <c r="Q346">
        <v>1</v>
      </c>
      <c r="X346">
        <v>0.16</v>
      </c>
      <c r="Y346">
        <v>30.4</v>
      </c>
      <c r="Z346">
        <v>0</v>
      </c>
      <c r="AA346">
        <v>0</v>
      </c>
      <c r="AB346">
        <v>0</v>
      </c>
      <c r="AC346">
        <v>0</v>
      </c>
      <c r="AD346">
        <v>1</v>
      </c>
      <c r="AE346">
        <v>0</v>
      </c>
      <c r="AF346" t="s">
        <v>3</v>
      </c>
      <c r="AG346">
        <v>0.16</v>
      </c>
      <c r="AH346">
        <v>2</v>
      </c>
      <c r="AI346">
        <v>39099998</v>
      </c>
      <c r="AJ346">
        <v>365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ROW(Source!A242)</f>
        <v>242</v>
      </c>
      <c r="B347">
        <v>39100010</v>
      </c>
      <c r="C347">
        <v>39099993</v>
      </c>
      <c r="D347">
        <v>36802373</v>
      </c>
      <c r="E347">
        <v>1</v>
      </c>
      <c r="F347">
        <v>1</v>
      </c>
      <c r="G347">
        <v>1</v>
      </c>
      <c r="H347">
        <v>3</v>
      </c>
      <c r="I347" t="s">
        <v>873</v>
      </c>
      <c r="J347" t="s">
        <v>874</v>
      </c>
      <c r="K347" t="s">
        <v>875</v>
      </c>
      <c r="L347">
        <v>1348</v>
      </c>
      <c r="N347">
        <v>1009</v>
      </c>
      <c r="O347" t="s">
        <v>189</v>
      </c>
      <c r="P347" t="s">
        <v>189</v>
      </c>
      <c r="Q347">
        <v>1000</v>
      </c>
      <c r="X347">
        <v>5.9999999999999995E-4</v>
      </c>
      <c r="Y347">
        <v>1820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3</v>
      </c>
      <c r="AG347">
        <v>5.9999999999999995E-4</v>
      </c>
      <c r="AH347">
        <v>2</v>
      </c>
      <c r="AI347">
        <v>39099999</v>
      </c>
      <c r="AJ347">
        <v>366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ROW(Source!A242)</f>
        <v>242</v>
      </c>
      <c r="B348">
        <v>39100011</v>
      </c>
      <c r="C348">
        <v>39099993</v>
      </c>
      <c r="D348">
        <v>36838317</v>
      </c>
      <c r="E348">
        <v>1</v>
      </c>
      <c r="F348">
        <v>1</v>
      </c>
      <c r="G348">
        <v>1</v>
      </c>
      <c r="H348">
        <v>3</v>
      </c>
      <c r="I348" t="s">
        <v>838</v>
      </c>
      <c r="J348" t="s">
        <v>839</v>
      </c>
      <c r="K348" t="s">
        <v>840</v>
      </c>
      <c r="L348">
        <v>1346</v>
      </c>
      <c r="N348">
        <v>1009</v>
      </c>
      <c r="O348" t="s">
        <v>97</v>
      </c>
      <c r="P348" t="s">
        <v>97</v>
      </c>
      <c r="Q348">
        <v>1</v>
      </c>
      <c r="X348">
        <v>0.02</v>
      </c>
      <c r="Y348">
        <v>28.6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3</v>
      </c>
      <c r="AG348">
        <v>0.02</v>
      </c>
      <c r="AH348">
        <v>2</v>
      </c>
      <c r="AI348">
        <v>39100000</v>
      </c>
      <c r="AJ348">
        <v>367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ROW(Source!A242)</f>
        <v>242</v>
      </c>
      <c r="B349">
        <v>39100012</v>
      </c>
      <c r="C349">
        <v>39099993</v>
      </c>
      <c r="D349">
        <v>36852009</v>
      </c>
      <c r="E349">
        <v>1</v>
      </c>
      <c r="F349">
        <v>1</v>
      </c>
      <c r="G349">
        <v>1</v>
      </c>
      <c r="H349">
        <v>3</v>
      </c>
      <c r="I349" t="s">
        <v>910</v>
      </c>
      <c r="J349" t="s">
        <v>911</v>
      </c>
      <c r="K349" t="s">
        <v>912</v>
      </c>
      <c r="L349">
        <v>1355</v>
      </c>
      <c r="N349">
        <v>1010</v>
      </c>
      <c r="O349" t="s">
        <v>120</v>
      </c>
      <c r="P349" t="s">
        <v>120</v>
      </c>
      <c r="Q349">
        <v>100</v>
      </c>
      <c r="X349">
        <v>0.05</v>
      </c>
      <c r="Y349">
        <v>110</v>
      </c>
      <c r="Z349">
        <v>0</v>
      </c>
      <c r="AA349">
        <v>0</v>
      </c>
      <c r="AB349">
        <v>0</v>
      </c>
      <c r="AC349">
        <v>0</v>
      </c>
      <c r="AD349">
        <v>1</v>
      </c>
      <c r="AE349">
        <v>0</v>
      </c>
      <c r="AF349" t="s">
        <v>3</v>
      </c>
      <c r="AG349">
        <v>0.05</v>
      </c>
      <c r="AH349">
        <v>2</v>
      </c>
      <c r="AI349">
        <v>39100001</v>
      </c>
      <c r="AJ349">
        <v>368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ROW(Source!A242)</f>
        <v>242</v>
      </c>
      <c r="B350">
        <v>39100013</v>
      </c>
      <c r="C350">
        <v>39099993</v>
      </c>
      <c r="D350">
        <v>36852060</v>
      </c>
      <c r="E350">
        <v>1</v>
      </c>
      <c r="F350">
        <v>1</v>
      </c>
      <c r="G350">
        <v>1</v>
      </c>
      <c r="H350">
        <v>3</v>
      </c>
      <c r="I350" t="s">
        <v>913</v>
      </c>
      <c r="J350" t="s">
        <v>914</v>
      </c>
      <c r="K350" t="s">
        <v>915</v>
      </c>
      <c r="L350">
        <v>1356</v>
      </c>
      <c r="N350">
        <v>1010</v>
      </c>
      <c r="O350" t="s">
        <v>690</v>
      </c>
      <c r="P350" t="s">
        <v>690</v>
      </c>
      <c r="Q350">
        <v>1000</v>
      </c>
      <c r="X350">
        <v>1.2200000000000001E-2</v>
      </c>
      <c r="Y350">
        <v>119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0</v>
      </c>
      <c r="AF350" t="s">
        <v>3</v>
      </c>
      <c r="AG350">
        <v>1.2200000000000001E-2</v>
      </c>
      <c r="AH350">
        <v>2</v>
      </c>
      <c r="AI350">
        <v>39100002</v>
      </c>
      <c r="AJ350">
        <v>369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ROW(Source!A242)</f>
        <v>242</v>
      </c>
      <c r="B351">
        <v>39100014</v>
      </c>
      <c r="C351">
        <v>39099993</v>
      </c>
      <c r="D351">
        <v>36799065</v>
      </c>
      <c r="E351">
        <v>17</v>
      </c>
      <c r="F351">
        <v>1</v>
      </c>
      <c r="G351">
        <v>1</v>
      </c>
      <c r="H351">
        <v>3</v>
      </c>
      <c r="I351" t="s">
        <v>801</v>
      </c>
      <c r="J351" t="s">
        <v>3</v>
      </c>
      <c r="K351" t="s">
        <v>802</v>
      </c>
      <c r="L351">
        <v>1374</v>
      </c>
      <c r="N351">
        <v>1013</v>
      </c>
      <c r="O351" t="s">
        <v>803</v>
      </c>
      <c r="P351" t="s">
        <v>803</v>
      </c>
      <c r="Q351">
        <v>1</v>
      </c>
      <c r="X351">
        <v>1.01</v>
      </c>
      <c r="Y351">
        <v>1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0</v>
      </c>
      <c r="AF351" t="s">
        <v>3</v>
      </c>
      <c r="AG351">
        <v>1.01</v>
      </c>
      <c r="AH351">
        <v>2</v>
      </c>
      <c r="AI351">
        <v>39100003</v>
      </c>
      <c r="AJ351">
        <v>371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ROW(Source!A244)</f>
        <v>244</v>
      </c>
      <c r="B352">
        <v>39100833</v>
      </c>
      <c r="C352">
        <v>39100830</v>
      </c>
      <c r="D352">
        <v>37113247</v>
      </c>
      <c r="E352">
        <v>1</v>
      </c>
      <c r="F352">
        <v>1</v>
      </c>
      <c r="G352">
        <v>1</v>
      </c>
      <c r="H352">
        <v>1</v>
      </c>
      <c r="I352" t="s">
        <v>916</v>
      </c>
      <c r="J352" t="s">
        <v>3</v>
      </c>
      <c r="K352" t="s">
        <v>917</v>
      </c>
      <c r="L352">
        <v>1191</v>
      </c>
      <c r="N352">
        <v>1013</v>
      </c>
      <c r="O352" t="s">
        <v>641</v>
      </c>
      <c r="P352" t="s">
        <v>641</v>
      </c>
      <c r="Q352">
        <v>1</v>
      </c>
      <c r="X352">
        <v>0.4</v>
      </c>
      <c r="Y352">
        <v>0</v>
      </c>
      <c r="Z352">
        <v>0</v>
      </c>
      <c r="AA352">
        <v>0</v>
      </c>
      <c r="AB352">
        <v>11.09</v>
      </c>
      <c r="AC352">
        <v>0</v>
      </c>
      <c r="AD352">
        <v>1</v>
      </c>
      <c r="AE352">
        <v>1</v>
      </c>
      <c r="AF352" t="s">
        <v>3</v>
      </c>
      <c r="AG352">
        <v>0.4</v>
      </c>
      <c r="AH352">
        <v>2</v>
      </c>
      <c r="AI352">
        <v>39100831</v>
      </c>
      <c r="AJ352">
        <v>372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ROW(Source!A244)</f>
        <v>244</v>
      </c>
      <c r="B353">
        <v>39100834</v>
      </c>
      <c r="C353">
        <v>39100830</v>
      </c>
      <c r="D353">
        <v>36799065</v>
      </c>
      <c r="E353">
        <v>17</v>
      </c>
      <c r="F353">
        <v>1</v>
      </c>
      <c r="G353">
        <v>1</v>
      </c>
      <c r="H353">
        <v>3</v>
      </c>
      <c r="I353" t="s">
        <v>801</v>
      </c>
      <c r="J353" t="s">
        <v>3</v>
      </c>
      <c r="K353" t="s">
        <v>802</v>
      </c>
      <c r="L353">
        <v>1374</v>
      </c>
      <c r="N353">
        <v>1013</v>
      </c>
      <c r="O353" t="s">
        <v>803</v>
      </c>
      <c r="P353" t="s">
        <v>803</v>
      </c>
      <c r="Q353">
        <v>1</v>
      </c>
      <c r="X353">
        <v>0.09</v>
      </c>
      <c r="Y353">
        <v>1</v>
      </c>
      <c r="Z353">
        <v>0</v>
      </c>
      <c r="AA353">
        <v>0</v>
      </c>
      <c r="AB353">
        <v>0</v>
      </c>
      <c r="AC353">
        <v>0</v>
      </c>
      <c r="AD353">
        <v>1</v>
      </c>
      <c r="AE353">
        <v>0</v>
      </c>
      <c r="AF353" t="s">
        <v>3</v>
      </c>
      <c r="AG353">
        <v>0.09</v>
      </c>
      <c r="AH353">
        <v>2</v>
      </c>
      <c r="AI353">
        <v>39100832</v>
      </c>
      <c r="AJ353">
        <v>373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Смета 12 гр. по ФЕР</vt:lpstr>
      <vt:lpstr>Акт КС-2 c НР и СП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2018-06-15T08:04:06Z</dcterms:created>
  <dcterms:modified xsi:type="dcterms:W3CDTF">2018-08-03T09:31:39Z</dcterms:modified>
</cp:coreProperties>
</file>