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452063\Desktop\"/>
    </mc:Choice>
  </mc:AlternateContent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ФЕР'!$A$1:$L$329</definedName>
  </definedNames>
  <calcPr calcId="162913"/>
</workbook>
</file>

<file path=xl/calcChain.xml><?xml version="1.0" encoding="utf-8"?>
<calcChain xmlns="http://schemas.openxmlformats.org/spreadsheetml/2006/main">
  <c r="I60" i="1" l="1"/>
  <c r="I74" i="1"/>
  <c r="I327" i="5" l="1"/>
  <c r="I324" i="5"/>
  <c r="D327" i="5"/>
  <c r="D324" i="5"/>
  <c r="C321" i="5"/>
  <c r="C320" i="5"/>
  <c r="C319" i="5"/>
  <c r="Y317" i="5"/>
  <c r="X317" i="5"/>
  <c r="W317" i="5"/>
  <c r="G316" i="5"/>
  <c r="E316" i="5"/>
  <c r="J315" i="5"/>
  <c r="E315" i="5"/>
  <c r="J314" i="5"/>
  <c r="E314" i="5"/>
  <c r="J313" i="5"/>
  <c r="G313" i="5"/>
  <c r="F313" i="5"/>
  <c r="F312" i="5"/>
  <c r="E312" i="5"/>
  <c r="D312" i="5"/>
  <c r="I312" i="5"/>
  <c r="C312" i="5"/>
  <c r="B312" i="5"/>
  <c r="A312" i="5"/>
  <c r="Y311" i="5"/>
  <c r="X311" i="5"/>
  <c r="W311" i="5"/>
  <c r="G310" i="5"/>
  <c r="E310" i="5"/>
  <c r="J309" i="5"/>
  <c r="E309" i="5"/>
  <c r="J308" i="5"/>
  <c r="E308" i="5"/>
  <c r="J307" i="5"/>
  <c r="G307" i="5"/>
  <c r="F307" i="5"/>
  <c r="F306" i="5"/>
  <c r="E306" i="5"/>
  <c r="D306" i="5"/>
  <c r="I306" i="5"/>
  <c r="C306" i="5"/>
  <c r="B306" i="5"/>
  <c r="A306" i="5"/>
  <c r="Y305" i="5"/>
  <c r="X305" i="5"/>
  <c r="W305" i="5"/>
  <c r="G304" i="5"/>
  <c r="E304" i="5"/>
  <c r="J303" i="5"/>
  <c r="E303" i="5"/>
  <c r="J302" i="5"/>
  <c r="E302" i="5"/>
  <c r="J301" i="5"/>
  <c r="G301" i="5"/>
  <c r="F301" i="5"/>
  <c r="F300" i="5"/>
  <c r="E300" i="5"/>
  <c r="D300" i="5"/>
  <c r="I300" i="5"/>
  <c r="C300" i="5"/>
  <c r="B300" i="5"/>
  <c r="A300" i="5"/>
  <c r="Z299" i="5"/>
  <c r="Y299" i="5"/>
  <c r="X299" i="5"/>
  <c r="G298" i="5"/>
  <c r="E298" i="5"/>
  <c r="J297" i="5"/>
  <c r="F297" i="5"/>
  <c r="E297" i="5"/>
  <c r="J296" i="5"/>
  <c r="F296" i="5"/>
  <c r="E296" i="5"/>
  <c r="J295" i="5"/>
  <c r="G295" i="5"/>
  <c r="F295" i="5"/>
  <c r="F293" i="5"/>
  <c r="D293" i="5"/>
  <c r="I293" i="5"/>
  <c r="C293" i="5"/>
  <c r="B293" i="5"/>
  <c r="A293" i="5"/>
  <c r="Z292" i="5"/>
  <c r="Y292" i="5"/>
  <c r="X292" i="5"/>
  <c r="J291" i="5"/>
  <c r="F291" i="5"/>
  <c r="E291" i="5"/>
  <c r="J290" i="5"/>
  <c r="F290" i="5"/>
  <c r="E290" i="5"/>
  <c r="J289" i="5"/>
  <c r="G289" i="5"/>
  <c r="F289" i="5"/>
  <c r="J288" i="5"/>
  <c r="G288" i="5"/>
  <c r="F288" i="5"/>
  <c r="F286" i="5"/>
  <c r="D286" i="5"/>
  <c r="I286" i="5"/>
  <c r="C286" i="5"/>
  <c r="B286" i="5"/>
  <c r="A286" i="5"/>
  <c r="Z285" i="5"/>
  <c r="Y285" i="5"/>
  <c r="W285" i="5"/>
  <c r="G284" i="5"/>
  <c r="E284" i="5"/>
  <c r="J283" i="5"/>
  <c r="E283" i="5"/>
  <c r="J282" i="5"/>
  <c r="E282" i="5"/>
  <c r="J281" i="5"/>
  <c r="G281" i="5"/>
  <c r="F281" i="5"/>
  <c r="J280" i="5"/>
  <c r="G280" i="5"/>
  <c r="F280" i="5"/>
  <c r="J279" i="5"/>
  <c r="G279" i="5"/>
  <c r="F279" i="5"/>
  <c r="J278" i="5"/>
  <c r="G278" i="5"/>
  <c r="F278" i="5"/>
  <c r="C277" i="5"/>
  <c r="F276" i="5"/>
  <c r="E276" i="5"/>
  <c r="D276" i="5"/>
  <c r="I276" i="5"/>
  <c r="C276" i="5"/>
  <c r="B276" i="5"/>
  <c r="A276" i="5"/>
  <c r="Z275" i="5"/>
  <c r="Y275" i="5"/>
  <c r="W275" i="5"/>
  <c r="J274" i="5"/>
  <c r="Z274" i="5"/>
  <c r="Y274" i="5"/>
  <c r="W274" i="5"/>
  <c r="F274" i="5"/>
  <c r="D274" i="5"/>
  <c r="C274" i="5"/>
  <c r="B274" i="5"/>
  <c r="A274" i="5"/>
  <c r="G273" i="5"/>
  <c r="E273" i="5"/>
  <c r="J272" i="5"/>
  <c r="E272" i="5"/>
  <c r="J271" i="5"/>
  <c r="E271" i="5"/>
  <c r="J270" i="5"/>
  <c r="G270" i="5"/>
  <c r="F270" i="5"/>
  <c r="J269" i="5"/>
  <c r="G269" i="5"/>
  <c r="F269" i="5"/>
  <c r="J268" i="5"/>
  <c r="G268" i="5"/>
  <c r="F268" i="5"/>
  <c r="J267" i="5"/>
  <c r="G267" i="5"/>
  <c r="F267" i="5"/>
  <c r="F265" i="5"/>
  <c r="D265" i="5"/>
  <c r="I265" i="5"/>
  <c r="C265" i="5"/>
  <c r="B265" i="5"/>
  <c r="A265" i="5"/>
  <c r="Z264" i="5"/>
  <c r="Y264" i="5"/>
  <c r="W264" i="5"/>
  <c r="J263" i="5"/>
  <c r="Z263" i="5"/>
  <c r="Y263" i="5"/>
  <c r="W263" i="5"/>
  <c r="F263" i="5"/>
  <c r="D263" i="5"/>
  <c r="C263" i="5"/>
  <c r="B263" i="5"/>
  <c r="A263" i="5"/>
  <c r="G262" i="5"/>
  <c r="E262" i="5"/>
  <c r="J261" i="5"/>
  <c r="E261" i="5"/>
  <c r="J260" i="5"/>
  <c r="E260" i="5"/>
  <c r="J259" i="5"/>
  <c r="G259" i="5"/>
  <c r="F259" i="5"/>
  <c r="J258" i="5"/>
  <c r="G258" i="5"/>
  <c r="F258" i="5"/>
  <c r="J257" i="5"/>
  <c r="G257" i="5"/>
  <c r="F257" i="5"/>
  <c r="J256" i="5"/>
  <c r="G256" i="5"/>
  <c r="F256" i="5"/>
  <c r="F254" i="5"/>
  <c r="D254" i="5"/>
  <c r="I254" i="5"/>
  <c r="C254" i="5"/>
  <c r="B254" i="5"/>
  <c r="A254" i="5"/>
  <c r="Z253" i="5"/>
  <c r="Y253" i="5"/>
  <c r="W253" i="5"/>
  <c r="J252" i="5"/>
  <c r="Z252" i="5"/>
  <c r="Y252" i="5"/>
  <c r="W252" i="5"/>
  <c r="F252" i="5"/>
  <c r="D252" i="5"/>
  <c r="C252" i="5"/>
  <c r="B252" i="5"/>
  <c r="A252" i="5"/>
  <c r="G251" i="5"/>
  <c r="E251" i="5"/>
  <c r="J250" i="5"/>
  <c r="E250" i="5"/>
  <c r="J249" i="5"/>
  <c r="E249" i="5"/>
  <c r="J248" i="5"/>
  <c r="G248" i="5"/>
  <c r="F248" i="5"/>
  <c r="J247" i="5"/>
  <c r="G247" i="5"/>
  <c r="F247" i="5"/>
  <c r="F245" i="5"/>
  <c r="D245" i="5"/>
  <c r="I245" i="5"/>
  <c r="C245" i="5"/>
  <c r="B245" i="5"/>
  <c r="A245" i="5"/>
  <c r="Z244" i="5"/>
  <c r="Y244" i="5"/>
  <c r="W244" i="5"/>
  <c r="J243" i="5"/>
  <c r="Z243" i="5"/>
  <c r="Y243" i="5"/>
  <c r="W243" i="5"/>
  <c r="F243" i="5"/>
  <c r="D243" i="5"/>
  <c r="C243" i="5"/>
  <c r="B243" i="5"/>
  <c r="A243" i="5"/>
  <c r="J242" i="5"/>
  <c r="Z242" i="5"/>
  <c r="Y242" i="5"/>
  <c r="W242" i="5"/>
  <c r="F242" i="5"/>
  <c r="D242" i="5"/>
  <c r="C242" i="5"/>
  <c r="B242" i="5"/>
  <c r="A242" i="5"/>
  <c r="J241" i="5"/>
  <c r="Z241" i="5"/>
  <c r="Y241" i="5"/>
  <c r="W241" i="5"/>
  <c r="F241" i="5"/>
  <c r="D241" i="5"/>
  <c r="C241" i="5"/>
  <c r="B241" i="5"/>
  <c r="A241" i="5"/>
  <c r="G240" i="5"/>
  <c r="E240" i="5"/>
  <c r="J239" i="5"/>
  <c r="E239" i="5"/>
  <c r="J238" i="5"/>
  <c r="E238" i="5"/>
  <c r="J237" i="5"/>
  <c r="G237" i="5"/>
  <c r="F237" i="5"/>
  <c r="J236" i="5"/>
  <c r="G236" i="5"/>
  <c r="F236" i="5"/>
  <c r="J235" i="5"/>
  <c r="G235" i="5"/>
  <c r="F235" i="5"/>
  <c r="J234" i="5"/>
  <c r="G234" i="5"/>
  <c r="F234" i="5"/>
  <c r="F232" i="5"/>
  <c r="D232" i="5"/>
  <c r="I232" i="5"/>
  <c r="C232" i="5"/>
  <c r="B232" i="5"/>
  <c r="A232" i="5"/>
  <c r="Z231" i="5"/>
  <c r="Y231" i="5"/>
  <c r="W231" i="5"/>
  <c r="J230" i="5"/>
  <c r="Z230" i="5"/>
  <c r="Y230" i="5"/>
  <c r="W230" i="5"/>
  <c r="F230" i="5"/>
  <c r="D230" i="5"/>
  <c r="C230" i="5"/>
  <c r="B230" i="5"/>
  <c r="A230" i="5"/>
  <c r="G229" i="5"/>
  <c r="E229" i="5"/>
  <c r="J228" i="5"/>
  <c r="E228" i="5"/>
  <c r="J227" i="5"/>
  <c r="E227" i="5"/>
  <c r="J226" i="5"/>
  <c r="G226" i="5"/>
  <c r="F226" i="5"/>
  <c r="J225" i="5"/>
  <c r="G225" i="5"/>
  <c r="F225" i="5"/>
  <c r="J224" i="5"/>
  <c r="G224" i="5"/>
  <c r="F224" i="5"/>
  <c r="J223" i="5"/>
  <c r="G223" i="5"/>
  <c r="F223" i="5"/>
  <c r="F221" i="5"/>
  <c r="D221" i="5"/>
  <c r="I221" i="5"/>
  <c r="C221" i="5"/>
  <c r="B221" i="5"/>
  <c r="A221" i="5"/>
  <c r="Z220" i="5"/>
  <c r="Y220" i="5"/>
  <c r="W220" i="5"/>
  <c r="J219" i="5"/>
  <c r="Z219" i="5"/>
  <c r="Y219" i="5"/>
  <c r="W219" i="5"/>
  <c r="F219" i="5"/>
  <c r="D219" i="5"/>
  <c r="C219" i="5"/>
  <c r="B219" i="5"/>
  <c r="A219" i="5"/>
  <c r="G218" i="5"/>
  <c r="E218" i="5"/>
  <c r="J217" i="5"/>
  <c r="E217" i="5"/>
  <c r="J216" i="5"/>
  <c r="E216" i="5"/>
  <c r="J215" i="5"/>
  <c r="G215" i="5"/>
  <c r="F215" i="5"/>
  <c r="J214" i="5"/>
  <c r="G214" i="5"/>
  <c r="F214" i="5"/>
  <c r="J213" i="5"/>
  <c r="G213" i="5"/>
  <c r="F213" i="5"/>
  <c r="J212" i="5"/>
  <c r="G212" i="5"/>
  <c r="F212" i="5"/>
  <c r="C211" i="5"/>
  <c r="F210" i="5"/>
  <c r="E210" i="5"/>
  <c r="D210" i="5"/>
  <c r="I210" i="5"/>
  <c r="C210" i="5"/>
  <c r="B210" i="5"/>
  <c r="A210" i="5"/>
  <c r="Z209" i="5"/>
  <c r="Y209" i="5"/>
  <c r="W209" i="5"/>
  <c r="J208" i="5"/>
  <c r="Z208" i="5"/>
  <c r="Y208" i="5"/>
  <c r="W208" i="5"/>
  <c r="F208" i="5"/>
  <c r="D208" i="5"/>
  <c r="C208" i="5"/>
  <c r="B208" i="5"/>
  <c r="A208" i="5"/>
  <c r="G207" i="5"/>
  <c r="E207" i="5"/>
  <c r="J206" i="5"/>
  <c r="E206" i="5"/>
  <c r="J205" i="5"/>
  <c r="E205" i="5"/>
  <c r="J204" i="5"/>
  <c r="G204" i="5"/>
  <c r="F204" i="5"/>
  <c r="J203" i="5"/>
  <c r="G203" i="5"/>
  <c r="F203" i="5"/>
  <c r="J202" i="5"/>
  <c r="G202" i="5"/>
  <c r="F202" i="5"/>
  <c r="J201" i="5"/>
  <c r="G201" i="5"/>
  <c r="F201" i="5"/>
  <c r="F200" i="5"/>
  <c r="E200" i="5"/>
  <c r="D200" i="5"/>
  <c r="I200" i="5"/>
  <c r="C200" i="5"/>
  <c r="B200" i="5"/>
  <c r="A200" i="5"/>
  <c r="Z199" i="5"/>
  <c r="Y199" i="5"/>
  <c r="W199" i="5"/>
  <c r="J198" i="5"/>
  <c r="Z198" i="5"/>
  <c r="Y198" i="5"/>
  <c r="W198" i="5"/>
  <c r="F198" i="5"/>
  <c r="D198" i="5"/>
  <c r="C198" i="5"/>
  <c r="B198" i="5"/>
  <c r="A198" i="5"/>
  <c r="G197" i="5"/>
  <c r="E197" i="5"/>
  <c r="J196" i="5"/>
  <c r="E196" i="5"/>
  <c r="J195" i="5"/>
  <c r="E195" i="5"/>
  <c r="J194" i="5"/>
  <c r="G194" i="5"/>
  <c r="F194" i="5"/>
  <c r="J193" i="5"/>
  <c r="G193" i="5"/>
  <c r="F193" i="5"/>
  <c r="J192" i="5"/>
  <c r="G192" i="5"/>
  <c r="F192" i="5"/>
  <c r="J191" i="5"/>
  <c r="G191" i="5"/>
  <c r="F191" i="5"/>
  <c r="F189" i="5"/>
  <c r="D189" i="5"/>
  <c r="I189" i="5"/>
  <c r="C189" i="5"/>
  <c r="B189" i="5"/>
  <c r="A189" i="5"/>
  <c r="Z188" i="5"/>
  <c r="Y188" i="5"/>
  <c r="W188" i="5"/>
  <c r="G187" i="5"/>
  <c r="E187" i="5"/>
  <c r="J186" i="5"/>
  <c r="E186" i="5"/>
  <c r="J185" i="5"/>
  <c r="E185" i="5"/>
  <c r="J184" i="5"/>
  <c r="G184" i="5"/>
  <c r="F184" i="5"/>
  <c r="J183" i="5"/>
  <c r="G183" i="5"/>
  <c r="F183" i="5"/>
  <c r="J182" i="5"/>
  <c r="G182" i="5"/>
  <c r="F182" i="5"/>
  <c r="F181" i="5"/>
  <c r="E181" i="5"/>
  <c r="D181" i="5"/>
  <c r="I181" i="5"/>
  <c r="C181" i="5"/>
  <c r="B181" i="5"/>
  <c r="A181" i="5"/>
  <c r="Z180" i="5"/>
  <c r="Y180" i="5"/>
  <c r="W180" i="5"/>
  <c r="J179" i="5"/>
  <c r="Z179" i="5"/>
  <c r="Y179" i="5"/>
  <c r="W179" i="5"/>
  <c r="F179" i="5"/>
  <c r="D179" i="5"/>
  <c r="C179" i="5"/>
  <c r="B179" i="5"/>
  <c r="A179" i="5"/>
  <c r="G178" i="5"/>
  <c r="E178" i="5"/>
  <c r="J177" i="5"/>
  <c r="E177" i="5"/>
  <c r="J176" i="5"/>
  <c r="E176" i="5"/>
  <c r="J175" i="5"/>
  <c r="G175" i="5"/>
  <c r="F175" i="5"/>
  <c r="J174" i="5"/>
  <c r="G174" i="5"/>
  <c r="F174" i="5"/>
  <c r="J173" i="5"/>
  <c r="G173" i="5"/>
  <c r="F173" i="5"/>
  <c r="J172" i="5"/>
  <c r="G172" i="5"/>
  <c r="F172" i="5"/>
  <c r="F171" i="5"/>
  <c r="E171" i="5"/>
  <c r="D171" i="5"/>
  <c r="I171" i="5"/>
  <c r="C171" i="5"/>
  <c r="B171" i="5"/>
  <c r="A171" i="5"/>
  <c r="Z170" i="5"/>
  <c r="Y170" i="5"/>
  <c r="W170" i="5"/>
  <c r="J169" i="5"/>
  <c r="Z169" i="5"/>
  <c r="Y169" i="5"/>
  <c r="W169" i="5"/>
  <c r="F169" i="5"/>
  <c r="D169" i="5"/>
  <c r="C169" i="5"/>
  <c r="B169" i="5"/>
  <c r="A169" i="5"/>
  <c r="G168" i="5"/>
  <c r="E168" i="5"/>
  <c r="J167" i="5"/>
  <c r="E167" i="5"/>
  <c r="J166" i="5"/>
  <c r="E166" i="5"/>
  <c r="J165" i="5"/>
  <c r="G165" i="5"/>
  <c r="F165" i="5"/>
  <c r="J164" i="5"/>
  <c r="G164" i="5"/>
  <c r="F164" i="5"/>
  <c r="J163" i="5"/>
  <c r="G163" i="5"/>
  <c r="F163" i="5"/>
  <c r="J162" i="5"/>
  <c r="G162" i="5"/>
  <c r="F162" i="5"/>
  <c r="F160" i="5"/>
  <c r="D160" i="5"/>
  <c r="I160" i="5"/>
  <c r="C160" i="5"/>
  <c r="B160" i="5"/>
  <c r="A160" i="5"/>
  <c r="Z159" i="5"/>
  <c r="Y159" i="5"/>
  <c r="W159" i="5"/>
  <c r="J158" i="5"/>
  <c r="Z158" i="5"/>
  <c r="Y158" i="5"/>
  <c r="W158" i="5"/>
  <c r="F158" i="5"/>
  <c r="D158" i="5"/>
  <c r="C158" i="5"/>
  <c r="B158" i="5"/>
  <c r="A158" i="5"/>
  <c r="J157" i="5"/>
  <c r="Z157" i="5"/>
  <c r="Y157" i="5"/>
  <c r="W157" i="5"/>
  <c r="F157" i="5"/>
  <c r="D157" i="5"/>
  <c r="C157" i="5"/>
  <c r="B157" i="5"/>
  <c r="A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J150" i="5"/>
  <c r="G150" i="5"/>
  <c r="F150" i="5"/>
  <c r="F148" i="5"/>
  <c r="D148" i="5"/>
  <c r="I148" i="5"/>
  <c r="C148" i="5"/>
  <c r="B148" i="5"/>
  <c r="A148" i="5"/>
  <c r="Z147" i="5"/>
  <c r="Y147" i="5"/>
  <c r="W147" i="5"/>
  <c r="J146" i="5"/>
  <c r="Z146" i="5"/>
  <c r="Y146" i="5"/>
  <c r="W146" i="5"/>
  <c r="F146" i="5"/>
  <c r="D146" i="5"/>
  <c r="C146" i="5"/>
  <c r="B146" i="5"/>
  <c r="A146" i="5"/>
  <c r="G145" i="5"/>
  <c r="E145" i="5"/>
  <c r="J144" i="5"/>
  <c r="E144" i="5"/>
  <c r="J143" i="5"/>
  <c r="E143" i="5"/>
  <c r="J142" i="5"/>
  <c r="G142" i="5"/>
  <c r="F142" i="5"/>
  <c r="J141" i="5"/>
  <c r="G141" i="5"/>
  <c r="F141" i="5"/>
  <c r="J140" i="5"/>
  <c r="G140" i="5"/>
  <c r="F140" i="5"/>
  <c r="J139" i="5"/>
  <c r="G139" i="5"/>
  <c r="F139" i="5"/>
  <c r="F138" i="5"/>
  <c r="E138" i="5"/>
  <c r="D138" i="5"/>
  <c r="I138" i="5"/>
  <c r="C138" i="5"/>
  <c r="B138" i="5"/>
  <c r="A138" i="5"/>
  <c r="Z137" i="5"/>
  <c r="Y137" i="5"/>
  <c r="W137" i="5"/>
  <c r="J136" i="5"/>
  <c r="Z136" i="5"/>
  <c r="Y136" i="5"/>
  <c r="W136" i="5"/>
  <c r="F136" i="5"/>
  <c r="D136" i="5"/>
  <c r="C136" i="5"/>
  <c r="B136" i="5"/>
  <c r="A136" i="5"/>
  <c r="J135" i="5"/>
  <c r="Z135" i="5"/>
  <c r="Y135" i="5"/>
  <c r="W135" i="5"/>
  <c r="F135" i="5"/>
  <c r="D135" i="5"/>
  <c r="C135" i="5"/>
  <c r="B135" i="5"/>
  <c r="A135" i="5"/>
  <c r="G134" i="5"/>
  <c r="E134" i="5"/>
  <c r="J133" i="5"/>
  <c r="E133" i="5"/>
  <c r="J132" i="5"/>
  <c r="E132" i="5"/>
  <c r="J131" i="5"/>
  <c r="G131" i="5"/>
  <c r="F131" i="5"/>
  <c r="J130" i="5"/>
  <c r="G130" i="5"/>
  <c r="F130" i="5"/>
  <c r="J129" i="5"/>
  <c r="G129" i="5"/>
  <c r="F129" i="5"/>
  <c r="F128" i="5"/>
  <c r="E128" i="5"/>
  <c r="D128" i="5"/>
  <c r="I128" i="5"/>
  <c r="C128" i="5"/>
  <c r="B128" i="5"/>
  <c r="A128" i="5"/>
  <c r="Z127" i="5"/>
  <c r="Y127" i="5"/>
  <c r="W127" i="5"/>
  <c r="J126" i="5"/>
  <c r="Z126" i="5"/>
  <c r="Y126" i="5"/>
  <c r="W126" i="5"/>
  <c r="F126" i="5"/>
  <c r="D126" i="5"/>
  <c r="C126" i="5"/>
  <c r="B126" i="5"/>
  <c r="A126" i="5"/>
  <c r="J125" i="5"/>
  <c r="Z125" i="5"/>
  <c r="Y125" i="5"/>
  <c r="W125" i="5"/>
  <c r="F125" i="5"/>
  <c r="D125" i="5"/>
  <c r="C125" i="5"/>
  <c r="B125" i="5"/>
  <c r="A125" i="5"/>
  <c r="J124" i="5"/>
  <c r="Z124" i="5"/>
  <c r="Y124" i="5"/>
  <c r="W124" i="5"/>
  <c r="F124" i="5"/>
  <c r="D124" i="5"/>
  <c r="C124" i="5"/>
  <c r="B124" i="5"/>
  <c r="A124" i="5"/>
  <c r="J123" i="5"/>
  <c r="Z123" i="5"/>
  <c r="Y123" i="5"/>
  <c r="W123" i="5"/>
  <c r="F123" i="5"/>
  <c r="D123" i="5"/>
  <c r="C123" i="5"/>
  <c r="B123" i="5"/>
  <c r="A123" i="5"/>
  <c r="G122" i="5"/>
  <c r="E122" i="5"/>
  <c r="J121" i="5"/>
  <c r="E121" i="5"/>
  <c r="J120" i="5"/>
  <c r="E120" i="5"/>
  <c r="J119" i="5"/>
  <c r="G119" i="5"/>
  <c r="F119" i="5"/>
  <c r="J118" i="5"/>
  <c r="G118" i="5"/>
  <c r="F118" i="5"/>
  <c r="F117" i="5"/>
  <c r="E117" i="5"/>
  <c r="D117" i="5"/>
  <c r="I117" i="5"/>
  <c r="C117" i="5"/>
  <c r="B117" i="5"/>
  <c r="A117" i="5"/>
  <c r="Z116" i="5"/>
  <c r="Y116" i="5"/>
  <c r="X116" i="5"/>
  <c r="J115" i="5"/>
  <c r="Z115" i="5"/>
  <c r="Y115" i="5"/>
  <c r="X115" i="5"/>
  <c r="F115" i="5"/>
  <c r="D115" i="5"/>
  <c r="C115" i="5"/>
  <c r="B115" i="5"/>
  <c r="A115" i="5"/>
  <c r="G114" i="5"/>
  <c r="E114" i="5"/>
  <c r="J113" i="5"/>
  <c r="F113" i="5"/>
  <c r="E113" i="5"/>
  <c r="J112" i="5"/>
  <c r="F112" i="5"/>
  <c r="E112" i="5"/>
  <c r="J111" i="5"/>
  <c r="G111" i="5"/>
  <c r="F111" i="5"/>
  <c r="J110" i="5"/>
  <c r="G110" i="5"/>
  <c r="F110" i="5"/>
  <c r="J109" i="5"/>
  <c r="G109" i="5"/>
  <c r="F109" i="5"/>
  <c r="J108" i="5"/>
  <c r="G108" i="5"/>
  <c r="F108" i="5"/>
  <c r="F106" i="5"/>
  <c r="D106" i="5"/>
  <c r="I106" i="5"/>
  <c r="C106" i="5"/>
  <c r="B106" i="5"/>
  <c r="A106" i="5"/>
  <c r="Z105" i="5"/>
  <c r="Y105" i="5"/>
  <c r="X105" i="5"/>
  <c r="J104" i="5"/>
  <c r="Z104" i="5"/>
  <c r="Y104" i="5"/>
  <c r="X104" i="5"/>
  <c r="F104" i="5"/>
  <c r="D104" i="5"/>
  <c r="C104" i="5"/>
  <c r="B104" i="5"/>
  <c r="A104" i="5"/>
  <c r="J103" i="5"/>
  <c r="Z103" i="5"/>
  <c r="Y103" i="5"/>
  <c r="X103" i="5"/>
  <c r="F103" i="5"/>
  <c r="D103" i="5"/>
  <c r="C103" i="5"/>
  <c r="B103" i="5"/>
  <c r="A103" i="5"/>
  <c r="G102" i="5"/>
  <c r="E102" i="5"/>
  <c r="J101" i="5"/>
  <c r="F101" i="5"/>
  <c r="E101" i="5"/>
  <c r="J100" i="5"/>
  <c r="F100" i="5"/>
  <c r="E100" i="5"/>
  <c r="J99" i="5"/>
  <c r="G99" i="5"/>
  <c r="F99" i="5"/>
  <c r="J98" i="5"/>
  <c r="G98" i="5"/>
  <c r="F98" i="5"/>
  <c r="J97" i="5"/>
  <c r="G97" i="5"/>
  <c r="F97" i="5"/>
  <c r="J96" i="5"/>
  <c r="G96" i="5"/>
  <c r="F96" i="5"/>
  <c r="F94" i="5"/>
  <c r="D94" i="5"/>
  <c r="I94" i="5"/>
  <c r="C94" i="5"/>
  <c r="B94" i="5"/>
  <c r="A94" i="5"/>
  <c r="Z93" i="5"/>
  <c r="Y93" i="5"/>
  <c r="X93" i="5"/>
  <c r="J92" i="5"/>
  <c r="Z92" i="5"/>
  <c r="Y92" i="5"/>
  <c r="X92" i="5"/>
  <c r="F92" i="5"/>
  <c r="D92" i="5"/>
  <c r="C92" i="5"/>
  <c r="B92" i="5"/>
  <c r="A92" i="5"/>
  <c r="G91" i="5"/>
  <c r="E91" i="5"/>
  <c r="J90" i="5"/>
  <c r="F90" i="5"/>
  <c r="E90" i="5"/>
  <c r="J89" i="5"/>
  <c r="F89" i="5"/>
  <c r="E89" i="5"/>
  <c r="J88" i="5"/>
  <c r="G88" i="5"/>
  <c r="F88" i="5"/>
  <c r="J87" i="5"/>
  <c r="G87" i="5"/>
  <c r="F87" i="5"/>
  <c r="J86" i="5"/>
  <c r="G86" i="5"/>
  <c r="F86" i="5"/>
  <c r="J85" i="5"/>
  <c r="G85" i="5"/>
  <c r="F85" i="5"/>
  <c r="F84" i="5"/>
  <c r="E84" i="5"/>
  <c r="D84" i="5"/>
  <c r="I84" i="5"/>
  <c r="C84" i="5"/>
  <c r="B84" i="5"/>
  <c r="A84" i="5"/>
  <c r="Z83" i="5"/>
  <c r="Y83" i="5"/>
  <c r="X83" i="5"/>
  <c r="G82" i="5"/>
  <c r="E82" i="5"/>
  <c r="J81" i="5"/>
  <c r="F81" i="5"/>
  <c r="E81" i="5"/>
  <c r="J80" i="5"/>
  <c r="F80" i="5"/>
  <c r="E80" i="5"/>
  <c r="J79" i="5"/>
  <c r="G79" i="5"/>
  <c r="F79" i="5"/>
  <c r="J78" i="5"/>
  <c r="G78" i="5"/>
  <c r="F78" i="5"/>
  <c r="F77" i="5"/>
  <c r="E77" i="5"/>
  <c r="D77" i="5"/>
  <c r="I77" i="5"/>
  <c r="C77" i="5"/>
  <c r="B77" i="5"/>
  <c r="A77" i="5"/>
  <c r="Z76" i="5"/>
  <c r="Y76" i="5"/>
  <c r="X76" i="5"/>
  <c r="G75" i="5"/>
  <c r="E75" i="5"/>
  <c r="J74" i="5"/>
  <c r="F74" i="5"/>
  <c r="E74" i="5"/>
  <c r="J73" i="5"/>
  <c r="F73" i="5"/>
  <c r="E73" i="5"/>
  <c r="J72" i="5"/>
  <c r="G72" i="5"/>
  <c r="F72" i="5"/>
  <c r="F70" i="5"/>
  <c r="D70" i="5"/>
  <c r="I70" i="5"/>
  <c r="C70" i="5"/>
  <c r="B70" i="5"/>
  <c r="A70" i="5"/>
  <c r="Z69" i="5"/>
  <c r="Y69" i="5"/>
  <c r="W69" i="5"/>
  <c r="G68" i="5"/>
  <c r="E68" i="5"/>
  <c r="J67" i="5"/>
  <c r="E67" i="5"/>
  <c r="J66" i="5"/>
  <c r="E66" i="5"/>
  <c r="J65" i="5"/>
  <c r="G65" i="5"/>
  <c r="F65" i="5"/>
  <c r="J64" i="5"/>
  <c r="G64" i="5"/>
  <c r="F64" i="5"/>
  <c r="J63" i="5"/>
  <c r="G63" i="5"/>
  <c r="F63" i="5"/>
  <c r="F62" i="5"/>
  <c r="E62" i="5"/>
  <c r="D62" i="5"/>
  <c r="I62" i="5"/>
  <c r="C62" i="5"/>
  <c r="B62" i="5"/>
  <c r="A62" i="5"/>
  <c r="Z61" i="5"/>
  <c r="Y61" i="5"/>
  <c r="X61" i="5"/>
  <c r="G60" i="5"/>
  <c r="E60" i="5"/>
  <c r="J59" i="5"/>
  <c r="E59" i="5"/>
  <c r="J58" i="5"/>
  <c r="E58" i="5"/>
  <c r="J57" i="5"/>
  <c r="G57" i="5"/>
  <c r="F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W52" i="5"/>
  <c r="G51" i="5"/>
  <c r="E51" i="5"/>
  <c r="J50" i="5"/>
  <c r="E50" i="5"/>
  <c r="J49" i="5"/>
  <c r="E49" i="5"/>
  <c r="J48" i="5"/>
  <c r="G48" i="5"/>
  <c r="F48" i="5"/>
  <c r="J47" i="5"/>
  <c r="G47" i="5"/>
  <c r="F47" i="5"/>
  <c r="J46" i="5"/>
  <c r="G46" i="5"/>
  <c r="F46" i="5"/>
  <c r="F45" i="5"/>
  <c r="E45" i="5"/>
  <c r="D45" i="5"/>
  <c r="I45" i="5"/>
  <c r="C45" i="5"/>
  <c r="B45" i="5"/>
  <c r="A45" i="5"/>
  <c r="Z44" i="5"/>
  <c r="Y44" i="5"/>
  <c r="W44" i="5"/>
  <c r="G43" i="5"/>
  <c r="E43" i="5"/>
  <c r="J42" i="5"/>
  <c r="E42" i="5"/>
  <c r="J41" i="5"/>
  <c r="E41" i="5"/>
  <c r="J40" i="5"/>
  <c r="G40" i="5"/>
  <c r="F40" i="5"/>
  <c r="J39" i="5"/>
  <c r="G39" i="5"/>
  <c r="F39" i="5"/>
  <c r="J38" i="5"/>
  <c r="G38" i="5"/>
  <c r="F38" i="5"/>
  <c r="F37" i="5"/>
  <c r="E37" i="5"/>
  <c r="D37" i="5"/>
  <c r="I37" i="5"/>
  <c r="C37" i="5"/>
  <c r="B37" i="5"/>
  <c r="A37" i="5"/>
  <c r="Z36" i="5"/>
  <c r="Y36" i="5"/>
  <c r="W36" i="5"/>
  <c r="G35" i="5"/>
  <c r="E35" i="5"/>
  <c r="J34" i="5"/>
  <c r="E34" i="5"/>
  <c r="J33" i="5"/>
  <c r="E33" i="5"/>
  <c r="J32" i="5"/>
  <c r="G32" i="5"/>
  <c r="F32" i="5"/>
  <c r="J31" i="5"/>
  <c r="G31" i="5"/>
  <c r="F31" i="5"/>
  <c r="J30" i="5"/>
  <c r="G30" i="5"/>
  <c r="F30" i="5"/>
  <c r="F29" i="5"/>
  <c r="E29" i="5"/>
  <c r="D29" i="5"/>
  <c r="I29" i="5"/>
  <c r="C29" i="5"/>
  <c r="B29" i="5"/>
  <c r="A29" i="5"/>
  <c r="B12" i="5"/>
  <c r="H6" i="5"/>
  <c r="B6" i="5"/>
  <c r="A1" i="5"/>
  <c r="G21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F24" i="1"/>
  <c r="AG24" i="1"/>
  <c r="CU24" i="1" s="1"/>
  <c r="T24" i="1" s="1"/>
  <c r="AH24" i="1"/>
  <c r="AI24" i="1"/>
  <c r="AJ24" i="1"/>
  <c r="CX24" i="1" s="1"/>
  <c r="W24" i="1" s="1"/>
  <c r="CS24" i="1"/>
  <c r="R24" i="1" s="1"/>
  <c r="CV24" i="1"/>
  <c r="U24" i="1" s="1"/>
  <c r="CW24" i="1"/>
  <c r="V24" i="1" s="1"/>
  <c r="FR24" i="1"/>
  <c r="GL24" i="1"/>
  <c r="GN24" i="1"/>
  <c r="GP24" i="1"/>
  <c r="GV24" i="1"/>
  <c r="GX24" i="1"/>
  <c r="C25" i="1"/>
  <c r="D25" i="1"/>
  <c r="AC25" i="1"/>
  <c r="AD25" i="1"/>
  <c r="AE25" i="1"/>
  <c r="AF25" i="1"/>
  <c r="AG25" i="1"/>
  <c r="CU25" i="1" s="1"/>
  <c r="T25" i="1" s="1"/>
  <c r="AH25" i="1"/>
  <c r="CV25" i="1" s="1"/>
  <c r="U25" i="1" s="1"/>
  <c r="AI25" i="1"/>
  <c r="CW25" i="1" s="1"/>
  <c r="V25" i="1" s="1"/>
  <c r="AJ25" i="1"/>
  <c r="CQ25" i="1"/>
  <c r="P25" i="1" s="1"/>
  <c r="CT25" i="1"/>
  <c r="S25" i="1" s="1"/>
  <c r="K38" i="5" s="1"/>
  <c r="CX25" i="1"/>
  <c r="W25" i="1" s="1"/>
  <c r="FR25" i="1"/>
  <c r="GL25" i="1"/>
  <c r="GN25" i="1"/>
  <c r="GP25" i="1"/>
  <c r="GV25" i="1"/>
  <c r="GX25" i="1" s="1"/>
  <c r="C26" i="1"/>
  <c r="D26" i="1"/>
  <c r="AC26" i="1"/>
  <c r="CQ26" i="1" s="1"/>
  <c r="P26" i="1" s="1"/>
  <c r="AE26" i="1"/>
  <c r="AF26" i="1"/>
  <c r="AG26" i="1"/>
  <c r="CU26" i="1" s="1"/>
  <c r="T26" i="1" s="1"/>
  <c r="AH26" i="1"/>
  <c r="AI26" i="1"/>
  <c r="CW26" i="1" s="1"/>
  <c r="V26" i="1" s="1"/>
  <c r="AJ26" i="1"/>
  <c r="CX26" i="1" s="1"/>
  <c r="W26" i="1" s="1"/>
  <c r="CT26" i="1"/>
  <c r="S26" i="1" s="1"/>
  <c r="CV26" i="1"/>
  <c r="U26" i="1" s="1"/>
  <c r="FR26" i="1"/>
  <c r="GL26" i="1"/>
  <c r="GN26" i="1"/>
  <c r="GP26" i="1"/>
  <c r="GV26" i="1"/>
  <c r="GX26" i="1" s="1"/>
  <c r="C27" i="1"/>
  <c r="D27" i="1"/>
  <c r="I27" i="1"/>
  <c r="AC27" i="1"/>
  <c r="AE27" i="1"/>
  <c r="AF27" i="1"/>
  <c r="AG27" i="1"/>
  <c r="CU27" i="1" s="1"/>
  <c r="T27" i="1" s="1"/>
  <c r="AH27" i="1"/>
  <c r="CV27" i="1" s="1"/>
  <c r="AI27" i="1"/>
  <c r="AJ27" i="1"/>
  <c r="CW27" i="1"/>
  <c r="V27" i="1" s="1"/>
  <c r="CX27" i="1"/>
  <c r="W27" i="1" s="1"/>
  <c r="FR27" i="1"/>
  <c r="GL27" i="1"/>
  <c r="GO27" i="1"/>
  <c r="GP27" i="1"/>
  <c r="GV27" i="1"/>
  <c r="C28" i="1"/>
  <c r="D28" i="1"/>
  <c r="AC28" i="1"/>
  <c r="AE28" i="1"/>
  <c r="H65" i="5" s="1"/>
  <c r="R65" i="5" s="1"/>
  <c r="AF28" i="1"/>
  <c r="AG28" i="1"/>
  <c r="CU28" i="1" s="1"/>
  <c r="T28" i="1" s="1"/>
  <c r="AH28" i="1"/>
  <c r="AI28" i="1"/>
  <c r="CW28" i="1" s="1"/>
  <c r="V28" i="1" s="1"/>
  <c r="AJ28" i="1"/>
  <c r="CT28" i="1"/>
  <c r="S28" i="1" s="1"/>
  <c r="K63" i="5" s="1"/>
  <c r="CV28" i="1"/>
  <c r="U28" i="1" s="1"/>
  <c r="CX28" i="1"/>
  <c r="W28" i="1" s="1"/>
  <c r="FR28" i="1"/>
  <c r="GL28" i="1"/>
  <c r="GN28" i="1"/>
  <c r="GP28" i="1"/>
  <c r="GV28" i="1"/>
  <c r="GX28" i="1" s="1"/>
  <c r="C29" i="1"/>
  <c r="D29" i="1"/>
  <c r="I29" i="1"/>
  <c r="AC29" i="1"/>
  <c r="AE29" i="1"/>
  <c r="AD29" i="1" s="1"/>
  <c r="AF29" i="1"/>
  <c r="AG29" i="1"/>
  <c r="AH29" i="1"/>
  <c r="CV29" i="1" s="1"/>
  <c r="U29" i="1" s="1"/>
  <c r="AI29" i="1"/>
  <c r="CW29" i="1" s="1"/>
  <c r="AJ29" i="1"/>
  <c r="CX29" i="1" s="1"/>
  <c r="CQ29" i="1"/>
  <c r="CU29" i="1"/>
  <c r="FR29" i="1"/>
  <c r="GL29" i="1"/>
  <c r="GO29" i="1"/>
  <c r="GP29" i="1"/>
  <c r="GV29" i="1"/>
  <c r="C30" i="1"/>
  <c r="D30" i="1"/>
  <c r="AC30" i="1"/>
  <c r="AD30" i="1"/>
  <c r="H79" i="5" s="1"/>
  <c r="AE30" i="1"/>
  <c r="AF30" i="1"/>
  <c r="AG30" i="1"/>
  <c r="CU30" i="1" s="1"/>
  <c r="T30" i="1" s="1"/>
  <c r="AH30" i="1"/>
  <c r="CV30" i="1" s="1"/>
  <c r="U30" i="1" s="1"/>
  <c r="AI30" i="1"/>
  <c r="CW30" i="1" s="1"/>
  <c r="V30" i="1" s="1"/>
  <c r="AJ30" i="1"/>
  <c r="CX30" i="1" s="1"/>
  <c r="W30" i="1" s="1"/>
  <c r="CQ30" i="1"/>
  <c r="P30" i="1" s="1"/>
  <c r="CS30" i="1"/>
  <c r="R30" i="1" s="1"/>
  <c r="GK30" i="1" s="1"/>
  <c r="FR30" i="1"/>
  <c r="GL30" i="1"/>
  <c r="GO30" i="1"/>
  <c r="GP30" i="1"/>
  <c r="GV30" i="1"/>
  <c r="GX30" i="1" s="1"/>
  <c r="C31" i="1"/>
  <c r="D31" i="1"/>
  <c r="V31" i="1"/>
  <c r="AC31" i="1"/>
  <c r="H88" i="5" s="1"/>
  <c r="AE31" i="1"/>
  <c r="AF31" i="1"/>
  <c r="AG31" i="1"/>
  <c r="AH31" i="1"/>
  <c r="CV31" i="1" s="1"/>
  <c r="U31" i="1" s="1"/>
  <c r="AI31" i="1"/>
  <c r="AJ31" i="1"/>
  <c r="CX31" i="1" s="1"/>
  <c r="W31" i="1" s="1"/>
  <c r="CQ31" i="1"/>
  <c r="P31" i="1" s="1"/>
  <c r="K88" i="5" s="1"/>
  <c r="CU31" i="1"/>
  <c r="T31" i="1" s="1"/>
  <c r="CW31" i="1"/>
  <c r="FR31" i="1"/>
  <c r="GL31" i="1"/>
  <c r="GO31" i="1"/>
  <c r="GP31" i="1"/>
  <c r="GV31" i="1"/>
  <c r="GX31" i="1"/>
  <c r="I32" i="1"/>
  <c r="E92" i="5" s="1"/>
  <c r="AC32" i="1"/>
  <c r="AE32" i="1"/>
  <c r="AF32" i="1"/>
  <c r="CT32" i="1" s="1"/>
  <c r="AG32" i="1"/>
  <c r="CU32" i="1" s="1"/>
  <c r="AH32" i="1"/>
  <c r="AI32" i="1"/>
  <c r="CW32" i="1" s="1"/>
  <c r="AJ32" i="1"/>
  <c r="CV32" i="1"/>
  <c r="U32" i="1" s="1"/>
  <c r="CX32" i="1"/>
  <c r="FR32" i="1"/>
  <c r="GL32" i="1"/>
  <c r="GO32" i="1"/>
  <c r="GP32" i="1"/>
  <c r="GV32" i="1"/>
  <c r="C33" i="1"/>
  <c r="D33" i="1"/>
  <c r="I33" i="1"/>
  <c r="AC33" i="1"/>
  <c r="AE33" i="1"/>
  <c r="AF33" i="1"/>
  <c r="AG33" i="1"/>
  <c r="AH33" i="1"/>
  <c r="CV33" i="1" s="1"/>
  <c r="AI33" i="1"/>
  <c r="AJ33" i="1"/>
  <c r="CX33" i="1" s="1"/>
  <c r="CQ33" i="1"/>
  <c r="CU33" i="1"/>
  <c r="CW33" i="1"/>
  <c r="FR33" i="1"/>
  <c r="GL33" i="1"/>
  <c r="GO33" i="1"/>
  <c r="GP33" i="1"/>
  <c r="GV33" i="1"/>
  <c r="AC34" i="1"/>
  <c r="AE34" i="1"/>
  <c r="AF34" i="1"/>
  <c r="AG34" i="1"/>
  <c r="CU34" i="1" s="1"/>
  <c r="AH34" i="1"/>
  <c r="AI34" i="1"/>
  <c r="CW34" i="1" s="1"/>
  <c r="AJ34" i="1"/>
  <c r="CX34" i="1" s="1"/>
  <c r="CV34" i="1"/>
  <c r="FR34" i="1"/>
  <c r="GL34" i="1"/>
  <c r="GO34" i="1"/>
  <c r="GP34" i="1"/>
  <c r="GV34" i="1"/>
  <c r="AC35" i="1"/>
  <c r="AE35" i="1"/>
  <c r="AF35" i="1"/>
  <c r="AG35" i="1"/>
  <c r="AH35" i="1"/>
  <c r="CV35" i="1" s="1"/>
  <c r="AI35" i="1"/>
  <c r="CW35" i="1" s="1"/>
  <c r="AJ35" i="1"/>
  <c r="CX35" i="1" s="1"/>
  <c r="CQ35" i="1"/>
  <c r="CU35" i="1"/>
  <c r="FR35" i="1"/>
  <c r="GL35" i="1"/>
  <c r="GO35" i="1"/>
  <c r="GP35" i="1"/>
  <c r="GV35" i="1"/>
  <c r="C36" i="1"/>
  <c r="D36" i="1"/>
  <c r="I36" i="1"/>
  <c r="I37" i="1" s="1"/>
  <c r="E115" i="5" s="1"/>
  <c r="AC36" i="1"/>
  <c r="AE36" i="1"/>
  <c r="AF36" i="1"/>
  <c r="AG36" i="1"/>
  <c r="CU36" i="1" s="1"/>
  <c r="AH36" i="1"/>
  <c r="AI36" i="1"/>
  <c r="CW36" i="1" s="1"/>
  <c r="AJ36" i="1"/>
  <c r="CX36" i="1" s="1"/>
  <c r="CT36" i="1"/>
  <c r="CV36" i="1"/>
  <c r="FR36" i="1"/>
  <c r="GL36" i="1"/>
  <c r="GO36" i="1"/>
  <c r="GP36" i="1"/>
  <c r="GV36" i="1"/>
  <c r="AC37" i="1"/>
  <c r="AE37" i="1"/>
  <c r="AD37" i="1" s="1"/>
  <c r="CR37" i="1" s="1"/>
  <c r="Q37" i="1" s="1"/>
  <c r="AF37" i="1"/>
  <c r="AG37" i="1"/>
  <c r="AH37" i="1"/>
  <c r="CV37" i="1" s="1"/>
  <c r="AI37" i="1"/>
  <c r="CW37" i="1" s="1"/>
  <c r="AJ37" i="1"/>
  <c r="CX37" i="1" s="1"/>
  <c r="CQ37" i="1"/>
  <c r="CS37" i="1"/>
  <c r="CU37" i="1"/>
  <c r="FR37" i="1"/>
  <c r="GL37" i="1"/>
  <c r="GO37" i="1"/>
  <c r="GP37" i="1"/>
  <c r="GV37" i="1"/>
  <c r="C38" i="1"/>
  <c r="D38" i="1"/>
  <c r="R38" i="1"/>
  <c r="AC38" i="1"/>
  <c r="H119" i="5" s="1"/>
  <c r="AD38" i="1"/>
  <c r="CR38" i="1" s="1"/>
  <c r="Q38" i="1" s="1"/>
  <c r="AE38" i="1"/>
  <c r="AF38" i="1"/>
  <c r="AG38" i="1"/>
  <c r="CU38" i="1" s="1"/>
  <c r="T38" i="1" s="1"/>
  <c r="AH38" i="1"/>
  <c r="CV38" i="1" s="1"/>
  <c r="U38" i="1" s="1"/>
  <c r="AI38" i="1"/>
  <c r="AJ38" i="1"/>
  <c r="CX38" i="1" s="1"/>
  <c r="W38" i="1" s="1"/>
  <c r="CS38" i="1"/>
  <c r="CW38" i="1"/>
  <c r="V38" i="1" s="1"/>
  <c r="FR38" i="1"/>
  <c r="GK38" i="1"/>
  <c r="GL38" i="1"/>
  <c r="GN38" i="1"/>
  <c r="GP38" i="1"/>
  <c r="GV38" i="1"/>
  <c r="GX38" i="1" s="1"/>
  <c r="I39" i="1"/>
  <c r="E123" i="5" s="1"/>
  <c r="R39" i="1"/>
  <c r="GK39" i="1" s="1"/>
  <c r="AC39" i="1"/>
  <c r="AE39" i="1"/>
  <c r="AD39" i="1" s="1"/>
  <c r="AF39" i="1"/>
  <c r="AB39" i="1" s="1"/>
  <c r="AG39" i="1"/>
  <c r="AH39" i="1"/>
  <c r="AI39" i="1"/>
  <c r="AJ39" i="1"/>
  <c r="CX39" i="1" s="1"/>
  <c r="W39" i="1" s="1"/>
  <c r="CQ39" i="1"/>
  <c r="P39" i="1" s="1"/>
  <c r="CR39" i="1"/>
  <c r="Q39" i="1" s="1"/>
  <c r="CS39" i="1"/>
  <c r="CU39" i="1"/>
  <c r="T39" i="1" s="1"/>
  <c r="CV39" i="1"/>
  <c r="U39" i="1" s="1"/>
  <c r="CW39" i="1"/>
  <c r="V39" i="1" s="1"/>
  <c r="FR39" i="1"/>
  <c r="GL39" i="1"/>
  <c r="GN39" i="1"/>
  <c r="GP39" i="1"/>
  <c r="GV39" i="1"/>
  <c r="GX39" i="1"/>
  <c r="I40" i="1"/>
  <c r="E124" i="5" s="1"/>
  <c r="AC40" i="1"/>
  <c r="AE40" i="1"/>
  <c r="AF40" i="1"/>
  <c r="AG40" i="1"/>
  <c r="CU40" i="1" s="1"/>
  <c r="T40" i="1" s="1"/>
  <c r="AH40" i="1"/>
  <c r="AI40" i="1"/>
  <c r="CW40" i="1" s="1"/>
  <c r="AJ40" i="1"/>
  <c r="CQ40" i="1"/>
  <c r="P40" i="1" s="1"/>
  <c r="CT40" i="1"/>
  <c r="S40" i="1" s="1"/>
  <c r="CV40" i="1"/>
  <c r="CX40" i="1"/>
  <c r="W40" i="1" s="1"/>
  <c r="FR40" i="1"/>
  <c r="GL40" i="1"/>
  <c r="GN40" i="1"/>
  <c r="GP40" i="1"/>
  <c r="GV40" i="1"/>
  <c r="GX40" i="1" s="1"/>
  <c r="I41" i="1"/>
  <c r="E125" i="5" s="1"/>
  <c r="AC41" i="1"/>
  <c r="H125" i="5" s="1"/>
  <c r="X125" i="5" s="1"/>
  <c r="AD41" i="1"/>
  <c r="CR41" i="1" s="1"/>
  <c r="Q41" i="1" s="1"/>
  <c r="AE41" i="1"/>
  <c r="AF41" i="1"/>
  <c r="AG41" i="1"/>
  <c r="AH41" i="1"/>
  <c r="CV41" i="1" s="1"/>
  <c r="U41" i="1" s="1"/>
  <c r="AI41" i="1"/>
  <c r="AJ41" i="1"/>
  <c r="CQ41" i="1"/>
  <c r="P41" i="1" s="1"/>
  <c r="CS41" i="1"/>
  <c r="R41" i="1" s="1"/>
  <c r="CU41" i="1"/>
  <c r="T41" i="1" s="1"/>
  <c r="CW41" i="1"/>
  <c r="V41" i="1" s="1"/>
  <c r="CX41" i="1"/>
  <c r="W41" i="1" s="1"/>
  <c r="FR41" i="1"/>
  <c r="GL41" i="1"/>
  <c r="GN41" i="1"/>
  <c r="GP41" i="1"/>
  <c r="GV41" i="1"/>
  <c r="GX41" i="1"/>
  <c r="I42" i="1"/>
  <c r="E126" i="5" s="1"/>
  <c r="AC42" i="1"/>
  <c r="AE42" i="1"/>
  <c r="AF42" i="1"/>
  <c r="AG42" i="1"/>
  <c r="CU42" i="1" s="1"/>
  <c r="AH42" i="1"/>
  <c r="AI42" i="1"/>
  <c r="CW42" i="1" s="1"/>
  <c r="V42" i="1" s="1"/>
  <c r="AJ42" i="1"/>
  <c r="CV42" i="1"/>
  <c r="U42" i="1" s="1"/>
  <c r="CX42" i="1"/>
  <c r="W42" i="1" s="1"/>
  <c r="FR42" i="1"/>
  <c r="GL42" i="1"/>
  <c r="GN42" i="1"/>
  <c r="GP42" i="1"/>
  <c r="GV42" i="1"/>
  <c r="GX42" i="1"/>
  <c r="C43" i="1"/>
  <c r="D43" i="1"/>
  <c r="AC43" i="1"/>
  <c r="H131" i="5" s="1"/>
  <c r="AD43" i="1"/>
  <c r="H130" i="5" s="1"/>
  <c r="AE43" i="1"/>
  <c r="CS43" i="1" s="1"/>
  <c r="R43" i="1" s="1"/>
  <c r="GK43" i="1" s="1"/>
  <c r="AF43" i="1"/>
  <c r="AG43" i="1"/>
  <c r="AH43" i="1"/>
  <c r="CV43" i="1" s="1"/>
  <c r="U43" i="1" s="1"/>
  <c r="AI43" i="1"/>
  <c r="CW43" i="1" s="1"/>
  <c r="V43" i="1" s="1"/>
  <c r="AJ43" i="1"/>
  <c r="CQ43" i="1"/>
  <c r="P43" i="1" s="1"/>
  <c r="K131" i="5" s="1"/>
  <c r="CR43" i="1"/>
  <c r="Q43" i="1" s="1"/>
  <c r="K130" i="5" s="1"/>
  <c r="CU43" i="1"/>
  <c r="T43" i="1" s="1"/>
  <c r="CX43" i="1"/>
  <c r="W43" i="1" s="1"/>
  <c r="FR43" i="1"/>
  <c r="GL43" i="1"/>
  <c r="GN43" i="1"/>
  <c r="GP43" i="1"/>
  <c r="GV43" i="1"/>
  <c r="GX43" i="1" s="1"/>
  <c r="I44" i="1"/>
  <c r="E135" i="5" s="1"/>
  <c r="AC44" i="1"/>
  <c r="AD44" i="1"/>
  <c r="CR44" i="1" s="1"/>
  <c r="Q44" i="1" s="1"/>
  <c r="AE44" i="1"/>
  <c r="AF44" i="1"/>
  <c r="AG44" i="1"/>
  <c r="CU44" i="1" s="1"/>
  <c r="T44" i="1" s="1"/>
  <c r="AH44" i="1"/>
  <c r="CV44" i="1" s="1"/>
  <c r="U44" i="1" s="1"/>
  <c r="AI44" i="1"/>
  <c r="AJ44" i="1"/>
  <c r="CX44" i="1" s="1"/>
  <c r="W44" i="1" s="1"/>
  <c r="CQ44" i="1"/>
  <c r="CS44" i="1"/>
  <c r="R44" i="1" s="1"/>
  <c r="GK44" i="1" s="1"/>
  <c r="CW44" i="1"/>
  <c r="FR44" i="1"/>
  <c r="GL44" i="1"/>
  <c r="GN44" i="1"/>
  <c r="GP44" i="1"/>
  <c r="GV44" i="1"/>
  <c r="I45" i="1"/>
  <c r="AC45" i="1"/>
  <c r="AE45" i="1"/>
  <c r="AD45" i="1" s="1"/>
  <c r="CR45" i="1" s="1"/>
  <c r="AF45" i="1"/>
  <c r="AG45" i="1"/>
  <c r="CU45" i="1" s="1"/>
  <c r="AH45" i="1"/>
  <c r="AI45" i="1"/>
  <c r="AJ45" i="1"/>
  <c r="CX45" i="1" s="1"/>
  <c r="W45" i="1" s="1"/>
  <c r="CS45" i="1"/>
  <c r="R45" i="1" s="1"/>
  <c r="GK45" i="1" s="1"/>
  <c r="CV45" i="1"/>
  <c r="CW45" i="1"/>
  <c r="FR45" i="1"/>
  <c r="GL45" i="1"/>
  <c r="GN45" i="1"/>
  <c r="GP45" i="1"/>
  <c r="GV45" i="1"/>
  <c r="C46" i="1"/>
  <c r="D46" i="1"/>
  <c r="AC46" i="1"/>
  <c r="H142" i="5" s="1"/>
  <c r="AE46" i="1"/>
  <c r="AF46" i="1"/>
  <c r="AG46" i="1"/>
  <c r="AH46" i="1"/>
  <c r="CV46" i="1" s="1"/>
  <c r="U46" i="1" s="1"/>
  <c r="AI46" i="1"/>
  <c r="CW46" i="1" s="1"/>
  <c r="V46" i="1" s="1"/>
  <c r="AJ46" i="1"/>
  <c r="CQ46" i="1"/>
  <c r="P46" i="1" s="1"/>
  <c r="CT46" i="1"/>
  <c r="S46" i="1" s="1"/>
  <c r="CU46" i="1"/>
  <c r="T46" i="1" s="1"/>
  <c r="CX46" i="1"/>
  <c r="W46" i="1" s="1"/>
  <c r="FR46" i="1"/>
  <c r="GL46" i="1"/>
  <c r="GN46" i="1"/>
  <c r="GP46" i="1"/>
  <c r="GV46" i="1"/>
  <c r="GX46" i="1" s="1"/>
  <c r="I47" i="1"/>
  <c r="E146" i="5" s="1"/>
  <c r="R47" i="1"/>
  <c r="GK47" i="1" s="1"/>
  <c r="AC47" i="1"/>
  <c r="AD47" i="1"/>
  <c r="CR47" i="1" s="1"/>
  <c r="Q47" i="1" s="1"/>
  <c r="AE47" i="1"/>
  <c r="AF47" i="1"/>
  <c r="AG47" i="1"/>
  <c r="CU47" i="1" s="1"/>
  <c r="AH47" i="1"/>
  <c r="CV47" i="1" s="1"/>
  <c r="U47" i="1" s="1"/>
  <c r="AI47" i="1"/>
  <c r="AJ47" i="1"/>
  <c r="CX47" i="1" s="1"/>
  <c r="CQ47" i="1"/>
  <c r="CS47" i="1"/>
  <c r="CT47" i="1"/>
  <c r="S47" i="1" s="1"/>
  <c r="CW47" i="1"/>
  <c r="V47" i="1" s="1"/>
  <c r="FR47" i="1"/>
  <c r="GL47" i="1"/>
  <c r="GN47" i="1"/>
  <c r="GP47" i="1"/>
  <c r="GV47" i="1"/>
  <c r="GX47" i="1" s="1"/>
  <c r="C48" i="1"/>
  <c r="D48" i="1"/>
  <c r="I48" i="1"/>
  <c r="AC48" i="1"/>
  <c r="H153" i="5" s="1"/>
  <c r="AD48" i="1"/>
  <c r="AE48" i="1"/>
  <c r="AF48" i="1"/>
  <c r="AG48" i="1"/>
  <c r="CU48" i="1" s="1"/>
  <c r="T48" i="1" s="1"/>
  <c r="AH48" i="1"/>
  <c r="CV48" i="1" s="1"/>
  <c r="U48" i="1" s="1"/>
  <c r="AI48" i="1"/>
  <c r="CW48" i="1" s="1"/>
  <c r="AJ48" i="1"/>
  <c r="CQ48" i="1"/>
  <c r="P48" i="1" s="1"/>
  <c r="CT48" i="1"/>
  <c r="S48" i="1" s="1"/>
  <c r="K150" i="5" s="1"/>
  <c r="CX48" i="1"/>
  <c r="W48" i="1" s="1"/>
  <c r="FR48" i="1"/>
  <c r="GL48" i="1"/>
  <c r="GN48" i="1"/>
  <c r="GP48" i="1"/>
  <c r="GV48" i="1"/>
  <c r="I49" i="1"/>
  <c r="AC49" i="1"/>
  <c r="AE49" i="1"/>
  <c r="AD49" i="1" s="1"/>
  <c r="CR49" i="1" s="1"/>
  <c r="AF49" i="1"/>
  <c r="AG49" i="1"/>
  <c r="AH49" i="1"/>
  <c r="CV49" i="1" s="1"/>
  <c r="AI49" i="1"/>
  <c r="AJ49" i="1"/>
  <c r="CU49" i="1"/>
  <c r="CW49" i="1"/>
  <c r="CX49" i="1"/>
  <c r="W49" i="1" s="1"/>
  <c r="FR49" i="1"/>
  <c r="GL49" i="1"/>
  <c r="GN49" i="1"/>
  <c r="GP49" i="1"/>
  <c r="GV49" i="1"/>
  <c r="I50" i="1"/>
  <c r="E158" i="5" s="1"/>
  <c r="AC50" i="1"/>
  <c r="AE50" i="1"/>
  <c r="AD50" i="1" s="1"/>
  <c r="CR50" i="1" s="1"/>
  <c r="Q50" i="1" s="1"/>
  <c r="AF50" i="1"/>
  <c r="AG50" i="1"/>
  <c r="CU50" i="1" s="1"/>
  <c r="AH50" i="1"/>
  <c r="CV50" i="1" s="1"/>
  <c r="AI50" i="1"/>
  <c r="CW50" i="1" s="1"/>
  <c r="V50" i="1" s="1"/>
  <c r="AJ50" i="1"/>
  <c r="CX50" i="1" s="1"/>
  <c r="CT50" i="1"/>
  <c r="S50" i="1" s="1"/>
  <c r="FR50" i="1"/>
  <c r="GL50" i="1"/>
  <c r="GN50" i="1"/>
  <c r="GP50" i="1"/>
  <c r="GV50" i="1"/>
  <c r="GX50" i="1" s="1"/>
  <c r="C51" i="1"/>
  <c r="D51" i="1"/>
  <c r="I51" i="1"/>
  <c r="AC51" i="1"/>
  <c r="AE51" i="1"/>
  <c r="AF51" i="1"/>
  <c r="AG51" i="1"/>
  <c r="AH51" i="1"/>
  <c r="CV51" i="1" s="1"/>
  <c r="AI51" i="1"/>
  <c r="AJ51" i="1"/>
  <c r="CX51" i="1" s="1"/>
  <c r="W51" i="1" s="1"/>
  <c r="CT51" i="1"/>
  <c r="S51" i="1" s="1"/>
  <c r="CU51" i="1"/>
  <c r="T51" i="1" s="1"/>
  <c r="CW51" i="1"/>
  <c r="V51" i="1" s="1"/>
  <c r="FR51" i="1"/>
  <c r="GL51" i="1"/>
  <c r="GN51" i="1"/>
  <c r="GP51" i="1"/>
  <c r="GV51" i="1"/>
  <c r="I52" i="1"/>
  <c r="E169" i="5" s="1"/>
  <c r="AC52" i="1"/>
  <c r="AE52" i="1"/>
  <c r="AD52" i="1" s="1"/>
  <c r="AF52" i="1"/>
  <c r="AG52" i="1"/>
  <c r="CU52" i="1" s="1"/>
  <c r="AH52" i="1"/>
  <c r="AI52" i="1"/>
  <c r="AJ52" i="1"/>
  <c r="CX52" i="1" s="1"/>
  <c r="CR52" i="1"/>
  <c r="Q52" i="1" s="1"/>
  <c r="CT52" i="1"/>
  <c r="CV52" i="1"/>
  <c r="CW52" i="1"/>
  <c r="V52" i="1" s="1"/>
  <c r="FR52" i="1"/>
  <c r="GL52" i="1"/>
  <c r="GN52" i="1"/>
  <c r="GP52" i="1"/>
  <c r="GV52" i="1"/>
  <c r="C53" i="1"/>
  <c r="D53" i="1"/>
  <c r="AC53" i="1"/>
  <c r="H175" i="5" s="1"/>
  <c r="AE53" i="1"/>
  <c r="AD53" i="1" s="1"/>
  <c r="AF53" i="1"/>
  <c r="AG53" i="1"/>
  <c r="AH53" i="1"/>
  <c r="CV53" i="1" s="1"/>
  <c r="U53" i="1" s="1"/>
  <c r="AI53" i="1"/>
  <c r="CW53" i="1" s="1"/>
  <c r="V53" i="1" s="1"/>
  <c r="AJ53" i="1"/>
  <c r="CQ53" i="1"/>
  <c r="P53" i="1" s="1"/>
  <c r="K175" i="5" s="1"/>
  <c r="CT53" i="1"/>
  <c r="S53" i="1" s="1"/>
  <c r="K172" i="5" s="1"/>
  <c r="CU53" i="1"/>
  <c r="T53" i="1" s="1"/>
  <c r="CX53" i="1"/>
  <c r="W53" i="1" s="1"/>
  <c r="FR53" i="1"/>
  <c r="GL53" i="1"/>
  <c r="GN53" i="1"/>
  <c r="GP53" i="1"/>
  <c r="GV53" i="1"/>
  <c r="GX53" i="1" s="1"/>
  <c r="I54" i="1"/>
  <c r="AC54" i="1"/>
  <c r="AD54" i="1"/>
  <c r="CR54" i="1" s="1"/>
  <c r="AE54" i="1"/>
  <c r="AF54" i="1"/>
  <c r="AG54" i="1"/>
  <c r="CU54" i="1" s="1"/>
  <c r="T54" i="1" s="1"/>
  <c r="AH54" i="1"/>
  <c r="CV54" i="1" s="1"/>
  <c r="AI54" i="1"/>
  <c r="AJ54" i="1"/>
  <c r="CX54" i="1" s="1"/>
  <c r="W54" i="1" s="1"/>
  <c r="CS54" i="1"/>
  <c r="R54" i="1" s="1"/>
  <c r="GK54" i="1" s="1"/>
  <c r="CT54" i="1"/>
  <c r="S54" i="1" s="1"/>
  <c r="CW54" i="1"/>
  <c r="FR54" i="1"/>
  <c r="GL54" i="1"/>
  <c r="GN54" i="1"/>
  <c r="GP54" i="1"/>
  <c r="GV54" i="1"/>
  <c r="C55" i="1"/>
  <c r="D55" i="1"/>
  <c r="P55" i="1"/>
  <c r="R55" i="1"/>
  <c r="AC55" i="1"/>
  <c r="AD55" i="1"/>
  <c r="AE55" i="1"/>
  <c r="H184" i="5" s="1"/>
  <c r="R184" i="5" s="1"/>
  <c r="AF55" i="1"/>
  <c r="AG55" i="1"/>
  <c r="AH55" i="1"/>
  <c r="CV55" i="1" s="1"/>
  <c r="U55" i="1" s="1"/>
  <c r="AI55" i="1"/>
  <c r="CW55" i="1" s="1"/>
  <c r="V55" i="1" s="1"/>
  <c r="AJ55" i="1"/>
  <c r="CX55" i="1" s="1"/>
  <c r="W55" i="1" s="1"/>
  <c r="CQ55" i="1"/>
  <c r="CR55" i="1"/>
  <c r="Q55" i="1" s="1"/>
  <c r="K183" i="5" s="1"/>
  <c r="CS55" i="1"/>
  <c r="CU55" i="1"/>
  <c r="T55" i="1" s="1"/>
  <c r="FR55" i="1"/>
  <c r="GL55" i="1"/>
  <c r="GN55" i="1"/>
  <c r="GP55" i="1"/>
  <c r="GV55" i="1"/>
  <c r="GX55" i="1" s="1"/>
  <c r="C56" i="1"/>
  <c r="D56" i="1"/>
  <c r="I56" i="1"/>
  <c r="AC56" i="1"/>
  <c r="AE56" i="1"/>
  <c r="CS56" i="1" s="1"/>
  <c r="R56" i="1" s="1"/>
  <c r="AF56" i="1"/>
  <c r="AG56" i="1"/>
  <c r="CU56" i="1" s="1"/>
  <c r="AH56" i="1"/>
  <c r="CV56" i="1" s="1"/>
  <c r="U56" i="1" s="1"/>
  <c r="AI56" i="1"/>
  <c r="CW56" i="1" s="1"/>
  <c r="V56" i="1" s="1"/>
  <c r="AJ56" i="1"/>
  <c r="CX56" i="1" s="1"/>
  <c r="CT56" i="1"/>
  <c r="S56" i="1" s="1"/>
  <c r="K191" i="5" s="1"/>
  <c r="FR56" i="1"/>
  <c r="GL56" i="1"/>
  <c r="GN56" i="1"/>
  <c r="GP56" i="1"/>
  <c r="GV56" i="1"/>
  <c r="I57" i="1"/>
  <c r="E198" i="5" s="1"/>
  <c r="AC57" i="1"/>
  <c r="AE57" i="1"/>
  <c r="AD57" i="1" s="1"/>
  <c r="AF57" i="1"/>
  <c r="AG57" i="1"/>
  <c r="AH57" i="1"/>
  <c r="AI57" i="1"/>
  <c r="CW57" i="1" s="1"/>
  <c r="AJ57" i="1"/>
  <c r="CX57" i="1" s="1"/>
  <c r="CS57" i="1"/>
  <c r="CU57" i="1"/>
  <c r="T57" i="1" s="1"/>
  <c r="CV57" i="1"/>
  <c r="U57" i="1" s="1"/>
  <c r="FR57" i="1"/>
  <c r="GL57" i="1"/>
  <c r="GN57" i="1"/>
  <c r="GP57" i="1"/>
  <c r="GV57" i="1"/>
  <c r="C58" i="1"/>
  <c r="D58" i="1"/>
  <c r="AC58" i="1"/>
  <c r="AD58" i="1"/>
  <c r="AE58" i="1"/>
  <c r="H203" i="5" s="1"/>
  <c r="R203" i="5" s="1"/>
  <c r="AF58" i="1"/>
  <c r="AG58" i="1"/>
  <c r="CU58" i="1" s="1"/>
  <c r="T58" i="1" s="1"/>
  <c r="AH58" i="1"/>
  <c r="CV58" i="1" s="1"/>
  <c r="U58" i="1" s="1"/>
  <c r="AI58" i="1"/>
  <c r="AJ58" i="1"/>
  <c r="CX58" i="1" s="1"/>
  <c r="W58" i="1" s="1"/>
  <c r="CS58" i="1"/>
  <c r="R58" i="1" s="1"/>
  <c r="CT58" i="1"/>
  <c r="S58" i="1" s="1"/>
  <c r="K201" i="5" s="1"/>
  <c r="CW58" i="1"/>
  <c r="V58" i="1" s="1"/>
  <c r="FR58" i="1"/>
  <c r="GL58" i="1"/>
  <c r="GN58" i="1"/>
  <c r="GP58" i="1"/>
  <c r="GV58" i="1"/>
  <c r="GX58" i="1" s="1"/>
  <c r="I59" i="1"/>
  <c r="E208" i="5" s="1"/>
  <c r="AC59" i="1"/>
  <c r="AE59" i="1"/>
  <c r="AD59" i="1" s="1"/>
  <c r="CR59" i="1" s="1"/>
  <c r="Q59" i="1" s="1"/>
  <c r="AF59" i="1"/>
  <c r="AG59" i="1"/>
  <c r="CU59" i="1" s="1"/>
  <c r="AH59" i="1"/>
  <c r="CV59" i="1" s="1"/>
  <c r="U59" i="1" s="1"/>
  <c r="AI59" i="1"/>
  <c r="CW59" i="1" s="1"/>
  <c r="V59" i="1" s="1"/>
  <c r="AJ59" i="1"/>
  <c r="CX59" i="1" s="1"/>
  <c r="CT59" i="1"/>
  <c r="S59" i="1" s="1"/>
  <c r="FR59" i="1"/>
  <c r="GL59" i="1"/>
  <c r="GN59" i="1"/>
  <c r="GP59" i="1"/>
  <c r="GV59" i="1"/>
  <c r="C60" i="1"/>
  <c r="D60" i="1"/>
  <c r="GX60" i="1"/>
  <c r="AC60" i="1"/>
  <c r="AE60" i="1"/>
  <c r="H214" i="5" s="1"/>
  <c r="R214" i="5" s="1"/>
  <c r="AF60" i="1"/>
  <c r="AG60" i="1"/>
  <c r="CU60" i="1" s="1"/>
  <c r="T60" i="1" s="1"/>
  <c r="AH60" i="1"/>
  <c r="CV60" i="1" s="1"/>
  <c r="AI60" i="1"/>
  <c r="CW60" i="1" s="1"/>
  <c r="AJ60" i="1"/>
  <c r="CS60" i="1"/>
  <c r="R60" i="1" s="1"/>
  <c r="CX60" i="1"/>
  <c r="W60" i="1" s="1"/>
  <c r="FR60" i="1"/>
  <c r="GL60" i="1"/>
  <c r="GN60" i="1"/>
  <c r="GP60" i="1"/>
  <c r="GV60" i="1"/>
  <c r="I61" i="1"/>
  <c r="AC61" i="1"/>
  <c r="CQ61" i="1" s="1"/>
  <c r="AE61" i="1"/>
  <c r="AD61" i="1" s="1"/>
  <c r="CR61" i="1" s="1"/>
  <c r="Q61" i="1" s="1"/>
  <c r="AF61" i="1"/>
  <c r="AG61" i="1"/>
  <c r="CU61" i="1" s="1"/>
  <c r="AH61" i="1"/>
  <c r="CV61" i="1" s="1"/>
  <c r="AI61" i="1"/>
  <c r="CW61" i="1" s="1"/>
  <c r="V61" i="1" s="1"/>
  <c r="AJ61" i="1"/>
  <c r="CX61" i="1" s="1"/>
  <c r="CT61" i="1"/>
  <c r="FR61" i="1"/>
  <c r="GL61" i="1"/>
  <c r="GN61" i="1"/>
  <c r="GP61" i="1"/>
  <c r="GV61" i="1"/>
  <c r="C62" i="1"/>
  <c r="D62" i="1"/>
  <c r="I62" i="1"/>
  <c r="I63" i="1" s="1"/>
  <c r="E230" i="5" s="1"/>
  <c r="AC62" i="1"/>
  <c r="AD62" i="1"/>
  <c r="AE62" i="1"/>
  <c r="AF62" i="1"/>
  <c r="CT62" i="1" s="1"/>
  <c r="S62" i="1" s="1"/>
  <c r="AG62" i="1"/>
  <c r="AH62" i="1"/>
  <c r="CV62" i="1" s="1"/>
  <c r="AI62" i="1"/>
  <c r="AJ62" i="1"/>
  <c r="CX62" i="1" s="1"/>
  <c r="W62" i="1" s="1"/>
  <c r="CU62" i="1"/>
  <c r="CW62" i="1"/>
  <c r="V62" i="1" s="1"/>
  <c r="FR62" i="1"/>
  <c r="GL62" i="1"/>
  <c r="GN62" i="1"/>
  <c r="GP62" i="1"/>
  <c r="GV62" i="1"/>
  <c r="AC63" i="1"/>
  <c r="AE63" i="1"/>
  <c r="AD63" i="1" s="1"/>
  <c r="AF63" i="1"/>
  <c r="AG63" i="1"/>
  <c r="CU63" i="1" s="1"/>
  <c r="AH63" i="1"/>
  <c r="CV63" i="1" s="1"/>
  <c r="U63" i="1" s="1"/>
  <c r="AI63" i="1"/>
  <c r="AJ63" i="1"/>
  <c r="CX63" i="1" s="1"/>
  <c r="CR63" i="1"/>
  <c r="CS63" i="1"/>
  <c r="CW63" i="1"/>
  <c r="FR63" i="1"/>
  <c r="GL63" i="1"/>
  <c r="GN63" i="1"/>
  <c r="GP63" i="1"/>
  <c r="GV63" i="1"/>
  <c r="C64" i="1"/>
  <c r="D64" i="1"/>
  <c r="I64" i="1"/>
  <c r="AC64" i="1"/>
  <c r="AD64" i="1"/>
  <c r="AE64" i="1"/>
  <c r="H236" i="5" s="1"/>
  <c r="R236" i="5" s="1"/>
  <c r="AF64" i="1"/>
  <c r="AG64" i="1"/>
  <c r="AH64" i="1"/>
  <c r="CV64" i="1" s="1"/>
  <c r="AI64" i="1"/>
  <c r="AJ64" i="1"/>
  <c r="CX64" i="1" s="1"/>
  <c r="W64" i="1" s="1"/>
  <c r="CU64" i="1"/>
  <c r="T64" i="1" s="1"/>
  <c r="CW64" i="1"/>
  <c r="FR64" i="1"/>
  <c r="GL64" i="1"/>
  <c r="GN64" i="1"/>
  <c r="GP64" i="1"/>
  <c r="GV64" i="1"/>
  <c r="I65" i="1"/>
  <c r="E241" i="5" s="1"/>
  <c r="AC65" i="1"/>
  <c r="AE65" i="1"/>
  <c r="AD65" i="1" s="1"/>
  <c r="AF65" i="1"/>
  <c r="AG65" i="1"/>
  <c r="CU65" i="1" s="1"/>
  <c r="AH65" i="1"/>
  <c r="AI65" i="1"/>
  <c r="CW65" i="1" s="1"/>
  <c r="V65" i="1" s="1"/>
  <c r="AJ65" i="1"/>
  <c r="CR65" i="1"/>
  <c r="Q65" i="1" s="1"/>
  <c r="CT65" i="1"/>
  <c r="S65" i="1" s="1"/>
  <c r="CV65" i="1"/>
  <c r="U65" i="1" s="1"/>
  <c r="CX65" i="1"/>
  <c r="W65" i="1" s="1"/>
  <c r="FR65" i="1"/>
  <c r="GL65" i="1"/>
  <c r="GN65" i="1"/>
  <c r="GP65" i="1"/>
  <c r="GV65" i="1"/>
  <c r="GX65" i="1" s="1"/>
  <c r="I66" i="1"/>
  <c r="E242" i="5" s="1"/>
  <c r="AC66" i="1"/>
  <c r="AD66" i="1"/>
  <c r="CR66" i="1" s="1"/>
  <c r="AE66" i="1"/>
  <c r="AF66" i="1"/>
  <c r="AG66" i="1"/>
  <c r="AH66" i="1"/>
  <c r="CV66" i="1" s="1"/>
  <c r="AI66" i="1"/>
  <c r="AJ66" i="1"/>
  <c r="CX66" i="1" s="1"/>
  <c r="W66" i="1" s="1"/>
  <c r="CQ66" i="1"/>
  <c r="CS66" i="1"/>
  <c r="CU66" i="1"/>
  <c r="CW66" i="1"/>
  <c r="V66" i="1" s="1"/>
  <c r="FR66" i="1"/>
  <c r="GL66" i="1"/>
  <c r="GN66" i="1"/>
  <c r="GP66" i="1"/>
  <c r="GV66" i="1"/>
  <c r="AC67" i="1"/>
  <c r="AE67" i="1"/>
  <c r="AD67" i="1" s="1"/>
  <c r="CR67" i="1" s="1"/>
  <c r="AF67" i="1"/>
  <c r="AG67" i="1"/>
  <c r="CU67" i="1" s="1"/>
  <c r="AH67" i="1"/>
  <c r="AI67" i="1"/>
  <c r="CW67" i="1" s="1"/>
  <c r="AJ67" i="1"/>
  <c r="CT67" i="1"/>
  <c r="CV67" i="1"/>
  <c r="CX67" i="1"/>
  <c r="FR67" i="1"/>
  <c r="GL67" i="1"/>
  <c r="GN67" i="1"/>
  <c r="GP67" i="1"/>
  <c r="GV67" i="1"/>
  <c r="C68" i="1"/>
  <c r="D68" i="1"/>
  <c r="I68" i="1"/>
  <c r="AC68" i="1"/>
  <c r="AD68" i="1"/>
  <c r="CR68" i="1" s="1"/>
  <c r="AE68" i="1"/>
  <c r="AF68" i="1"/>
  <c r="AG68" i="1"/>
  <c r="AH68" i="1"/>
  <c r="CV68" i="1" s="1"/>
  <c r="AI68" i="1"/>
  <c r="AJ68" i="1"/>
  <c r="CX68" i="1" s="1"/>
  <c r="W68" i="1" s="1"/>
  <c r="CQ68" i="1"/>
  <c r="CS68" i="1"/>
  <c r="CU68" i="1"/>
  <c r="CW68" i="1"/>
  <c r="V68" i="1" s="1"/>
  <c r="FR68" i="1"/>
  <c r="GL68" i="1"/>
  <c r="GN68" i="1"/>
  <c r="GP68" i="1"/>
  <c r="GV68" i="1"/>
  <c r="GX68" i="1" s="1"/>
  <c r="AC69" i="1"/>
  <c r="AE69" i="1"/>
  <c r="AF69" i="1"/>
  <c r="AG69" i="1"/>
  <c r="CU69" i="1" s="1"/>
  <c r="AH69" i="1"/>
  <c r="AI69" i="1"/>
  <c r="CW69" i="1" s="1"/>
  <c r="AJ69" i="1"/>
  <c r="CT69" i="1"/>
  <c r="CV69" i="1"/>
  <c r="CX69" i="1"/>
  <c r="FR69" i="1"/>
  <c r="GL69" i="1"/>
  <c r="GN69" i="1"/>
  <c r="GP69" i="1"/>
  <c r="GV69" i="1"/>
  <c r="C70" i="1"/>
  <c r="D70" i="1"/>
  <c r="I70" i="1"/>
  <c r="R70" i="1"/>
  <c r="AC70" i="1"/>
  <c r="H259" i="5" s="1"/>
  <c r="AD70" i="1"/>
  <c r="AE70" i="1"/>
  <c r="AF70" i="1"/>
  <c r="AG70" i="1"/>
  <c r="CU70" i="1" s="1"/>
  <c r="T70" i="1" s="1"/>
  <c r="AH70" i="1"/>
  <c r="CV70" i="1" s="1"/>
  <c r="U70" i="1" s="1"/>
  <c r="AI70" i="1"/>
  <c r="AJ70" i="1"/>
  <c r="CX70" i="1" s="1"/>
  <c r="W70" i="1" s="1"/>
  <c r="CQ70" i="1"/>
  <c r="P70" i="1" s="1"/>
  <c r="K259" i="5" s="1"/>
  <c r="CS70" i="1"/>
  <c r="CW70" i="1"/>
  <c r="V70" i="1" s="1"/>
  <c r="FR70" i="1"/>
  <c r="GL70" i="1"/>
  <c r="GN70" i="1"/>
  <c r="GP70" i="1"/>
  <c r="GV70" i="1"/>
  <c r="GX70" i="1" s="1"/>
  <c r="AC71" i="1"/>
  <c r="AE71" i="1"/>
  <c r="AF71" i="1"/>
  <c r="CT71" i="1" s="1"/>
  <c r="AG71" i="1"/>
  <c r="CU71" i="1" s="1"/>
  <c r="AH71" i="1"/>
  <c r="AI71" i="1"/>
  <c r="CW71" i="1" s="1"/>
  <c r="AJ71" i="1"/>
  <c r="CV71" i="1"/>
  <c r="CX71" i="1"/>
  <c r="FR71" i="1"/>
  <c r="GL71" i="1"/>
  <c r="GN71" i="1"/>
  <c r="GP71" i="1"/>
  <c r="GV71" i="1"/>
  <c r="C72" i="1"/>
  <c r="D72" i="1"/>
  <c r="I72" i="1"/>
  <c r="AC72" i="1"/>
  <c r="AD72" i="1"/>
  <c r="AE72" i="1"/>
  <c r="AF72" i="1"/>
  <c r="AG72" i="1"/>
  <c r="AH72" i="1"/>
  <c r="CV72" i="1" s="1"/>
  <c r="U72" i="1" s="1"/>
  <c r="AI72" i="1"/>
  <c r="CW72" i="1" s="1"/>
  <c r="V72" i="1" s="1"/>
  <c r="AJ72" i="1"/>
  <c r="CX72" i="1" s="1"/>
  <c r="CQ72" i="1"/>
  <c r="CS72" i="1"/>
  <c r="R72" i="1" s="1"/>
  <c r="CU72" i="1"/>
  <c r="T72" i="1" s="1"/>
  <c r="FR72" i="1"/>
  <c r="GL72" i="1"/>
  <c r="GN72" i="1"/>
  <c r="GP72" i="1"/>
  <c r="GV72" i="1"/>
  <c r="GX72" i="1" s="1"/>
  <c r="AC73" i="1"/>
  <c r="AE73" i="1"/>
  <c r="CS73" i="1" s="1"/>
  <c r="AF73" i="1"/>
  <c r="AG73" i="1"/>
  <c r="CU73" i="1" s="1"/>
  <c r="AH73" i="1"/>
  <c r="CV73" i="1" s="1"/>
  <c r="AI73" i="1"/>
  <c r="CW73" i="1" s="1"/>
  <c r="AJ73" i="1"/>
  <c r="CX73" i="1"/>
  <c r="FR73" i="1"/>
  <c r="GL73" i="1"/>
  <c r="GN73" i="1"/>
  <c r="GP73" i="1"/>
  <c r="GV73" i="1"/>
  <c r="C74" i="1"/>
  <c r="D74" i="1"/>
  <c r="P74" i="1"/>
  <c r="K281" i="5" s="1"/>
  <c r="AC74" i="1"/>
  <c r="H281" i="5" s="1"/>
  <c r="AE74" i="1"/>
  <c r="AF74" i="1"/>
  <c r="AG74" i="1"/>
  <c r="CU74" i="1" s="1"/>
  <c r="T74" i="1" s="1"/>
  <c r="AH74" i="1"/>
  <c r="CV74" i="1" s="1"/>
  <c r="U74" i="1" s="1"/>
  <c r="AI74" i="1"/>
  <c r="CW74" i="1" s="1"/>
  <c r="V74" i="1" s="1"/>
  <c r="AJ74" i="1"/>
  <c r="CX74" i="1" s="1"/>
  <c r="CQ74" i="1"/>
  <c r="FR74" i="1"/>
  <c r="GL74" i="1"/>
  <c r="GN74" i="1"/>
  <c r="GP74" i="1"/>
  <c r="GV74" i="1"/>
  <c r="GX74" i="1"/>
  <c r="C75" i="1"/>
  <c r="D75" i="1"/>
  <c r="I75" i="1"/>
  <c r="AC75" i="1"/>
  <c r="CQ75" i="1" s="1"/>
  <c r="AE75" i="1"/>
  <c r="AF75" i="1"/>
  <c r="AG75" i="1"/>
  <c r="CU75" i="1" s="1"/>
  <c r="T75" i="1" s="1"/>
  <c r="AH75" i="1"/>
  <c r="CV75" i="1" s="1"/>
  <c r="U75" i="1" s="1"/>
  <c r="L292" i="5" s="1"/>
  <c r="Q292" i="5" s="1"/>
  <c r="AI75" i="1"/>
  <c r="AJ75" i="1"/>
  <c r="CX75" i="1" s="1"/>
  <c r="W75" i="1" s="1"/>
  <c r="CS75" i="1"/>
  <c r="R75" i="1" s="1"/>
  <c r="CT75" i="1"/>
  <c r="S75" i="1" s="1"/>
  <c r="CW75" i="1"/>
  <c r="V75" i="1" s="1"/>
  <c r="FR75" i="1"/>
  <c r="GL75" i="1"/>
  <c r="GO75" i="1"/>
  <c r="GP75" i="1"/>
  <c r="GV75" i="1"/>
  <c r="GX75" i="1" s="1"/>
  <c r="C76" i="1"/>
  <c r="D76" i="1"/>
  <c r="I76" i="1"/>
  <c r="AC76" i="1"/>
  <c r="CQ76" i="1" s="1"/>
  <c r="AD76" i="1"/>
  <c r="CR76" i="1" s="1"/>
  <c r="AE76" i="1"/>
  <c r="CS76" i="1" s="1"/>
  <c r="R76" i="1" s="1"/>
  <c r="GK76" i="1" s="1"/>
  <c r="AF76" i="1"/>
  <c r="AG76" i="1"/>
  <c r="AH76" i="1"/>
  <c r="CV76" i="1" s="1"/>
  <c r="AI76" i="1"/>
  <c r="AJ76" i="1"/>
  <c r="CX76" i="1" s="1"/>
  <c r="CU76" i="1"/>
  <c r="T76" i="1" s="1"/>
  <c r="CW76" i="1"/>
  <c r="FR76" i="1"/>
  <c r="GL76" i="1"/>
  <c r="GO76" i="1"/>
  <c r="GP76" i="1"/>
  <c r="GV76" i="1"/>
  <c r="GX76" i="1" s="1"/>
  <c r="C77" i="1"/>
  <c r="D77" i="1"/>
  <c r="V77" i="1"/>
  <c r="AC77" i="1"/>
  <c r="AD77" i="1"/>
  <c r="AE77" i="1"/>
  <c r="AF77" i="1"/>
  <c r="AG77" i="1"/>
  <c r="AH77" i="1"/>
  <c r="AI77" i="1"/>
  <c r="AJ77" i="1"/>
  <c r="CX77" i="1" s="1"/>
  <c r="W77" i="1" s="1"/>
  <c r="CQ77" i="1"/>
  <c r="P77" i="1" s="1"/>
  <c r="CR77" i="1"/>
  <c r="Q77" i="1" s="1"/>
  <c r="CS77" i="1"/>
  <c r="R77" i="1" s="1"/>
  <c r="GK77" i="1" s="1"/>
  <c r="CU77" i="1"/>
  <c r="T77" i="1" s="1"/>
  <c r="CV77" i="1"/>
  <c r="U77" i="1" s="1"/>
  <c r="CW77" i="1"/>
  <c r="FR77" i="1"/>
  <c r="GL77" i="1"/>
  <c r="GN77" i="1"/>
  <c r="GO77" i="1"/>
  <c r="GV77" i="1"/>
  <c r="GX77" i="1"/>
  <c r="C78" i="1"/>
  <c r="D78" i="1"/>
  <c r="AC78" i="1"/>
  <c r="AE78" i="1"/>
  <c r="AF78" i="1"/>
  <c r="AG78" i="1"/>
  <c r="CU78" i="1" s="1"/>
  <c r="T78" i="1" s="1"/>
  <c r="AH78" i="1"/>
  <c r="CV78" i="1" s="1"/>
  <c r="U78" i="1" s="1"/>
  <c r="AI78" i="1"/>
  <c r="CW78" i="1" s="1"/>
  <c r="V78" i="1" s="1"/>
  <c r="AJ78" i="1"/>
  <c r="CX78" i="1" s="1"/>
  <c r="W78" i="1" s="1"/>
  <c r="CQ78" i="1"/>
  <c r="P78" i="1" s="1"/>
  <c r="CT78" i="1"/>
  <c r="S78" i="1" s="1"/>
  <c r="K307" i="5" s="1"/>
  <c r="FR78" i="1"/>
  <c r="GL78" i="1"/>
  <c r="GN78" i="1"/>
  <c r="GO78" i="1"/>
  <c r="GV78" i="1"/>
  <c r="GX78" i="1" s="1"/>
  <c r="C79" i="1"/>
  <c r="D79" i="1"/>
  <c r="P79" i="1"/>
  <c r="AC79" i="1"/>
  <c r="AE79" i="1"/>
  <c r="CS79" i="1" s="1"/>
  <c r="R79" i="1" s="1"/>
  <c r="AF79" i="1"/>
  <c r="AG79" i="1"/>
  <c r="CU79" i="1" s="1"/>
  <c r="T79" i="1" s="1"/>
  <c r="AH79" i="1"/>
  <c r="CV79" i="1" s="1"/>
  <c r="U79" i="1" s="1"/>
  <c r="AI79" i="1"/>
  <c r="CW79" i="1" s="1"/>
  <c r="V79" i="1" s="1"/>
  <c r="AJ79" i="1"/>
  <c r="CX79" i="1" s="1"/>
  <c r="W79" i="1" s="1"/>
  <c r="CQ79" i="1"/>
  <c r="FR79" i="1"/>
  <c r="GL79" i="1"/>
  <c r="GN79" i="1"/>
  <c r="GO79" i="1"/>
  <c r="GV79" i="1"/>
  <c r="GX79" i="1" s="1"/>
  <c r="B81" i="1"/>
  <c r="B22" i="1" s="1"/>
  <c r="C81" i="1"/>
  <c r="C22" i="1" s="1"/>
  <c r="D81" i="1"/>
  <c r="D22" i="1" s="1"/>
  <c r="F81" i="1"/>
  <c r="F22" i="1" s="1"/>
  <c r="G81" i="1"/>
  <c r="BX81" i="1"/>
  <c r="BX22" i="1" s="1"/>
  <c r="CK81" i="1"/>
  <c r="CL81" i="1"/>
  <c r="CL22" i="1" s="1"/>
  <c r="B113" i="1"/>
  <c r="B18" i="1" s="1"/>
  <c r="C113" i="1"/>
  <c r="C18" i="1" s="1"/>
  <c r="D113" i="1"/>
  <c r="D18" i="1" s="1"/>
  <c r="F113" i="1"/>
  <c r="F18" i="1" s="1"/>
  <c r="G113" i="1"/>
  <c r="G18" i="1" s="1"/>
  <c r="CT79" i="1" l="1"/>
  <c r="S79" i="1" s="1"/>
  <c r="K313" i="5" s="1"/>
  <c r="H313" i="5"/>
  <c r="U312" i="5"/>
  <c r="H315" i="5" s="1"/>
  <c r="S312" i="5"/>
  <c r="H314" i="5" s="1"/>
  <c r="L199" i="5"/>
  <c r="Q199" i="5" s="1"/>
  <c r="L197" i="5"/>
  <c r="CR53" i="1"/>
  <c r="Q53" i="1" s="1"/>
  <c r="K173" i="5" s="1"/>
  <c r="H173" i="5"/>
  <c r="K162" i="5"/>
  <c r="L180" i="5"/>
  <c r="Q180" i="5" s="1"/>
  <c r="L178" i="5"/>
  <c r="GK56" i="1"/>
  <c r="K193" i="5"/>
  <c r="L159" i="5"/>
  <c r="Q159" i="5" s="1"/>
  <c r="L156" i="5"/>
  <c r="G22" i="1"/>
  <c r="A318" i="5"/>
  <c r="CK22" i="1"/>
  <c r="BB81" i="1"/>
  <c r="AD78" i="1"/>
  <c r="CR78" i="1" s="1"/>
  <c r="Q78" i="1" s="1"/>
  <c r="CP78" i="1" s="1"/>
  <c r="O78" i="1" s="1"/>
  <c r="GM78" i="1" s="1"/>
  <c r="CS78" i="1"/>
  <c r="R78" i="1" s="1"/>
  <c r="GK78" i="1" s="1"/>
  <c r="GK72" i="1"/>
  <c r="K269" i="5"/>
  <c r="K223" i="5"/>
  <c r="GX37" i="1"/>
  <c r="C266" i="5"/>
  <c r="E265" i="5"/>
  <c r="GK70" i="1"/>
  <c r="K258" i="5"/>
  <c r="I69" i="1"/>
  <c r="C246" i="5"/>
  <c r="E245" i="5"/>
  <c r="R63" i="1"/>
  <c r="GK63" i="1" s="1"/>
  <c r="CR58" i="1"/>
  <c r="Q58" i="1" s="1"/>
  <c r="K202" i="5" s="1"/>
  <c r="H202" i="5"/>
  <c r="CT57" i="1"/>
  <c r="U198" i="5"/>
  <c r="S198" i="5"/>
  <c r="CT55" i="1"/>
  <c r="S55" i="1" s="1"/>
  <c r="S181" i="5"/>
  <c r="H185" i="5" s="1"/>
  <c r="H182" i="5"/>
  <c r="U181" i="5"/>
  <c r="H186" i="5" s="1"/>
  <c r="U157" i="5"/>
  <c r="S157" i="5"/>
  <c r="CT49" i="1"/>
  <c r="S49" i="1" s="1"/>
  <c r="CR48" i="1"/>
  <c r="Q48" i="1" s="1"/>
  <c r="K151" i="5" s="1"/>
  <c r="H151" i="5"/>
  <c r="CS46" i="1"/>
  <c r="R46" i="1" s="1"/>
  <c r="H141" i="5"/>
  <c r="R141" i="5" s="1"/>
  <c r="AD46" i="1"/>
  <c r="U117" i="5"/>
  <c r="S117" i="5"/>
  <c r="H118" i="5"/>
  <c r="CT38" i="1"/>
  <c r="S38" i="1" s="1"/>
  <c r="K118" i="5" s="1"/>
  <c r="T36" i="1"/>
  <c r="CT33" i="1"/>
  <c r="H96" i="5"/>
  <c r="R96" i="5" s="1"/>
  <c r="U94" i="5"/>
  <c r="S94" i="5"/>
  <c r="L311" i="5"/>
  <c r="Q311" i="5" s="1"/>
  <c r="L310" i="5"/>
  <c r="P76" i="1"/>
  <c r="U286" i="5"/>
  <c r="H291" i="5" s="1"/>
  <c r="S286" i="5"/>
  <c r="H290" i="5" s="1"/>
  <c r="E286" i="5"/>
  <c r="C287" i="5"/>
  <c r="AD74" i="1"/>
  <c r="H279" i="5" s="1"/>
  <c r="H280" i="5"/>
  <c r="R280" i="5" s="1"/>
  <c r="P72" i="1"/>
  <c r="H270" i="5"/>
  <c r="H258" i="5"/>
  <c r="R258" i="5" s="1"/>
  <c r="GX69" i="1"/>
  <c r="U252" i="5"/>
  <c r="S252" i="5"/>
  <c r="T68" i="1"/>
  <c r="CQ67" i="1"/>
  <c r="T66" i="1"/>
  <c r="U241" i="5"/>
  <c r="S241" i="5"/>
  <c r="GX64" i="1"/>
  <c r="E232" i="5"/>
  <c r="C233" i="5"/>
  <c r="V63" i="1"/>
  <c r="Q63" i="1"/>
  <c r="T62" i="1"/>
  <c r="H225" i="5"/>
  <c r="R225" i="5" s="1"/>
  <c r="CS61" i="1"/>
  <c r="H212" i="5"/>
  <c r="R212" i="5" s="1"/>
  <c r="U210" i="5"/>
  <c r="S210" i="5"/>
  <c r="GX59" i="1"/>
  <c r="CS59" i="1"/>
  <c r="R59" i="1" s="1"/>
  <c r="GK59" i="1" s="1"/>
  <c r="CQ59" i="1"/>
  <c r="H208" i="5"/>
  <c r="X208" i="5" s="1"/>
  <c r="GK58" i="1"/>
  <c r="K203" i="5"/>
  <c r="CQ58" i="1"/>
  <c r="P58" i="1" s="1"/>
  <c r="H204" i="5"/>
  <c r="V57" i="1"/>
  <c r="GX56" i="1"/>
  <c r="CQ56" i="1"/>
  <c r="P56" i="1" s="1"/>
  <c r="K194" i="5" s="1"/>
  <c r="H194" i="5"/>
  <c r="AB54" i="1"/>
  <c r="H179" i="5"/>
  <c r="X179" i="5" s="1"/>
  <c r="U52" i="1"/>
  <c r="W52" i="1"/>
  <c r="S169" i="5"/>
  <c r="U169" i="5"/>
  <c r="U160" i="5"/>
  <c r="H162" i="5"/>
  <c r="S160" i="5"/>
  <c r="H166" i="5" s="1"/>
  <c r="CS50" i="1"/>
  <c r="R50" i="1" s="1"/>
  <c r="GK50" i="1" s="1"/>
  <c r="U50" i="1"/>
  <c r="CQ50" i="1"/>
  <c r="P50" i="1" s="1"/>
  <c r="CP50" i="1" s="1"/>
  <c r="O50" i="1" s="1"/>
  <c r="K158" i="5" s="1"/>
  <c r="H158" i="5"/>
  <c r="X158" i="5" s="1"/>
  <c r="CP48" i="1"/>
  <c r="O48" i="1" s="1"/>
  <c r="K153" i="5"/>
  <c r="CZ46" i="1"/>
  <c r="Y46" i="1" s="1"/>
  <c r="V138" i="5" s="1"/>
  <c r="K139" i="5"/>
  <c r="CY46" i="1"/>
  <c r="X46" i="1" s="1"/>
  <c r="T138" i="5" s="1"/>
  <c r="P44" i="1"/>
  <c r="H135" i="5"/>
  <c r="X135" i="5" s="1"/>
  <c r="L137" i="5"/>
  <c r="Q137" i="5" s="1"/>
  <c r="L134" i="5"/>
  <c r="CQ42" i="1"/>
  <c r="P42" i="1" s="1"/>
  <c r="CY41" i="1"/>
  <c r="X41" i="1" s="1"/>
  <c r="T125" i="5" s="1"/>
  <c r="W36" i="1"/>
  <c r="U106" i="5"/>
  <c r="S106" i="5"/>
  <c r="H112" i="5" s="1"/>
  <c r="H108" i="5"/>
  <c r="CT34" i="1"/>
  <c r="H98" i="5"/>
  <c r="R98" i="5" s="1"/>
  <c r="AD33" i="1"/>
  <c r="H97" i="5" s="1"/>
  <c r="CS33" i="1"/>
  <c r="R33" i="1" s="1"/>
  <c r="S32" i="1"/>
  <c r="CS29" i="1"/>
  <c r="R29" i="1" s="1"/>
  <c r="GK29" i="1" s="1"/>
  <c r="L76" i="5"/>
  <c r="Q76" i="5" s="1"/>
  <c r="L75" i="5"/>
  <c r="S45" i="5"/>
  <c r="H49" i="5" s="1"/>
  <c r="U45" i="5"/>
  <c r="H50" i="5" s="1"/>
  <c r="H46" i="5"/>
  <c r="AB25" i="1"/>
  <c r="CT24" i="1"/>
  <c r="S24" i="1" s="1"/>
  <c r="K30" i="5" s="1"/>
  <c r="H30" i="5"/>
  <c r="U29" i="5"/>
  <c r="H34" i="5" s="1"/>
  <c r="S29" i="5"/>
  <c r="H33" i="5" s="1"/>
  <c r="CR72" i="1"/>
  <c r="Q72" i="1" s="1"/>
  <c r="K268" i="5" s="1"/>
  <c r="H268" i="5"/>
  <c r="CT70" i="1"/>
  <c r="S70" i="1" s="1"/>
  <c r="H256" i="5"/>
  <c r="U254" i="5"/>
  <c r="S254" i="5"/>
  <c r="CT68" i="1"/>
  <c r="S68" i="1" s="1"/>
  <c r="K247" i="5" s="1"/>
  <c r="S245" i="5"/>
  <c r="H249" i="5" s="1"/>
  <c r="H247" i="5"/>
  <c r="U245" i="5"/>
  <c r="H234" i="5"/>
  <c r="R234" i="5" s="1"/>
  <c r="U232" i="5"/>
  <c r="S232" i="5"/>
  <c r="CS53" i="1"/>
  <c r="R53" i="1" s="1"/>
  <c r="CZ53" i="1" s="1"/>
  <c r="Y53" i="1" s="1"/>
  <c r="V171" i="5" s="1"/>
  <c r="K177" i="5" s="1"/>
  <c r="H174" i="5"/>
  <c r="R174" i="5" s="1"/>
  <c r="V49" i="1"/>
  <c r="E157" i="5"/>
  <c r="E106" i="5"/>
  <c r="C107" i="5"/>
  <c r="L69" i="5"/>
  <c r="Q69" i="5" s="1"/>
  <c r="L68" i="5"/>
  <c r="CR25" i="1"/>
  <c r="Q25" i="1" s="1"/>
  <c r="K39" i="5" s="1"/>
  <c r="J44" i="5" s="1"/>
  <c r="P44" i="5" s="1"/>
  <c r="H39" i="5"/>
  <c r="BC81" i="1"/>
  <c r="BC22" i="1" s="1"/>
  <c r="L317" i="5"/>
  <c r="Q317" i="5" s="1"/>
  <c r="L316" i="5"/>
  <c r="W76" i="1"/>
  <c r="AB76" i="1"/>
  <c r="U293" i="5"/>
  <c r="H297" i="5" s="1"/>
  <c r="S293" i="5"/>
  <c r="H296" i="5" s="1"/>
  <c r="H295" i="5"/>
  <c r="AD75" i="1"/>
  <c r="H289" i="5"/>
  <c r="R289" i="5" s="1"/>
  <c r="BZ81" i="1"/>
  <c r="W72" i="1"/>
  <c r="CT72" i="1"/>
  <c r="S72" i="1" s="1"/>
  <c r="S265" i="5"/>
  <c r="H267" i="5"/>
  <c r="U265" i="5"/>
  <c r="L264" i="5"/>
  <c r="Q264" i="5" s="1"/>
  <c r="L262" i="5"/>
  <c r="CR70" i="1"/>
  <c r="Q70" i="1" s="1"/>
  <c r="K257" i="5" s="1"/>
  <c r="H257" i="5"/>
  <c r="E254" i="5"/>
  <c r="C255" i="5"/>
  <c r="V69" i="1"/>
  <c r="R68" i="1"/>
  <c r="GK68" i="1" s="1"/>
  <c r="U68" i="1"/>
  <c r="Q68" i="1"/>
  <c r="GX66" i="1"/>
  <c r="R66" i="1"/>
  <c r="GK66" i="1" s="1"/>
  <c r="U66" i="1"/>
  <c r="Q66" i="1"/>
  <c r="CT64" i="1"/>
  <c r="S64" i="1" s="1"/>
  <c r="CR64" i="1"/>
  <c r="Q64" i="1" s="1"/>
  <c r="K235" i="5" s="1"/>
  <c r="H235" i="5"/>
  <c r="W63" i="1"/>
  <c r="U230" i="5"/>
  <c r="S230" i="5"/>
  <c r="CR62" i="1"/>
  <c r="H224" i="5"/>
  <c r="GX62" i="1"/>
  <c r="E221" i="5"/>
  <c r="C222" i="5"/>
  <c r="S200" i="5"/>
  <c r="U200" i="5"/>
  <c r="H201" i="5"/>
  <c r="R201" i="5" s="1"/>
  <c r="GX57" i="1"/>
  <c r="R57" i="1"/>
  <c r="GK57" i="1" s="1"/>
  <c r="H198" i="5"/>
  <c r="X198" i="5" s="1"/>
  <c r="E189" i="5"/>
  <c r="C190" i="5"/>
  <c r="L188" i="5"/>
  <c r="Q188" i="5" s="1"/>
  <c r="L187" i="5"/>
  <c r="AB55" i="1"/>
  <c r="H183" i="5"/>
  <c r="S179" i="5"/>
  <c r="U179" i="5"/>
  <c r="S52" i="1"/>
  <c r="CZ52" i="1" s="1"/>
  <c r="Y52" i="1" s="1"/>
  <c r="V169" i="5" s="1"/>
  <c r="H164" i="5"/>
  <c r="R164" i="5" s="1"/>
  <c r="CS51" i="1"/>
  <c r="R51" i="1" s="1"/>
  <c r="CY51" i="1" s="1"/>
  <c r="X51" i="1" s="1"/>
  <c r="T160" i="5" s="1"/>
  <c r="K166" i="5" s="1"/>
  <c r="T49" i="1"/>
  <c r="CQ49" i="1"/>
  <c r="P49" i="1" s="1"/>
  <c r="H157" i="5"/>
  <c r="X157" i="5" s="1"/>
  <c r="S148" i="5"/>
  <c r="H150" i="5"/>
  <c r="R150" i="5" s="1"/>
  <c r="U148" i="5"/>
  <c r="H155" i="5" s="1"/>
  <c r="K142" i="5"/>
  <c r="CT45" i="1"/>
  <c r="S45" i="1" s="1"/>
  <c r="U136" i="5"/>
  <c r="S136" i="5"/>
  <c r="GX45" i="1"/>
  <c r="E136" i="5"/>
  <c r="V44" i="1"/>
  <c r="U135" i="5"/>
  <c r="S135" i="5"/>
  <c r="CT44" i="1"/>
  <c r="S44" i="1" s="1"/>
  <c r="CP41" i="1"/>
  <c r="O41" i="1" s="1"/>
  <c r="K125" i="5" s="1"/>
  <c r="U124" i="5"/>
  <c r="S124" i="5"/>
  <c r="CT39" i="1"/>
  <c r="S39" i="1" s="1"/>
  <c r="CZ39" i="1" s="1"/>
  <c r="Y39" i="1" s="1"/>
  <c r="V123" i="5" s="1"/>
  <c r="U123" i="5"/>
  <c r="S123" i="5"/>
  <c r="R37" i="1"/>
  <c r="GK37" i="1" s="1"/>
  <c r="V37" i="1"/>
  <c r="GX36" i="1"/>
  <c r="V32" i="1"/>
  <c r="CT31" i="1"/>
  <c r="S31" i="1" s="1"/>
  <c r="H85" i="5"/>
  <c r="U84" i="5"/>
  <c r="S84" i="5"/>
  <c r="H55" i="5"/>
  <c r="S53" i="5"/>
  <c r="H58" i="5" s="1"/>
  <c r="U53" i="5"/>
  <c r="H59" i="5" s="1"/>
  <c r="CT27" i="1"/>
  <c r="S27" i="1" s="1"/>
  <c r="K55" i="5" s="1"/>
  <c r="AD26" i="1"/>
  <c r="H48" i="5"/>
  <c r="R48" i="5" s="1"/>
  <c r="CS26" i="1"/>
  <c r="R26" i="1" s="1"/>
  <c r="CZ26" i="1" s="1"/>
  <c r="Y26" i="1" s="1"/>
  <c r="V45" i="5" s="1"/>
  <c r="K50" i="5" s="1"/>
  <c r="CT77" i="1"/>
  <c r="S77" i="1" s="1"/>
  <c r="S300" i="5"/>
  <c r="H302" i="5" s="1"/>
  <c r="H301" i="5"/>
  <c r="U300" i="5"/>
  <c r="H303" i="5" s="1"/>
  <c r="CT74" i="1"/>
  <c r="H278" i="5"/>
  <c r="U276" i="5"/>
  <c r="H283" i="5" s="1"/>
  <c r="S276" i="5"/>
  <c r="H282" i="5" s="1"/>
  <c r="L275" i="5"/>
  <c r="Q275" i="5" s="1"/>
  <c r="L273" i="5"/>
  <c r="S69" i="1"/>
  <c r="CT66" i="1"/>
  <c r="S66" i="1" s="1"/>
  <c r="U242" i="5"/>
  <c r="S242" i="5"/>
  <c r="GX63" i="1"/>
  <c r="CQ63" i="1"/>
  <c r="H230" i="5"/>
  <c r="X230" i="5" s="1"/>
  <c r="U221" i="5"/>
  <c r="H228" i="5" s="1"/>
  <c r="S221" i="5"/>
  <c r="H223" i="5"/>
  <c r="H215" i="5"/>
  <c r="L209" i="5"/>
  <c r="Q209" i="5" s="1"/>
  <c r="L207" i="5"/>
  <c r="AD56" i="1"/>
  <c r="H193" i="5"/>
  <c r="R193" i="5" s="1"/>
  <c r="GK55" i="1"/>
  <c r="K184" i="5"/>
  <c r="AD42" i="1"/>
  <c r="CR42" i="1" s="1"/>
  <c r="Q42" i="1" s="1"/>
  <c r="CS42" i="1"/>
  <c r="R42" i="1" s="1"/>
  <c r="GK42" i="1" s="1"/>
  <c r="S36" i="1"/>
  <c r="K108" i="5" s="1"/>
  <c r="AD35" i="1"/>
  <c r="CR35" i="1" s="1"/>
  <c r="CS35" i="1"/>
  <c r="K46" i="5"/>
  <c r="L44" i="5"/>
  <c r="Q44" i="5" s="1"/>
  <c r="L43" i="5"/>
  <c r="U306" i="5"/>
  <c r="H309" i="5" s="1"/>
  <c r="S306" i="5"/>
  <c r="H308" i="5" s="1"/>
  <c r="H307" i="5"/>
  <c r="L305" i="5"/>
  <c r="Q305" i="5" s="1"/>
  <c r="L304" i="5"/>
  <c r="CP77" i="1"/>
  <c r="O77" i="1" s="1"/>
  <c r="CX256" i="3"/>
  <c r="E293" i="5"/>
  <c r="C294" i="5"/>
  <c r="GK75" i="1"/>
  <c r="K289" i="5"/>
  <c r="CT73" i="1"/>
  <c r="H269" i="5"/>
  <c r="R269" i="5" s="1"/>
  <c r="S263" i="5"/>
  <c r="BY81" i="1"/>
  <c r="P68" i="1"/>
  <c r="H248" i="5"/>
  <c r="P66" i="1"/>
  <c r="H242" i="5"/>
  <c r="X242" i="5" s="1"/>
  <c r="CS65" i="1"/>
  <c r="R65" i="1" s="1"/>
  <c r="GK65" i="1" s="1"/>
  <c r="CQ65" i="1"/>
  <c r="P65" i="1" s="1"/>
  <c r="H241" i="5"/>
  <c r="X241" i="5" s="1"/>
  <c r="CS64" i="1"/>
  <c r="R64" i="1" s="1"/>
  <c r="AB64" i="1"/>
  <c r="H237" i="5"/>
  <c r="CT63" i="1"/>
  <c r="S63" i="1" s="1"/>
  <c r="CS62" i="1"/>
  <c r="R62" i="1" s="1"/>
  <c r="CY62" i="1" s="1"/>
  <c r="X62" i="1" s="1"/>
  <c r="T221" i="5" s="1"/>
  <c r="K227" i="5" s="1"/>
  <c r="CQ62" i="1"/>
  <c r="P62" i="1" s="1"/>
  <c r="K226" i="5" s="1"/>
  <c r="H226" i="5"/>
  <c r="CT60" i="1"/>
  <c r="S60" i="1" s="1"/>
  <c r="K212" i="5" s="1"/>
  <c r="AD60" i="1"/>
  <c r="W59" i="1"/>
  <c r="U208" i="5"/>
  <c r="S208" i="5"/>
  <c r="CQ57" i="1"/>
  <c r="P57" i="1" s="1"/>
  <c r="CP57" i="1" s="1"/>
  <c r="O57" i="1" s="1"/>
  <c r="K198" i="5" s="1"/>
  <c r="W56" i="1"/>
  <c r="H191" i="5"/>
  <c r="U189" i="5"/>
  <c r="H196" i="5" s="1"/>
  <c r="S189" i="5"/>
  <c r="H195" i="5" s="1"/>
  <c r="GX54" i="1"/>
  <c r="E179" i="5"/>
  <c r="H172" i="5"/>
  <c r="S171" i="5"/>
  <c r="H176" i="5" s="1"/>
  <c r="U171" i="5"/>
  <c r="H177" i="5" s="1"/>
  <c r="GX52" i="1"/>
  <c r="CS52" i="1"/>
  <c r="R52" i="1" s="1"/>
  <c r="GK52" i="1" s="1"/>
  <c r="CQ52" i="1"/>
  <c r="H169" i="5"/>
  <c r="X169" i="5" s="1"/>
  <c r="AD51" i="1"/>
  <c r="GX51" i="1"/>
  <c r="C161" i="5"/>
  <c r="E160" i="5"/>
  <c r="CS49" i="1"/>
  <c r="R49" i="1" s="1"/>
  <c r="GK49" i="1" s="1"/>
  <c r="C149" i="5"/>
  <c r="E148" i="5"/>
  <c r="P47" i="1"/>
  <c r="CP47" i="1" s="1"/>
  <c r="O47" i="1" s="1"/>
  <c r="K146" i="5" s="1"/>
  <c r="T47" i="1"/>
  <c r="H146" i="5"/>
  <c r="X146" i="5" s="1"/>
  <c r="H139" i="5"/>
  <c r="U138" i="5"/>
  <c r="S138" i="5"/>
  <c r="GX44" i="1"/>
  <c r="U128" i="5"/>
  <c r="H133" i="5" s="1"/>
  <c r="X137" i="5" s="1"/>
  <c r="S128" i="5"/>
  <c r="H132" i="5" s="1"/>
  <c r="H129" i="5"/>
  <c r="R129" i="5" s="1"/>
  <c r="CT43" i="1"/>
  <c r="S43" i="1" s="1"/>
  <c r="CT42" i="1"/>
  <c r="S42" i="1" s="1"/>
  <c r="CP42" i="1" s="1"/>
  <c r="O42" i="1" s="1"/>
  <c r="K126" i="5" s="1"/>
  <c r="U126" i="5"/>
  <c r="S126" i="5"/>
  <c r="U125" i="5"/>
  <c r="S125" i="5"/>
  <c r="CT41" i="1"/>
  <c r="S41" i="1" s="1"/>
  <c r="U40" i="1"/>
  <c r="U37" i="1"/>
  <c r="CT35" i="1"/>
  <c r="T33" i="1"/>
  <c r="E94" i="5"/>
  <c r="C95" i="5"/>
  <c r="W32" i="1"/>
  <c r="H87" i="5"/>
  <c r="R87" i="5" s="1"/>
  <c r="AD31" i="1"/>
  <c r="H86" i="5" s="1"/>
  <c r="CS31" i="1"/>
  <c r="R31" i="1" s="1"/>
  <c r="L82" i="5"/>
  <c r="L83" i="5"/>
  <c r="Q83" i="5" s="1"/>
  <c r="H57" i="5"/>
  <c r="R57" i="5" s="1"/>
  <c r="CS27" i="1"/>
  <c r="R27" i="1" s="1"/>
  <c r="AD27" i="1"/>
  <c r="L52" i="5"/>
  <c r="Q52" i="5" s="1"/>
  <c r="L51" i="5"/>
  <c r="AB51" i="1"/>
  <c r="H165" i="5"/>
  <c r="W50" i="1"/>
  <c r="S158" i="5"/>
  <c r="U158" i="5"/>
  <c r="GX48" i="1"/>
  <c r="V48" i="1"/>
  <c r="CS48" i="1"/>
  <c r="R48" i="1" s="1"/>
  <c r="H152" i="5"/>
  <c r="R152" i="5" s="1"/>
  <c r="W47" i="1"/>
  <c r="AB47" i="1"/>
  <c r="U146" i="5"/>
  <c r="S146" i="5"/>
  <c r="L147" i="5"/>
  <c r="Q147" i="5" s="1"/>
  <c r="L145" i="5"/>
  <c r="U45" i="1"/>
  <c r="CQ45" i="1"/>
  <c r="H136" i="5"/>
  <c r="X136" i="5" s="1"/>
  <c r="T42" i="1"/>
  <c r="V40" i="1"/>
  <c r="P37" i="1"/>
  <c r="H115" i="5"/>
  <c r="W115" i="5" s="1"/>
  <c r="V36" i="1"/>
  <c r="H110" i="5"/>
  <c r="R110" i="5" s="1"/>
  <c r="U33" i="1"/>
  <c r="T32" i="1"/>
  <c r="L91" i="5"/>
  <c r="L93" i="5"/>
  <c r="Q93" i="5" s="1"/>
  <c r="CT30" i="1"/>
  <c r="S30" i="1" s="1"/>
  <c r="K78" i="5" s="1"/>
  <c r="U77" i="5"/>
  <c r="H81" i="5" s="1"/>
  <c r="S77" i="5"/>
  <c r="H80" i="5" s="1"/>
  <c r="H78" i="5"/>
  <c r="S62" i="5"/>
  <c r="H66" i="5" s="1"/>
  <c r="H63" i="5"/>
  <c r="U62" i="5"/>
  <c r="H67" i="5" s="1"/>
  <c r="E53" i="5"/>
  <c r="C54" i="5"/>
  <c r="U37" i="5"/>
  <c r="H42" i="5" s="1"/>
  <c r="S37" i="5"/>
  <c r="H41" i="5" s="1"/>
  <c r="H38" i="5"/>
  <c r="AD24" i="1"/>
  <c r="H32" i="5"/>
  <c r="R32" i="5" s="1"/>
  <c r="H123" i="5"/>
  <c r="X123" i="5" s="1"/>
  <c r="L127" i="5"/>
  <c r="Q127" i="5" s="1"/>
  <c r="L122" i="5"/>
  <c r="T37" i="1"/>
  <c r="W37" i="1"/>
  <c r="CT37" i="1"/>
  <c r="S37" i="1" s="1"/>
  <c r="U115" i="5"/>
  <c r="S115" i="5"/>
  <c r="U36" i="1"/>
  <c r="H111" i="5"/>
  <c r="H104" i="5"/>
  <c r="W104" i="5" s="1"/>
  <c r="P33" i="1"/>
  <c r="K99" i="5" s="1"/>
  <c r="H99" i="5"/>
  <c r="GX32" i="1"/>
  <c r="U92" i="5"/>
  <c r="S92" i="5"/>
  <c r="CT29" i="1"/>
  <c r="H72" i="5"/>
  <c r="U70" i="5"/>
  <c r="H74" i="5" s="1"/>
  <c r="S70" i="5"/>
  <c r="H73" i="5" s="1"/>
  <c r="T29" i="1"/>
  <c r="E70" i="5"/>
  <c r="C71" i="5"/>
  <c r="CS25" i="1"/>
  <c r="R25" i="1" s="1"/>
  <c r="H40" i="5"/>
  <c r="R40" i="5" s="1"/>
  <c r="L36" i="5"/>
  <c r="Q36" i="5" s="1"/>
  <c r="L35" i="5"/>
  <c r="GK24" i="1"/>
  <c r="K32" i="5"/>
  <c r="S61" i="1"/>
  <c r="GX61" i="1"/>
  <c r="R61" i="1"/>
  <c r="GK61" i="1" s="1"/>
  <c r="P61" i="1"/>
  <c r="H219" i="5"/>
  <c r="X219" i="5" s="1"/>
  <c r="U219" i="5"/>
  <c r="H217" i="5" s="1"/>
  <c r="S219" i="5"/>
  <c r="H216" i="5" s="1"/>
  <c r="E219" i="5"/>
  <c r="U61" i="1"/>
  <c r="W61" i="1"/>
  <c r="GK60" i="1"/>
  <c r="K214" i="5"/>
  <c r="L285" i="5"/>
  <c r="Q285" i="5" s="1"/>
  <c r="L284" i="5"/>
  <c r="BY22" i="1"/>
  <c r="CI81" i="1"/>
  <c r="AP81" i="1"/>
  <c r="GK79" i="1"/>
  <c r="CY79" i="1"/>
  <c r="X79" i="1" s="1"/>
  <c r="T312" i="5" s="1"/>
  <c r="K314" i="5" s="1"/>
  <c r="CZ79" i="1"/>
  <c r="Y79" i="1" s="1"/>
  <c r="V312" i="5" s="1"/>
  <c r="K315" i="5" s="1"/>
  <c r="CR74" i="1"/>
  <c r="Q74" i="1" s="1"/>
  <c r="AB74" i="1"/>
  <c r="CY75" i="1"/>
  <c r="X75" i="1" s="1"/>
  <c r="T286" i="5" s="1"/>
  <c r="K290" i="5" s="1"/>
  <c r="CZ75" i="1"/>
  <c r="Y75" i="1" s="1"/>
  <c r="V286" i="5" s="1"/>
  <c r="K291" i="5" s="1"/>
  <c r="BZ22" i="1"/>
  <c r="AQ81" i="1"/>
  <c r="CT76" i="1"/>
  <c r="S76" i="1" s="1"/>
  <c r="K295" i="5" s="1"/>
  <c r="CZ78" i="1"/>
  <c r="Y78" i="1" s="1"/>
  <c r="V306" i="5" s="1"/>
  <c r="K309" i="5" s="1"/>
  <c r="V76" i="1"/>
  <c r="P75" i="1"/>
  <c r="W74" i="1"/>
  <c r="S74" i="1"/>
  <c r="K278" i="5" s="1"/>
  <c r="CX240" i="3"/>
  <c r="CX244" i="3"/>
  <c r="CX248" i="3"/>
  <c r="CX241" i="3"/>
  <c r="CX245" i="3"/>
  <c r="CX238" i="3"/>
  <c r="CX242" i="3"/>
  <c r="CX246" i="3"/>
  <c r="CX239" i="3"/>
  <c r="CX243" i="3"/>
  <c r="CX247" i="3"/>
  <c r="I73" i="1"/>
  <c r="E274" i="5" s="1"/>
  <c r="AB68" i="1"/>
  <c r="CP66" i="1"/>
  <c r="O66" i="1" s="1"/>
  <c r="K242" i="5" s="1"/>
  <c r="CP65" i="1"/>
  <c r="O65" i="1" s="1"/>
  <c r="K241" i="5" s="1"/>
  <c r="CY63" i="1"/>
  <c r="X63" i="1" s="1"/>
  <c r="T230" i="5" s="1"/>
  <c r="CZ63" i="1"/>
  <c r="Y63" i="1" s="1"/>
  <c r="V230" i="5" s="1"/>
  <c r="CP62" i="1"/>
  <c r="O62" i="1" s="1"/>
  <c r="CY58" i="1"/>
  <c r="X58" i="1" s="1"/>
  <c r="T200" i="5" s="1"/>
  <c r="CZ50" i="1"/>
  <c r="Y50" i="1" s="1"/>
  <c r="CY48" i="1"/>
  <c r="X48" i="1" s="1"/>
  <c r="CZ48" i="1"/>
  <c r="Y48" i="1" s="1"/>
  <c r="V148" i="5" s="1"/>
  <c r="CZ47" i="1"/>
  <c r="Y47" i="1" s="1"/>
  <c r="CY47" i="1"/>
  <c r="X47" i="1" s="1"/>
  <c r="T146" i="5" s="1"/>
  <c r="CS74" i="1"/>
  <c r="R74" i="1" s="1"/>
  <c r="CX252" i="3"/>
  <c r="CX249" i="3"/>
  <c r="CX253" i="3"/>
  <c r="CX250" i="3"/>
  <c r="CX251" i="3"/>
  <c r="AB70" i="1"/>
  <c r="AD69" i="1"/>
  <c r="CR69" i="1" s="1"/>
  <c r="Q69" i="1" s="1"/>
  <c r="CS69" i="1"/>
  <c r="R69" i="1" s="1"/>
  <c r="GK69" i="1" s="1"/>
  <c r="CY66" i="1"/>
  <c r="X66" i="1" s="1"/>
  <c r="T242" i="5" s="1"/>
  <c r="CZ61" i="1"/>
  <c r="Y61" i="1" s="1"/>
  <c r="V219" i="5" s="1"/>
  <c r="CZ59" i="1"/>
  <c r="Y59" i="1" s="1"/>
  <c r="V208" i="5" s="1"/>
  <c r="CY56" i="1"/>
  <c r="X56" i="1" s="1"/>
  <c r="T189" i="5" s="1"/>
  <c r="CZ56" i="1"/>
  <c r="Y56" i="1" s="1"/>
  <c r="V189" i="5" s="1"/>
  <c r="CZ45" i="1"/>
  <c r="Y45" i="1" s="1"/>
  <c r="V136" i="5" s="1"/>
  <c r="CY45" i="1"/>
  <c r="X45" i="1" s="1"/>
  <c r="T136" i="5" s="1"/>
  <c r="AD79" i="1"/>
  <c r="CX254" i="3"/>
  <c r="CX255" i="3"/>
  <c r="AB72" i="1"/>
  <c r="AD71" i="1"/>
  <c r="CR71" i="1" s="1"/>
  <c r="CS71" i="1"/>
  <c r="CQ69" i="1"/>
  <c r="P69" i="1" s="1"/>
  <c r="CP69" i="1" s="1"/>
  <c r="O69" i="1" s="1"/>
  <c r="K252" i="5" s="1"/>
  <c r="CY60" i="1"/>
  <c r="X60" i="1" s="1"/>
  <c r="T210" i="5" s="1"/>
  <c r="AB57" i="1"/>
  <c r="CR57" i="1"/>
  <c r="Q57" i="1" s="1"/>
  <c r="BC113" i="1"/>
  <c r="CZ77" i="1"/>
  <c r="Y77" i="1" s="1"/>
  <c r="AB77" i="1"/>
  <c r="CP70" i="1"/>
  <c r="O70" i="1" s="1"/>
  <c r="BB113" i="1"/>
  <c r="F97" i="1"/>
  <c r="CG81" i="1"/>
  <c r="AO81" i="1"/>
  <c r="CY78" i="1"/>
  <c r="X78" i="1" s="1"/>
  <c r="U76" i="1"/>
  <c r="Q76" i="1"/>
  <c r="CQ73" i="1"/>
  <c r="P73" i="1" s="1"/>
  <c r="AD73" i="1"/>
  <c r="CR73" i="1" s="1"/>
  <c r="CQ71" i="1"/>
  <c r="CX232" i="3"/>
  <c r="CX236" i="3"/>
  <c r="CX229" i="3"/>
  <c r="CX233" i="3"/>
  <c r="CX237" i="3"/>
  <c r="CX230" i="3"/>
  <c r="CX234" i="3"/>
  <c r="CX231" i="3"/>
  <c r="CX235" i="3"/>
  <c r="I71" i="1"/>
  <c r="U263" i="5" s="1"/>
  <c r="T69" i="1"/>
  <c r="CZ65" i="1"/>
  <c r="Y65" i="1" s="1"/>
  <c r="V241" i="5" s="1"/>
  <c r="CY65" i="1"/>
  <c r="X65" i="1" s="1"/>
  <c r="T241" i="5" s="1"/>
  <c r="CY54" i="1"/>
  <c r="X54" i="1" s="1"/>
  <c r="T179" i="5" s="1"/>
  <c r="CP53" i="1"/>
  <c r="O53" i="1" s="1"/>
  <c r="CY52" i="1"/>
  <c r="X52" i="1" s="1"/>
  <c r="T169" i="5" s="1"/>
  <c r="CS67" i="1"/>
  <c r="AB67" i="1"/>
  <c r="I67" i="1"/>
  <c r="T65" i="1"/>
  <c r="AB65" i="1"/>
  <c r="CQ64" i="1"/>
  <c r="P64" i="1" s="1"/>
  <c r="U64" i="1"/>
  <c r="AB62" i="1"/>
  <c r="T61" i="1"/>
  <c r="AB61" i="1"/>
  <c r="CQ60" i="1"/>
  <c r="P60" i="1" s="1"/>
  <c r="K215" i="5" s="1"/>
  <c r="U60" i="1"/>
  <c r="AB58" i="1"/>
  <c r="T56" i="1"/>
  <c r="AB56" i="1"/>
  <c r="CQ54" i="1"/>
  <c r="P54" i="1" s="1"/>
  <c r="U54" i="1"/>
  <c r="Q54" i="1"/>
  <c r="AB53" i="1"/>
  <c r="T52" i="1"/>
  <c r="AB52" i="1"/>
  <c r="CQ51" i="1"/>
  <c r="P51" i="1" s="1"/>
  <c r="K165" i="5" s="1"/>
  <c r="U51" i="1"/>
  <c r="GX49" i="1"/>
  <c r="AB49" i="1"/>
  <c r="T45" i="1"/>
  <c r="AB45" i="1"/>
  <c r="AB44" i="1"/>
  <c r="GK41" i="1"/>
  <c r="CX228" i="3"/>
  <c r="CX225" i="3"/>
  <c r="CX226" i="3"/>
  <c r="CX227" i="3"/>
  <c r="AB66" i="1"/>
  <c r="V64" i="1"/>
  <c r="P63" i="1"/>
  <c r="CP63" i="1" s="1"/>
  <c r="O63" i="1" s="1"/>
  <c r="K230" i="5" s="1"/>
  <c r="CX200" i="3"/>
  <c r="CX204" i="3"/>
  <c r="CX208" i="3"/>
  <c r="CX197" i="3"/>
  <c r="CX201" i="3"/>
  <c r="CX205" i="3"/>
  <c r="CX209" i="3"/>
  <c r="CX198" i="3"/>
  <c r="CX202" i="3"/>
  <c r="CX206" i="3"/>
  <c r="CX199" i="3"/>
  <c r="CX203" i="3"/>
  <c r="CX207" i="3"/>
  <c r="V60" i="1"/>
  <c r="P59" i="1"/>
  <c r="CP59" i="1" s="1"/>
  <c r="O59" i="1" s="1"/>
  <c r="K208" i="5" s="1"/>
  <c r="CZ58" i="1"/>
  <c r="Y58" i="1" s="1"/>
  <c r="CX172" i="3"/>
  <c r="CX176" i="3"/>
  <c r="CX180" i="3"/>
  <c r="CX173" i="3"/>
  <c r="CX177" i="3"/>
  <c r="CX181" i="3"/>
  <c r="CX170" i="3"/>
  <c r="CX174" i="3"/>
  <c r="CX178" i="3"/>
  <c r="CX182" i="3"/>
  <c r="CX171" i="3"/>
  <c r="CX175" i="3"/>
  <c r="CX179" i="3"/>
  <c r="V54" i="1"/>
  <c r="CZ49" i="1"/>
  <c r="Y49" i="1" s="1"/>
  <c r="V157" i="5" s="1"/>
  <c r="CS40" i="1"/>
  <c r="R40" i="1" s="1"/>
  <c r="AD40" i="1"/>
  <c r="CR40" i="1" s="1"/>
  <c r="Q40" i="1" s="1"/>
  <c r="CP40" i="1" s="1"/>
  <c r="O40" i="1" s="1"/>
  <c r="K124" i="5" s="1"/>
  <c r="T63" i="1"/>
  <c r="AB63" i="1"/>
  <c r="U62" i="1"/>
  <c r="Q62" i="1"/>
  <c r="K224" i="5" s="1"/>
  <c r="T59" i="1"/>
  <c r="AB59" i="1"/>
  <c r="W57" i="1"/>
  <c r="S57" i="1"/>
  <c r="T50" i="1"/>
  <c r="AB50" i="1"/>
  <c r="U49" i="1"/>
  <c r="Q49" i="1"/>
  <c r="AB48" i="1"/>
  <c r="AB46" i="1"/>
  <c r="Q45" i="1"/>
  <c r="V45" i="1"/>
  <c r="CZ41" i="1"/>
  <c r="Y41" i="1" s="1"/>
  <c r="CZ64" i="1"/>
  <c r="Y64" i="1" s="1"/>
  <c r="V232" i="5" s="1"/>
  <c r="CX212" i="3"/>
  <c r="CX216" i="3"/>
  <c r="CX220" i="3"/>
  <c r="CX224" i="3"/>
  <c r="CX213" i="3"/>
  <c r="CX217" i="3"/>
  <c r="CX221" i="3"/>
  <c r="CX210" i="3"/>
  <c r="CX214" i="3"/>
  <c r="CX218" i="3"/>
  <c r="CX222" i="3"/>
  <c r="CX211" i="3"/>
  <c r="CX215" i="3"/>
  <c r="CX219" i="3"/>
  <c r="CX223" i="3"/>
  <c r="CZ60" i="1"/>
  <c r="Y60" i="1" s="1"/>
  <c r="V210" i="5" s="1"/>
  <c r="CX192" i="3"/>
  <c r="CX196" i="3"/>
  <c r="CX193" i="3"/>
  <c r="CX194" i="3"/>
  <c r="CX195" i="3"/>
  <c r="CZ54" i="1"/>
  <c r="Y54" i="1" s="1"/>
  <c r="V179" i="5" s="1"/>
  <c r="P52" i="1"/>
  <c r="CP52" i="1" s="1"/>
  <c r="O52" i="1" s="1"/>
  <c r="K169" i="5" s="1"/>
  <c r="CZ51" i="1"/>
  <c r="Y51" i="1" s="1"/>
  <c r="V160" i="5" s="1"/>
  <c r="CX132" i="3"/>
  <c r="CX136" i="3"/>
  <c r="CX133" i="3"/>
  <c r="CX137" i="3"/>
  <c r="CX130" i="3"/>
  <c r="CX134" i="3"/>
  <c r="CX138" i="3"/>
  <c r="CX131" i="3"/>
  <c r="CX135" i="3"/>
  <c r="CX139" i="3"/>
  <c r="CZ44" i="1"/>
  <c r="Y44" i="1" s="1"/>
  <c r="V135" i="5" s="1"/>
  <c r="CY44" i="1"/>
  <c r="X44" i="1" s="1"/>
  <c r="CP43" i="1"/>
  <c r="O43" i="1" s="1"/>
  <c r="CY42" i="1"/>
  <c r="X42" i="1" s="1"/>
  <c r="AB38" i="1"/>
  <c r="CQ38" i="1"/>
  <c r="P38" i="1" s="1"/>
  <c r="CY37" i="1"/>
  <c r="X37" i="1" s="1"/>
  <c r="T115" i="5" s="1"/>
  <c r="CZ37" i="1"/>
  <c r="Y37" i="1" s="1"/>
  <c r="V115" i="5" s="1"/>
  <c r="AB37" i="1"/>
  <c r="CX120" i="3"/>
  <c r="CX124" i="3"/>
  <c r="CX128" i="3"/>
  <c r="CX121" i="3"/>
  <c r="CX125" i="3"/>
  <c r="CX129" i="3"/>
  <c r="CX122" i="3"/>
  <c r="CX126" i="3"/>
  <c r="CX119" i="3"/>
  <c r="CX123" i="3"/>
  <c r="CX127" i="3"/>
  <c r="P45" i="1"/>
  <c r="CP45" i="1" s="1"/>
  <c r="O45" i="1" s="1"/>
  <c r="K136" i="5" s="1"/>
  <c r="AB43" i="1"/>
  <c r="AB41" i="1"/>
  <c r="V33" i="1"/>
  <c r="P29" i="1"/>
  <c r="CP37" i="1"/>
  <c r="O37" i="1" s="1"/>
  <c r="K115" i="5" s="1"/>
  <c r="CR30" i="1"/>
  <c r="Q30" i="1" s="1"/>
  <c r="K79" i="5" s="1"/>
  <c r="AB30" i="1"/>
  <c r="V29" i="1"/>
  <c r="AB35" i="1"/>
  <c r="CR33" i="1"/>
  <c r="Q33" i="1" s="1"/>
  <c r="K97" i="5" s="1"/>
  <c r="AB33" i="1"/>
  <c r="CX68" i="3"/>
  <c r="CX65" i="3"/>
  <c r="CX69" i="3"/>
  <c r="CX66" i="3"/>
  <c r="CX70" i="3"/>
  <c r="CX67" i="3"/>
  <c r="I34" i="1"/>
  <c r="U103" i="5" s="1"/>
  <c r="GX33" i="1"/>
  <c r="I35" i="1"/>
  <c r="CR31" i="1"/>
  <c r="Q31" i="1" s="1"/>
  <c r="K86" i="5" s="1"/>
  <c r="AB31" i="1"/>
  <c r="CY30" i="1"/>
  <c r="X30" i="1" s="1"/>
  <c r="T77" i="5" s="1"/>
  <c r="K80" i="5" s="1"/>
  <c r="CY39" i="1"/>
  <c r="X39" i="1" s="1"/>
  <c r="CZ38" i="1"/>
  <c r="Y38" i="1" s="1"/>
  <c r="V117" i="5" s="1"/>
  <c r="CY38" i="1"/>
  <c r="X38" i="1" s="1"/>
  <c r="T117" i="5" s="1"/>
  <c r="AD32" i="1"/>
  <c r="CR32" i="1" s="1"/>
  <c r="Q32" i="1" s="1"/>
  <c r="CS32" i="1"/>
  <c r="R32" i="1" s="1"/>
  <c r="GK32" i="1" s="1"/>
  <c r="CP31" i="1"/>
  <c r="O31" i="1" s="1"/>
  <c r="CR29" i="1"/>
  <c r="Q29" i="1" s="1"/>
  <c r="AB29" i="1"/>
  <c r="CX54" i="3"/>
  <c r="GX29" i="1"/>
  <c r="CQ36" i="1"/>
  <c r="P36" i="1" s="1"/>
  <c r="CQ34" i="1"/>
  <c r="CQ28" i="1"/>
  <c r="P28" i="1" s="1"/>
  <c r="CZ27" i="1"/>
  <c r="Y27" i="1" s="1"/>
  <c r="V53" i="5" s="1"/>
  <c r="K59" i="5" s="1"/>
  <c r="CY27" i="1"/>
  <c r="X27" i="1" s="1"/>
  <c r="T53" i="5" s="1"/>
  <c r="K58" i="5" s="1"/>
  <c r="CZ25" i="1"/>
  <c r="Y25" i="1" s="1"/>
  <c r="V37" i="5" s="1"/>
  <c r="K42" i="5" s="1"/>
  <c r="CY25" i="1"/>
  <c r="X25" i="1" s="1"/>
  <c r="T37" i="5" s="1"/>
  <c r="K41" i="5" s="1"/>
  <c r="CQ27" i="1"/>
  <c r="P27" i="1" s="1"/>
  <c r="AB27" i="1"/>
  <c r="AD36" i="1"/>
  <c r="CS36" i="1"/>
  <c r="R36" i="1" s="1"/>
  <c r="AD34" i="1"/>
  <c r="CR34" i="1" s="1"/>
  <c r="CS34" i="1"/>
  <c r="W33" i="1"/>
  <c r="S33" i="1"/>
  <c r="K96" i="5" s="1"/>
  <c r="CQ32" i="1"/>
  <c r="P32" i="1" s="1"/>
  <c r="AB32" i="1"/>
  <c r="CZ31" i="1"/>
  <c r="Y31" i="1" s="1"/>
  <c r="V84" i="5" s="1"/>
  <c r="CZ30" i="1"/>
  <c r="Y30" i="1" s="1"/>
  <c r="V77" i="5" s="1"/>
  <c r="K81" i="5" s="1"/>
  <c r="W29" i="1"/>
  <c r="S29" i="1"/>
  <c r="K72" i="5" s="1"/>
  <c r="CY28" i="1"/>
  <c r="X28" i="1" s="1"/>
  <c r="T62" i="5" s="1"/>
  <c r="K66" i="5" s="1"/>
  <c r="AD28" i="1"/>
  <c r="CS28" i="1"/>
  <c r="R28" i="1" s="1"/>
  <c r="K65" i="5" s="1"/>
  <c r="CX44" i="3"/>
  <c r="CX45" i="3"/>
  <c r="CX43" i="3"/>
  <c r="GX27" i="1"/>
  <c r="CX72" i="3"/>
  <c r="CX76" i="3"/>
  <c r="CX80" i="3"/>
  <c r="CX84" i="3"/>
  <c r="CX88" i="3"/>
  <c r="CX73" i="3"/>
  <c r="CX77" i="3"/>
  <c r="CX81" i="3"/>
  <c r="CX85" i="3"/>
  <c r="CX74" i="3"/>
  <c r="CX78" i="3"/>
  <c r="CX82" i="3"/>
  <c r="CX86" i="3"/>
  <c r="CX71" i="3"/>
  <c r="CX75" i="3"/>
  <c r="CX79" i="3"/>
  <c r="CX83" i="3"/>
  <c r="CX87" i="3"/>
  <c r="AB24" i="1"/>
  <c r="U27" i="1"/>
  <c r="CZ24" i="1"/>
  <c r="Y24" i="1" s="1"/>
  <c r="V29" i="5" s="1"/>
  <c r="K34" i="5" s="1"/>
  <c r="CY24" i="1"/>
  <c r="X24" i="1" s="1"/>
  <c r="T29" i="5" s="1"/>
  <c r="K33" i="5" s="1"/>
  <c r="CQ24" i="1"/>
  <c r="P24" i="1" s="1"/>
  <c r="J231" i="5" l="1"/>
  <c r="P231" i="5" s="1"/>
  <c r="W67" i="1"/>
  <c r="E243" i="5"/>
  <c r="R63" i="5"/>
  <c r="CR60" i="1"/>
  <c r="Q60" i="1" s="1"/>
  <c r="K213" i="5" s="1"/>
  <c r="H213" i="5"/>
  <c r="GK64" i="1"/>
  <c r="K236" i="5"/>
  <c r="H90" i="5"/>
  <c r="CZ70" i="1"/>
  <c r="Y70" i="1" s="1"/>
  <c r="V254" i="5" s="1"/>
  <c r="K256" i="5"/>
  <c r="R46" i="5"/>
  <c r="H121" i="5"/>
  <c r="CY55" i="1"/>
  <c r="X55" i="1" s="1"/>
  <c r="T181" i="5" s="1"/>
  <c r="K185" i="5" s="1"/>
  <c r="K182" i="5"/>
  <c r="CZ55" i="1"/>
  <c r="Y55" i="1" s="1"/>
  <c r="V181" i="5" s="1"/>
  <c r="K186" i="5" s="1"/>
  <c r="L61" i="5"/>
  <c r="Q61" i="5" s="1"/>
  <c r="L60" i="5"/>
  <c r="CP32" i="1"/>
  <c r="O32" i="1" s="1"/>
  <c r="K92" i="5" s="1"/>
  <c r="Q34" i="1"/>
  <c r="P34" i="1"/>
  <c r="GM39" i="1"/>
  <c r="T123" i="5"/>
  <c r="GX34" i="1"/>
  <c r="CZ42" i="1"/>
  <c r="Y42" i="1" s="1"/>
  <c r="GM41" i="1"/>
  <c r="V125" i="5"/>
  <c r="CP54" i="1"/>
  <c r="O54" i="1" s="1"/>
  <c r="K179" i="5" s="1"/>
  <c r="CP64" i="1"/>
  <c r="O64" i="1" s="1"/>
  <c r="K237" i="5"/>
  <c r="CY68" i="1"/>
  <c r="X68" i="1" s="1"/>
  <c r="AB71" i="1"/>
  <c r="CP76" i="1"/>
  <c r="O76" i="1" s="1"/>
  <c r="R73" i="1"/>
  <c r="GK73" i="1" s="1"/>
  <c r="GO47" i="1"/>
  <c r="AB69" i="1"/>
  <c r="CY59" i="1"/>
  <c r="X59" i="1" s="1"/>
  <c r="T208" i="5" s="1"/>
  <c r="GM47" i="1"/>
  <c r="V146" i="5"/>
  <c r="CY50" i="1"/>
  <c r="X50" i="1" s="1"/>
  <c r="CY61" i="1"/>
  <c r="X61" i="1" s="1"/>
  <c r="T219" i="5" s="1"/>
  <c r="K216" i="5" s="1"/>
  <c r="J220" i="5" s="1"/>
  <c r="P220" i="5" s="1"/>
  <c r="R72" i="5"/>
  <c r="W76" i="5"/>
  <c r="G76" i="5"/>
  <c r="O76" i="5" s="1"/>
  <c r="CR24" i="1"/>
  <c r="Q24" i="1" s="1"/>
  <c r="K31" i="5" s="1"/>
  <c r="J36" i="5" s="1"/>
  <c r="P36" i="5" s="1"/>
  <c r="H31" i="5"/>
  <c r="J83" i="5"/>
  <c r="P83" i="5" s="1"/>
  <c r="L105" i="5"/>
  <c r="Q105" i="5" s="1"/>
  <c r="L102" i="5"/>
  <c r="CR27" i="1"/>
  <c r="Q27" i="1" s="1"/>
  <c r="K56" i="5" s="1"/>
  <c r="H56" i="5"/>
  <c r="H92" i="5"/>
  <c r="W92" i="5" s="1"/>
  <c r="K129" i="5"/>
  <c r="CZ43" i="1"/>
  <c r="Y43" i="1" s="1"/>
  <c r="V128" i="5" s="1"/>
  <c r="K133" i="5" s="1"/>
  <c r="CY43" i="1"/>
  <c r="X43" i="1" s="1"/>
  <c r="T128" i="5" s="1"/>
  <c r="R172" i="5"/>
  <c r="X180" i="5"/>
  <c r="G180" i="5"/>
  <c r="O180" i="5" s="1"/>
  <c r="G199" i="5"/>
  <c r="O199" i="5" s="1"/>
  <c r="CP68" i="1"/>
  <c r="O68" i="1" s="1"/>
  <c r="K248" i="5"/>
  <c r="H192" i="5"/>
  <c r="CR56" i="1"/>
  <c r="Q56" i="1" s="1"/>
  <c r="AB60" i="1"/>
  <c r="Z305" i="5"/>
  <c r="G22" i="5" s="1"/>
  <c r="G305" i="5"/>
  <c r="O305" i="5" s="1"/>
  <c r="R301" i="5"/>
  <c r="R85" i="5"/>
  <c r="H206" i="5"/>
  <c r="CY64" i="1"/>
  <c r="X64" i="1" s="1"/>
  <c r="T232" i="5" s="1"/>
  <c r="K234" i="5"/>
  <c r="R267" i="5"/>
  <c r="H274" i="5"/>
  <c r="X274" i="5" s="1"/>
  <c r="R295" i="5"/>
  <c r="G299" i="5"/>
  <c r="O299" i="5" s="1"/>
  <c r="W299" i="5"/>
  <c r="H250" i="5"/>
  <c r="X253" i="5" s="1"/>
  <c r="H260" i="5"/>
  <c r="R30" i="5"/>
  <c r="X36" i="5"/>
  <c r="G36" i="5"/>
  <c r="O36" i="5" s="1"/>
  <c r="GK33" i="1"/>
  <c r="K98" i="5"/>
  <c r="H113" i="5"/>
  <c r="AB42" i="1"/>
  <c r="CP72" i="1"/>
  <c r="O72" i="1" s="1"/>
  <c r="K270" i="5"/>
  <c r="H140" i="5"/>
  <c r="X147" i="5" s="1"/>
  <c r="CR46" i="1"/>
  <c r="Q46" i="1" s="1"/>
  <c r="E252" i="5"/>
  <c r="W69" i="1"/>
  <c r="BB22" i="1"/>
  <c r="F94" i="1"/>
  <c r="U69" i="1"/>
  <c r="R313" i="5"/>
  <c r="G317" i="5"/>
  <c r="O317" i="5" s="1"/>
  <c r="Z317" i="5"/>
  <c r="CP28" i="1"/>
  <c r="O28" i="1" s="1"/>
  <c r="U34" i="1"/>
  <c r="E103" i="5"/>
  <c r="GO42" i="1"/>
  <c r="T126" i="5"/>
  <c r="L244" i="5"/>
  <c r="Q244" i="5" s="1"/>
  <c r="L240" i="5"/>
  <c r="GO50" i="1"/>
  <c r="V158" i="5"/>
  <c r="K155" i="5" s="1"/>
  <c r="GX73" i="1"/>
  <c r="R307" i="5"/>
  <c r="Z311" i="5"/>
  <c r="G311" i="5"/>
  <c r="O311" i="5" s="1"/>
  <c r="GK26" i="1"/>
  <c r="K48" i="5"/>
  <c r="H100" i="5"/>
  <c r="CR28" i="1"/>
  <c r="Q28" i="1" s="1"/>
  <c r="K64" i="5" s="1"/>
  <c r="H64" i="5"/>
  <c r="X69" i="5" s="1"/>
  <c r="GK36" i="1"/>
  <c r="K110" i="5"/>
  <c r="CP27" i="1"/>
  <c r="O27" i="1" s="1"/>
  <c r="K111" i="5"/>
  <c r="CP33" i="1"/>
  <c r="O33" i="1" s="1"/>
  <c r="CP30" i="1"/>
  <c r="O30" i="1" s="1"/>
  <c r="V35" i="1"/>
  <c r="E104" i="5"/>
  <c r="CP38" i="1"/>
  <c r="O38" i="1" s="1"/>
  <c r="K119" i="5"/>
  <c r="CP55" i="1"/>
  <c r="O55" i="1" s="1"/>
  <c r="CP49" i="1"/>
  <c r="O49" i="1" s="1"/>
  <c r="K157" i="5" s="1"/>
  <c r="L170" i="5"/>
  <c r="Q170" i="5" s="1"/>
  <c r="L168" i="5"/>
  <c r="L299" i="5"/>
  <c r="Q299" i="5" s="1"/>
  <c r="L298" i="5"/>
  <c r="V73" i="1"/>
  <c r="CZ68" i="1"/>
  <c r="Y68" i="1" s="1"/>
  <c r="V245" i="5" s="1"/>
  <c r="K250" i="5" s="1"/>
  <c r="W73" i="1"/>
  <c r="G137" i="5"/>
  <c r="O137" i="5" s="1"/>
  <c r="L116" i="5"/>
  <c r="Q116" i="5" s="1"/>
  <c r="L114" i="5"/>
  <c r="R38" i="5"/>
  <c r="X44" i="5"/>
  <c r="G44" i="5"/>
  <c r="O44" i="5" s="1"/>
  <c r="R78" i="5"/>
  <c r="W83" i="5"/>
  <c r="G83" i="5"/>
  <c r="O83" i="5" s="1"/>
  <c r="H103" i="5"/>
  <c r="W103" i="5" s="1"/>
  <c r="GK27" i="1"/>
  <c r="K57" i="5"/>
  <c r="GK31" i="1"/>
  <c r="K87" i="5"/>
  <c r="U104" i="5"/>
  <c r="H101" i="5" s="1"/>
  <c r="H143" i="5"/>
  <c r="CR51" i="1"/>
  <c r="Q51" i="1" s="1"/>
  <c r="K163" i="5" s="1"/>
  <c r="J170" i="5" s="1"/>
  <c r="P170" i="5" s="1"/>
  <c r="H163" i="5"/>
  <c r="G170" i="5" s="1"/>
  <c r="O170" i="5" s="1"/>
  <c r="R191" i="5"/>
  <c r="X199" i="5"/>
  <c r="S243" i="5"/>
  <c r="H238" i="5" s="1"/>
  <c r="R223" i="5"/>
  <c r="G231" i="5"/>
  <c r="O231" i="5" s="1"/>
  <c r="S274" i="5"/>
  <c r="R278" i="5"/>
  <c r="G285" i="5"/>
  <c r="O285" i="5" s="1"/>
  <c r="X285" i="5"/>
  <c r="H47" i="5"/>
  <c r="G52" i="5" s="1"/>
  <c r="O52" i="5" s="1"/>
  <c r="CR26" i="1"/>
  <c r="Q26" i="1" s="1"/>
  <c r="R55" i="5"/>
  <c r="G61" i="5"/>
  <c r="O61" i="5" s="1"/>
  <c r="W61" i="5"/>
  <c r="K85" i="5"/>
  <c r="CY31" i="1"/>
  <c r="X31" i="1" s="1"/>
  <c r="T84" i="5" s="1"/>
  <c r="H154" i="5"/>
  <c r="G159" i="5" s="1"/>
  <c r="O159" i="5" s="1"/>
  <c r="GK51" i="1"/>
  <c r="K164" i="5"/>
  <c r="H205" i="5"/>
  <c r="X209" i="5" s="1"/>
  <c r="H271" i="5"/>
  <c r="AB78" i="1"/>
  <c r="R247" i="5"/>
  <c r="H261" i="5"/>
  <c r="S103" i="5"/>
  <c r="H126" i="5"/>
  <c r="X126" i="5" s="1"/>
  <c r="K144" i="5"/>
  <c r="R162" i="5"/>
  <c r="R118" i="5"/>
  <c r="CY49" i="1"/>
  <c r="X49" i="1" s="1"/>
  <c r="T157" i="5" s="1"/>
  <c r="R182" i="5"/>
  <c r="X188" i="5"/>
  <c r="G188" i="5"/>
  <c r="O188" i="5" s="1"/>
  <c r="J317" i="5"/>
  <c r="P317" i="5" s="1"/>
  <c r="R139" i="5"/>
  <c r="GK62" i="1"/>
  <c r="K225" i="5"/>
  <c r="H288" i="5"/>
  <c r="CR75" i="1"/>
  <c r="Q75" i="1" s="1"/>
  <c r="K288" i="5" s="1"/>
  <c r="J292" i="5" s="1"/>
  <c r="P292" i="5" s="1"/>
  <c r="AB75" i="1"/>
  <c r="K174" i="5"/>
  <c r="GK53" i="1"/>
  <c r="K143" i="5"/>
  <c r="H243" i="5"/>
  <c r="X243" i="5" s="1"/>
  <c r="CP25" i="1"/>
  <c r="O25" i="1" s="1"/>
  <c r="GO25" i="1" s="1"/>
  <c r="CR36" i="1"/>
  <c r="Q36" i="1" s="1"/>
  <c r="K109" i="5" s="1"/>
  <c r="H109" i="5"/>
  <c r="AB28" i="1"/>
  <c r="T135" i="5"/>
  <c r="K167" i="5"/>
  <c r="L229" i="5"/>
  <c r="L231" i="5"/>
  <c r="Q231" i="5" s="1"/>
  <c r="V200" i="5"/>
  <c r="K206" i="5" s="1"/>
  <c r="CZ62" i="1"/>
  <c r="Y62" i="1" s="1"/>
  <c r="V221" i="5" s="1"/>
  <c r="K228" i="5" s="1"/>
  <c r="W71" i="1"/>
  <c r="E263" i="5"/>
  <c r="Q73" i="1"/>
  <c r="GP78" i="1"/>
  <c r="T306" i="5"/>
  <c r="K308" i="5" s="1"/>
  <c r="J311" i="5" s="1"/>
  <c r="P311" i="5" s="1"/>
  <c r="GP77" i="1"/>
  <c r="V300" i="5"/>
  <c r="K303" i="5" s="1"/>
  <c r="CY53" i="1"/>
  <c r="X53" i="1" s="1"/>
  <c r="T171" i="5" s="1"/>
  <c r="K176" i="5" s="1"/>
  <c r="J180" i="5" s="1"/>
  <c r="P180" i="5" s="1"/>
  <c r="CZ66" i="1"/>
  <c r="Y66" i="1" s="1"/>
  <c r="V242" i="5" s="1"/>
  <c r="GO48" i="1"/>
  <c r="T148" i="5"/>
  <c r="K205" i="5"/>
  <c r="CY70" i="1"/>
  <c r="X70" i="1" s="1"/>
  <c r="T254" i="5" s="1"/>
  <c r="CP75" i="1"/>
  <c r="O75" i="1" s="1"/>
  <c r="GN75" i="1" s="1"/>
  <c r="GK25" i="1"/>
  <c r="K40" i="5"/>
  <c r="H124" i="5"/>
  <c r="X124" i="5" s="1"/>
  <c r="K152" i="5"/>
  <c r="GK48" i="1"/>
  <c r="GM48" i="1" s="1"/>
  <c r="S104" i="5"/>
  <c r="H144" i="5"/>
  <c r="U243" i="5"/>
  <c r="H239" i="5" s="1"/>
  <c r="H252" i="5"/>
  <c r="X252" i="5" s="1"/>
  <c r="CY26" i="1"/>
  <c r="X26" i="1" s="1"/>
  <c r="T45" i="5" s="1"/>
  <c r="K49" i="5" s="1"/>
  <c r="H227" i="5"/>
  <c r="X231" i="5" s="1"/>
  <c r="U274" i="5"/>
  <c r="H272" i="5" s="1"/>
  <c r="CY77" i="1"/>
  <c r="X77" i="1" s="1"/>
  <c r="T300" i="5" s="1"/>
  <c r="K302" i="5" s="1"/>
  <c r="K301" i="5"/>
  <c r="J61" i="5"/>
  <c r="P61" i="5" s="1"/>
  <c r="H89" i="5"/>
  <c r="W93" i="5" s="1"/>
  <c r="L251" i="5"/>
  <c r="L253" i="5"/>
  <c r="Q253" i="5" s="1"/>
  <c r="CZ72" i="1"/>
  <c r="Y72" i="1" s="1"/>
  <c r="V265" i="5" s="1"/>
  <c r="K267" i="5"/>
  <c r="CY72" i="1"/>
  <c r="X72" i="1" s="1"/>
  <c r="T265" i="5" s="1"/>
  <c r="X264" i="5"/>
  <c r="R256" i="5"/>
  <c r="AB26" i="1"/>
  <c r="R108" i="5"/>
  <c r="G116" i="5"/>
  <c r="O116" i="5" s="1"/>
  <c r="W116" i="5"/>
  <c r="CP39" i="1"/>
  <c r="O39" i="1" s="1"/>
  <c r="K123" i="5" s="1"/>
  <c r="CP44" i="1"/>
  <c r="O44" i="1" s="1"/>
  <c r="K135" i="5" s="1"/>
  <c r="H167" i="5"/>
  <c r="CP58" i="1"/>
  <c r="O58" i="1" s="1"/>
  <c r="GM58" i="1" s="1"/>
  <c r="K204" i="5"/>
  <c r="J209" i="5" s="1"/>
  <c r="P209" i="5" s="1"/>
  <c r="H263" i="5"/>
  <c r="X263" i="5" s="1"/>
  <c r="H120" i="5"/>
  <c r="X127" i="5" s="1"/>
  <c r="GK46" i="1"/>
  <c r="K141" i="5"/>
  <c r="L220" i="5"/>
  <c r="Q220" i="5" s="1"/>
  <c r="L218" i="5"/>
  <c r="CP61" i="1"/>
  <c r="O61" i="1" s="1"/>
  <c r="K219" i="5" s="1"/>
  <c r="G220" i="5"/>
  <c r="O220" i="5" s="1"/>
  <c r="X220" i="5"/>
  <c r="K217" i="5"/>
  <c r="GK74" i="1"/>
  <c r="K280" i="5"/>
  <c r="CP74" i="1"/>
  <c r="O74" i="1" s="1"/>
  <c r="K279" i="5"/>
  <c r="GM49" i="1"/>
  <c r="CZ28" i="1"/>
  <c r="Y28" i="1" s="1"/>
  <c r="V62" i="5" s="1"/>
  <c r="K67" i="5" s="1"/>
  <c r="GK28" i="1"/>
  <c r="U35" i="1"/>
  <c r="CY32" i="1"/>
  <c r="X32" i="1" s="1"/>
  <c r="W34" i="1"/>
  <c r="S67" i="1"/>
  <c r="GX71" i="1"/>
  <c r="U67" i="1"/>
  <c r="CZ33" i="1"/>
  <c r="Y33" i="1" s="1"/>
  <c r="CY33" i="1"/>
  <c r="X33" i="1" s="1"/>
  <c r="T94" i="5" s="1"/>
  <c r="V34" i="1"/>
  <c r="AB34" i="1"/>
  <c r="AB36" i="1"/>
  <c r="T34" i="1"/>
  <c r="S34" i="1"/>
  <c r="CP29" i="1"/>
  <c r="O29" i="1" s="1"/>
  <c r="GM38" i="1"/>
  <c r="GO38" i="1"/>
  <c r="GO43" i="1"/>
  <c r="GM43" i="1"/>
  <c r="AB40" i="1"/>
  <c r="GK40" i="1"/>
  <c r="CY40" i="1"/>
  <c r="X40" i="1" s="1"/>
  <c r="CZ40" i="1"/>
  <c r="Y40" i="1" s="1"/>
  <c r="V124" i="5" s="1"/>
  <c r="CP51" i="1"/>
  <c r="O51" i="1" s="1"/>
  <c r="CP60" i="1"/>
  <c r="O60" i="1" s="1"/>
  <c r="GX67" i="1"/>
  <c r="BB18" i="1"/>
  <c r="F126" i="1"/>
  <c r="CR79" i="1"/>
  <c r="Q79" i="1" s="1"/>
  <c r="CP79" i="1" s="1"/>
  <c r="O79" i="1" s="1"/>
  <c r="AB79" i="1"/>
  <c r="Q67" i="1"/>
  <c r="GM65" i="1"/>
  <c r="GO65" i="1"/>
  <c r="CY74" i="1"/>
  <c r="X74" i="1" s="1"/>
  <c r="T276" i="5" s="1"/>
  <c r="K282" i="5" s="1"/>
  <c r="CZ74" i="1"/>
  <c r="Y74" i="1" s="1"/>
  <c r="AQ22" i="1"/>
  <c r="AQ113" i="1"/>
  <c r="F91" i="1"/>
  <c r="CI22" i="1"/>
  <c r="AZ81" i="1"/>
  <c r="GM77" i="1"/>
  <c r="GM27" i="1"/>
  <c r="GN27" i="1"/>
  <c r="GN33" i="1"/>
  <c r="T35" i="1"/>
  <c r="GX35" i="1"/>
  <c r="R35" i="1"/>
  <c r="GK35" i="1" s="1"/>
  <c r="GM59" i="1"/>
  <c r="GO59" i="1"/>
  <c r="GM70" i="1"/>
  <c r="GO70" i="1"/>
  <c r="V67" i="1"/>
  <c r="GM62" i="1"/>
  <c r="GO62" i="1"/>
  <c r="GM66" i="1"/>
  <c r="GO66" i="1"/>
  <c r="T71" i="1"/>
  <c r="U71" i="1"/>
  <c r="CZ69" i="1"/>
  <c r="Y69" i="1" s="1"/>
  <c r="V252" i="5" s="1"/>
  <c r="CP34" i="1"/>
  <c r="O34" i="1" s="1"/>
  <c r="K103" i="5" s="1"/>
  <c r="GM30" i="1"/>
  <c r="GN30" i="1"/>
  <c r="CZ36" i="1"/>
  <c r="Y36" i="1" s="1"/>
  <c r="GM45" i="1"/>
  <c r="GO45" i="1"/>
  <c r="GM63" i="1"/>
  <c r="GO63" i="1"/>
  <c r="AO22" i="1"/>
  <c r="F85" i="1"/>
  <c r="AO113" i="1"/>
  <c r="CP24" i="1"/>
  <c r="O24" i="1" s="1"/>
  <c r="CZ29" i="1"/>
  <c r="Y29" i="1" s="1"/>
  <c r="V70" i="5" s="1"/>
  <c r="K74" i="5" s="1"/>
  <c r="CY29" i="1"/>
  <c r="X29" i="1" s="1"/>
  <c r="T70" i="5" s="1"/>
  <c r="K73" i="5" s="1"/>
  <c r="J76" i="5" s="1"/>
  <c r="P76" i="5" s="1"/>
  <c r="R34" i="1"/>
  <c r="GK34" i="1" s="1"/>
  <c r="Q35" i="1"/>
  <c r="GM31" i="1"/>
  <c r="GN31" i="1"/>
  <c r="S35" i="1"/>
  <c r="CY36" i="1"/>
  <c r="X36" i="1" s="1"/>
  <c r="CZ32" i="1"/>
  <c r="Y32" i="1" s="1"/>
  <c r="V92" i="5" s="1"/>
  <c r="K90" i="5" s="1"/>
  <c r="P35" i="1"/>
  <c r="GO52" i="1"/>
  <c r="GM52" i="1"/>
  <c r="CY57" i="1"/>
  <c r="X57" i="1" s="1"/>
  <c r="CZ57" i="1"/>
  <c r="Y57" i="1" s="1"/>
  <c r="V198" i="5" s="1"/>
  <c r="K196" i="5" s="1"/>
  <c r="GO39" i="1"/>
  <c r="GM54" i="1"/>
  <c r="GO54" i="1"/>
  <c r="GM64" i="1"/>
  <c r="GO64" i="1"/>
  <c r="GO53" i="1"/>
  <c r="GM53" i="1"/>
  <c r="T67" i="1"/>
  <c r="P71" i="1"/>
  <c r="CP71" i="1" s="1"/>
  <c r="O71" i="1" s="1"/>
  <c r="K263" i="5" s="1"/>
  <c r="CG22" i="1"/>
  <c r="AX81" i="1"/>
  <c r="V71" i="1"/>
  <c r="BC18" i="1"/>
  <c r="F129" i="1"/>
  <c r="P67" i="1"/>
  <c r="R71" i="1"/>
  <c r="GK71" i="1" s="1"/>
  <c r="GO41" i="1"/>
  <c r="T73" i="1"/>
  <c r="U73" i="1"/>
  <c r="AB73" i="1"/>
  <c r="GM75" i="1"/>
  <c r="CZ76" i="1"/>
  <c r="Y76" i="1" s="1"/>
  <c r="V293" i="5" s="1"/>
  <c r="K297" i="5" s="1"/>
  <c r="CY76" i="1"/>
  <c r="X76" i="1" s="1"/>
  <c r="S73" i="1"/>
  <c r="CY69" i="1"/>
  <c r="X69" i="1" s="1"/>
  <c r="GM69" i="1" s="1"/>
  <c r="GM28" i="1"/>
  <c r="GO28" i="1"/>
  <c r="W35" i="1"/>
  <c r="AJ81" i="1" s="1"/>
  <c r="GM37" i="1"/>
  <c r="GN37" i="1"/>
  <c r="R67" i="1"/>
  <c r="GK67" i="1" s="1"/>
  <c r="Q71" i="1"/>
  <c r="GO57" i="1"/>
  <c r="S71" i="1"/>
  <c r="AP22" i="1"/>
  <c r="AP113" i="1"/>
  <c r="F90" i="1"/>
  <c r="X244" i="5" l="1"/>
  <c r="G244" i="5"/>
  <c r="O244" i="5" s="1"/>
  <c r="G275" i="5"/>
  <c r="O275" i="5" s="1"/>
  <c r="GM36" i="1"/>
  <c r="V106" i="5"/>
  <c r="K113" i="5" s="1"/>
  <c r="AI81" i="1"/>
  <c r="AH81" i="1"/>
  <c r="L318" i="5"/>
  <c r="GO58" i="1"/>
  <c r="X170" i="5"/>
  <c r="G253" i="5"/>
  <c r="O253" i="5" s="1"/>
  <c r="K89" i="5"/>
  <c r="CP36" i="1"/>
  <c r="O36" i="1" s="1"/>
  <c r="X159" i="5"/>
  <c r="GM42" i="1"/>
  <c r="V126" i="5"/>
  <c r="K121" i="5" s="1"/>
  <c r="GM61" i="1"/>
  <c r="GM25" i="1"/>
  <c r="GM57" i="1"/>
  <c r="T198" i="5"/>
  <c r="K195" i="5" s="1"/>
  <c r="GO44" i="1"/>
  <c r="GM55" i="1"/>
  <c r="J305" i="5"/>
  <c r="P305" i="5" s="1"/>
  <c r="GM44" i="1"/>
  <c r="G147" i="5"/>
  <c r="O147" i="5" s="1"/>
  <c r="G127" i="5"/>
  <c r="O127" i="5" s="1"/>
  <c r="J93" i="5"/>
  <c r="P93" i="5" s="1"/>
  <c r="K47" i="5"/>
  <c r="J52" i="5" s="1"/>
  <c r="P52" i="5" s="1"/>
  <c r="CP26" i="1"/>
  <c r="O26" i="1" s="1"/>
  <c r="K192" i="5"/>
  <c r="J199" i="5" s="1"/>
  <c r="P199" i="5" s="1"/>
  <c r="CP56" i="1"/>
  <c r="O56" i="1" s="1"/>
  <c r="K132" i="5"/>
  <c r="T158" i="5"/>
  <c r="GM50" i="1"/>
  <c r="X52" i="5"/>
  <c r="G20" i="5" s="1"/>
  <c r="G69" i="5"/>
  <c r="O69" i="5" s="1"/>
  <c r="G318" i="5" s="1"/>
  <c r="GM32" i="1"/>
  <c r="T92" i="5"/>
  <c r="GN32" i="1"/>
  <c r="G105" i="5"/>
  <c r="O105" i="5" s="1"/>
  <c r="W105" i="5"/>
  <c r="G24" i="5"/>
  <c r="G93" i="5"/>
  <c r="O93" i="5" s="1"/>
  <c r="GM76" i="1"/>
  <c r="T293" i="5"/>
  <c r="K296" i="5" s="1"/>
  <c r="J299" i="5" s="1"/>
  <c r="P299" i="5" s="1"/>
  <c r="GO69" i="1"/>
  <c r="T252" i="5"/>
  <c r="GN36" i="1"/>
  <c r="T106" i="5"/>
  <c r="K112" i="5" s="1"/>
  <c r="J116" i="5" s="1"/>
  <c r="P116" i="5" s="1"/>
  <c r="AD81" i="1"/>
  <c r="GO68" i="1"/>
  <c r="CJ81" i="1"/>
  <c r="GO40" i="1"/>
  <c r="T124" i="5"/>
  <c r="K120" i="5" s="1"/>
  <c r="GO55" i="1"/>
  <c r="GM33" i="1"/>
  <c r="V94" i="5"/>
  <c r="GO49" i="1"/>
  <c r="G264" i="5"/>
  <c r="O264" i="5" s="1"/>
  <c r="K154" i="5"/>
  <c r="J159" i="5" s="1"/>
  <c r="P159" i="5" s="1"/>
  <c r="G292" i="5"/>
  <c r="O292" i="5" s="1"/>
  <c r="W292" i="5"/>
  <c r="J69" i="5"/>
  <c r="P69" i="5" s="1"/>
  <c r="K140" i="5"/>
  <c r="J147" i="5" s="1"/>
  <c r="P147" i="5" s="1"/>
  <c r="CP46" i="1"/>
  <c r="O46" i="1" s="1"/>
  <c r="GO72" i="1"/>
  <c r="GM72" i="1"/>
  <c r="X275" i="5"/>
  <c r="G209" i="5"/>
  <c r="O209" i="5" s="1"/>
  <c r="J137" i="5"/>
  <c r="P137" i="5" s="1"/>
  <c r="GM68" i="1"/>
  <c r="T245" i="5"/>
  <c r="K249" i="5" s="1"/>
  <c r="J253" i="5" s="1"/>
  <c r="P253" i="5" s="1"/>
  <c r="J188" i="5"/>
  <c r="P188" i="5" s="1"/>
  <c r="GO61" i="1"/>
  <c r="GO74" i="1"/>
  <c r="V276" i="5"/>
  <c r="K283" i="5" s="1"/>
  <c r="J285" i="5" s="1"/>
  <c r="P285" i="5" s="1"/>
  <c r="G16" i="2"/>
  <c r="G18" i="2" s="1"/>
  <c r="I21" i="5"/>
  <c r="CJ22" i="1"/>
  <c r="BA81" i="1"/>
  <c r="AI22" i="1"/>
  <c r="V81" i="1"/>
  <c r="AH22" i="1"/>
  <c r="U81" i="1"/>
  <c r="AP18" i="1"/>
  <c r="F122" i="1"/>
  <c r="CY73" i="1"/>
  <c r="X73" i="1" s="1"/>
  <c r="T274" i="5" s="1"/>
  <c r="K271" i="5" s="1"/>
  <c r="CZ73" i="1"/>
  <c r="Y73" i="1" s="1"/>
  <c r="V274" i="5" s="1"/>
  <c r="K272" i="5" s="1"/>
  <c r="CP35" i="1"/>
  <c r="O35" i="1" s="1"/>
  <c r="K104" i="5" s="1"/>
  <c r="AJ22" i="1"/>
  <c r="W81" i="1"/>
  <c r="CP67" i="1"/>
  <c r="O67" i="1" s="1"/>
  <c r="K243" i="5" s="1"/>
  <c r="AX22" i="1"/>
  <c r="AX113" i="1"/>
  <c r="F88" i="1"/>
  <c r="GM51" i="1"/>
  <c r="GO51" i="1"/>
  <c r="CY34" i="1"/>
  <c r="X34" i="1" s="1"/>
  <c r="T103" i="5" s="1"/>
  <c r="K100" i="5" s="1"/>
  <c r="CZ34" i="1"/>
  <c r="Y34" i="1" s="1"/>
  <c r="V103" i="5" s="1"/>
  <c r="GN76" i="1"/>
  <c r="AG81" i="1"/>
  <c r="GM40" i="1"/>
  <c r="AQ18" i="1"/>
  <c r="F123" i="1"/>
  <c r="CY67" i="1"/>
  <c r="X67" i="1" s="1"/>
  <c r="T243" i="5" s="1"/>
  <c r="K238" i="5" s="1"/>
  <c r="J244" i="5" s="1"/>
  <c r="P244" i="5" s="1"/>
  <c r="CZ67" i="1"/>
  <c r="Y67" i="1" s="1"/>
  <c r="V243" i="5" s="1"/>
  <c r="K239" i="5" s="1"/>
  <c r="GM74" i="1"/>
  <c r="CZ35" i="1"/>
  <c r="Y35" i="1" s="1"/>
  <c r="V104" i="5" s="1"/>
  <c r="CY35" i="1"/>
  <c r="X35" i="1" s="1"/>
  <c r="T104" i="5" s="1"/>
  <c r="AF81" i="1"/>
  <c r="AZ22" i="1"/>
  <c r="F92" i="1"/>
  <c r="AZ113" i="1"/>
  <c r="GP79" i="1"/>
  <c r="CD81" i="1" s="1"/>
  <c r="GM79" i="1"/>
  <c r="GM60" i="1"/>
  <c r="GO60" i="1"/>
  <c r="GM29" i="1"/>
  <c r="GN29" i="1"/>
  <c r="AE81" i="1"/>
  <c r="AD22" i="1"/>
  <c r="Q81" i="1"/>
  <c r="CP73" i="1"/>
  <c r="O73" i="1" s="1"/>
  <c r="K274" i="5" s="1"/>
  <c r="AC81" i="1"/>
  <c r="AO18" i="1"/>
  <c r="F117" i="1"/>
  <c r="CY71" i="1"/>
  <c r="X71" i="1" s="1"/>
  <c r="CZ71" i="1"/>
  <c r="Y71" i="1" s="1"/>
  <c r="V263" i="5" s="1"/>
  <c r="K261" i="5" s="1"/>
  <c r="GM24" i="1"/>
  <c r="GO24" i="1"/>
  <c r="AB81" i="1"/>
  <c r="J275" i="5" l="1"/>
  <c r="P275" i="5" s="1"/>
  <c r="J264" i="5"/>
  <c r="P264" i="5" s="1"/>
  <c r="GO71" i="1"/>
  <c r="T263" i="5"/>
  <c r="K260" i="5" s="1"/>
  <c r="K101" i="5"/>
  <c r="J105" i="5" s="1"/>
  <c r="P105" i="5" s="1"/>
  <c r="J318" i="5" s="1"/>
  <c r="G19" i="5"/>
  <c r="G18" i="5"/>
  <c r="GM26" i="1"/>
  <c r="GO26" i="1"/>
  <c r="AL81" i="1"/>
  <c r="AL22" i="1" s="1"/>
  <c r="GO46" i="1"/>
  <c r="GM46" i="1"/>
  <c r="J127" i="5"/>
  <c r="P127" i="5" s="1"/>
  <c r="GO56" i="1"/>
  <c r="CC81" i="1" s="1"/>
  <c r="GM56" i="1"/>
  <c r="GO73" i="1"/>
  <c r="GM73" i="1"/>
  <c r="AK81" i="1"/>
  <c r="AX18" i="1"/>
  <c r="F120" i="1"/>
  <c r="U22" i="1"/>
  <c r="F103" i="1"/>
  <c r="I23" i="5" s="1"/>
  <c r="G23" i="5" s="1"/>
  <c r="U113" i="1"/>
  <c r="Q22" i="1"/>
  <c r="F93" i="1"/>
  <c r="Q113" i="1"/>
  <c r="AF22" i="1"/>
  <c r="S81" i="1"/>
  <c r="AG22" i="1"/>
  <c r="T81" i="1"/>
  <c r="GM35" i="1"/>
  <c r="GN35" i="1"/>
  <c r="BA22" i="1"/>
  <c r="F101" i="1"/>
  <c r="BA113" i="1"/>
  <c r="AC22" i="1"/>
  <c r="CE81" i="1"/>
  <c r="CH81" i="1"/>
  <c r="CF81" i="1"/>
  <c r="P81" i="1"/>
  <c r="AE22" i="1"/>
  <c r="R81" i="1"/>
  <c r="GM71" i="1"/>
  <c r="W22" i="1"/>
  <c r="F105" i="1"/>
  <c r="W113" i="1"/>
  <c r="GN34" i="1"/>
  <c r="CB81" i="1" s="1"/>
  <c r="AB22" i="1"/>
  <c r="O81" i="1"/>
  <c r="Y81" i="1"/>
  <c r="CD22" i="1"/>
  <c r="AU81" i="1"/>
  <c r="AZ18" i="1"/>
  <c r="F124" i="1"/>
  <c r="GM67" i="1"/>
  <c r="GO67" i="1"/>
  <c r="GM34" i="1"/>
  <c r="V22" i="1"/>
  <c r="F104" i="1"/>
  <c r="V113" i="1"/>
  <c r="CA81" i="1" l="1"/>
  <c r="CB22" i="1"/>
  <c r="AS81" i="1"/>
  <c r="CA22" i="1"/>
  <c r="AR81" i="1"/>
  <c r="P22" i="1"/>
  <c r="F84" i="1"/>
  <c r="P113" i="1"/>
  <c r="S22" i="1"/>
  <c r="S113" i="1"/>
  <c r="F96" i="1"/>
  <c r="Y22" i="1"/>
  <c r="F107" i="1"/>
  <c r="Y113" i="1"/>
  <c r="CF22" i="1"/>
  <c r="AW81" i="1"/>
  <c r="BA18" i="1"/>
  <c r="F133" i="1"/>
  <c r="V18" i="1"/>
  <c r="F136" i="1"/>
  <c r="W18" i="1"/>
  <c r="F137" i="1"/>
  <c r="CH22" i="1"/>
  <c r="AY81" i="1"/>
  <c r="Q18" i="1"/>
  <c r="F125" i="1"/>
  <c r="AU22" i="1"/>
  <c r="F100" i="1"/>
  <c r="AU113" i="1"/>
  <c r="O22" i="1"/>
  <c r="O113" i="1"/>
  <c r="F83" i="1"/>
  <c r="CE22" i="1"/>
  <c r="AV81" i="1"/>
  <c r="AK22" i="1"/>
  <c r="X81" i="1"/>
  <c r="CC22" i="1"/>
  <c r="AT81" i="1"/>
  <c r="R22" i="1"/>
  <c r="F95" i="1"/>
  <c r="R113" i="1"/>
  <c r="T22" i="1"/>
  <c r="F102" i="1"/>
  <c r="T113" i="1"/>
  <c r="U18" i="1"/>
  <c r="F135" i="1"/>
  <c r="H16" i="2" l="1"/>
  <c r="H18" i="2" s="1"/>
  <c r="I22" i="5"/>
  <c r="J16" i="2"/>
  <c r="J18" i="2" s="1"/>
  <c r="I24" i="5"/>
  <c r="T18" i="1"/>
  <c r="F134" i="1"/>
  <c r="AY22" i="1"/>
  <c r="F89" i="1"/>
  <c r="AY113" i="1"/>
  <c r="AW22" i="1"/>
  <c r="F87" i="1"/>
  <c r="AW113" i="1"/>
  <c r="P18" i="1"/>
  <c r="F116" i="1"/>
  <c r="O18" i="1"/>
  <c r="F115" i="1"/>
  <c r="AS22" i="1"/>
  <c r="F98" i="1"/>
  <c r="AS113" i="1"/>
  <c r="AT22" i="1"/>
  <c r="AT113" i="1"/>
  <c r="F99" i="1"/>
  <c r="AV22" i="1"/>
  <c r="F86" i="1"/>
  <c r="AV113" i="1"/>
  <c r="Y18" i="1"/>
  <c r="F139" i="1"/>
  <c r="R18" i="1"/>
  <c r="F127" i="1"/>
  <c r="AU18" i="1"/>
  <c r="F132" i="1"/>
  <c r="AR22" i="1"/>
  <c r="AR113" i="1"/>
  <c r="F108" i="1"/>
  <c r="F109" i="1" s="1"/>
  <c r="J319" i="5" s="1"/>
  <c r="X22" i="1"/>
  <c r="F106" i="1"/>
  <c r="X113" i="1"/>
  <c r="S18" i="1"/>
  <c r="F128" i="1"/>
  <c r="F16" i="2" l="1"/>
  <c r="F18" i="2" s="1"/>
  <c r="I20" i="5"/>
  <c r="E16" i="2"/>
  <c r="E18" i="2" s="1"/>
  <c r="I19" i="5"/>
  <c r="AS18" i="1"/>
  <c r="F130" i="1"/>
  <c r="F110" i="1"/>
  <c r="X18" i="1"/>
  <c r="F138" i="1"/>
  <c r="AR18" i="1"/>
  <c r="F140" i="1"/>
  <c r="AV18" i="1"/>
  <c r="F118" i="1"/>
  <c r="AT18" i="1"/>
  <c r="F131" i="1"/>
  <c r="AY18" i="1"/>
  <c r="F121" i="1"/>
  <c r="AW18" i="1"/>
  <c r="F119" i="1"/>
  <c r="I16" i="2" l="1"/>
  <c r="I18" i="2" s="1"/>
  <c r="F111" i="1"/>
  <c r="J320" i="5"/>
  <c r="J321" i="5" l="1"/>
  <c r="I18" i="5"/>
</calcChain>
</file>

<file path=xl/sharedStrings.xml><?xml version="1.0" encoding="utf-8"?>
<sst xmlns="http://schemas.openxmlformats.org/spreadsheetml/2006/main" count="5986" uniqueCount="674">
  <si>
    <t>Smeta.RU  (495) 974-1589</t>
  </si>
  <si>
    <t>_PS_</t>
  </si>
  <si>
    <t>Smeta.RU</t>
  </si>
  <si>
    <t/>
  </si>
  <si>
    <t>Новый объект</t>
  </si>
  <si>
    <t>Волга ЭЛЕКТРИЧЕСТВО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</si>
  <si>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</si>
  <si>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</si>
  <si>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</si>
  <si>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</si>
  <si>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</si>
  <si>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</si>
  <si>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</si>
  <si>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м08-01-011-02</t>
  </si>
  <si>
    <t>Демонтаж: Разъединитель трехполюсный напряжением 35 кВ, на ток 1000А с одним или двумя заземляющими ножами</t>
  </si>
  <si>
    <t>КОМПЛ</t>
  </si>
  <si>
    <t>ФЕРм-2001, м08-01-011-02,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</si>
  <si>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</si>
  <si>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</si>
  <si>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</si>
  <si>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</si>
  <si>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</si>
  <si>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</si>
  <si>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</si>
  <si>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2</t>
  </si>
  <si>
    <t>м08-02-374-03 прим.</t>
  </si>
  <si>
    <t>Демонтаж: Устройство ввода в здание в стальной трубе, провод сечением до 16 мм2, количество проводов в линии 4</t>
  </si>
  <si>
    <t>ШТ</t>
  </si>
  <si>
    <t>ФЕРм-2001, м08-02-374-03, приказ Минстроя России №1039/пр от 30.12.2016г.</t>
  </si>
  <si>
    <t>3</t>
  </si>
  <si>
    <t>м08-03-530-05</t>
  </si>
  <si>
    <t>Демонтаж:Пускатель магнитный общего назначения отдельно стоящий, устанавливаемый на конструкции на стене или колонне, на ток до 100 А</t>
  </si>
  <si>
    <t>ФЕРм-2001, м08-03-530-05, приказ Минстроя России №1039/пр от 30.12.2016г.</t>
  </si>
  <si>
    <t>4</t>
  </si>
  <si>
    <t>67-3-1</t>
  </si>
  <si>
    <t>Демонтаж кабеля</t>
  </si>
  <si>
    <t>100 м</t>
  </si>
  <si>
    <t>ФЕРр-2001, 67-3-1, приказ Минстроя России №1039/пр от 30.12.2016г.</t>
  </si>
  <si>
    <t>Ремонтно-строительные работы</t>
  </si>
  <si>
    <t>Электромонтажные работы</t>
  </si>
  <si>
    <t>рФЕР-67</t>
  </si>
  <si>
    <t>5</t>
  </si>
  <si>
    <t>м08-02-370-01</t>
  </si>
  <si>
    <t>Демонтаж: Щиток до трех групп, устанавливаемый в обхват колонн</t>
  </si>
  <si>
    <t>ФЕРм-2001, м08-02-370-01, приказ Минстроя России №1039/пр от 30.12.2016г.</t>
  </si>
  <si>
    <t>6</t>
  </si>
  <si>
    <t>01-02-055-02</t>
  </si>
  <si>
    <t>Разработка грунта вручную с креплениями в траншеях шириной до 2 м, глубиной до 2 м, группа грунтов 2</t>
  </si>
  <si>
    <t>100 м3</t>
  </si>
  <si>
    <t>ФЕР-2001, 01-02-055-02, приказ Минстроя России №1039/пр от 30.12.2016г.</t>
  </si>
  <si>
    <t>Общестроительные работы</t>
  </si>
  <si>
    <t>Земляные работы, выполняемые  ручным способом</t>
  </si>
  <si>
    <t>ФЕР-01</t>
  </si>
  <si>
    <t>*0,9</t>
  </si>
  <si>
    <t>*0,85</t>
  </si>
  <si>
    <t>7</t>
  </si>
  <si>
    <t>46-03-007-02</t>
  </si>
  <si>
    <t>Пробивка проемов в конструкциях из бетона</t>
  </si>
  <si>
    <t>м3</t>
  </si>
  <si>
    <t>ФЕР-2001, 46-03-007-02, приказ Минстроя России №1039/пр от 30.12.2016г.</t>
  </si>
  <si>
    <t>Реконструкция зданий и сооружений</t>
  </si>
  <si>
    <t>ФЕР-46</t>
  </si>
  <si>
    <t>8</t>
  </si>
  <si>
    <t>08-02-001-09</t>
  </si>
  <si>
    <t>Кладка стен приямков и каналов</t>
  </si>
  <si>
    <t>ФЕР-2001, 08-02-001-09, приказ Минстроя России №1039/пр от 30.12.2016г.</t>
  </si>
  <si>
    <t>Поправка: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</si>
  <si>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)*1,25</t>
  </si>
  <si>
    <t>)*1,15</t>
  </si>
  <si>
    <t>Конструкции из кирпича и блоков</t>
  </si>
  <si>
    <t>ФЕР-08</t>
  </si>
  <si>
    <t>Поправка: п.8.7.1</t>
  </si>
  <si>
    <t>8,1</t>
  </si>
  <si>
    <t>06.1.01.05</t>
  </si>
  <si>
    <t>Кирпич керамический, силикатный или пустотелый</t>
  </si>
  <si>
    <t>1000 шт.</t>
  </si>
  <si>
    <t>9</t>
  </si>
  <si>
    <t>07-06-002-06</t>
  </si>
  <si>
    <t>Устройство плит перекрытий каналов площадью до 1 м2</t>
  </si>
  <si>
    <t>100 ШТ</t>
  </si>
  <si>
    <t>ФЕР-2001, 07-06-002-06, приказ Минстроя России №1039/пр от 30.12.2016г.</t>
  </si>
  <si>
    <t>Сборные бетонные конструкции в промышленном строительстве  ( тепловые сети )</t>
  </si>
  <si>
    <t>ФЕР-07</t>
  </si>
  <si>
    <t>9,1</t>
  </si>
  <si>
    <t>05.1.01.12-0010</t>
  </si>
  <si>
    <t>Плиты перекрытия лотков и каналов ПО-1 /бетон В25 (М350), объем 0,7 м3, расход арматуры 54,4 кг/ (серия 3.006.1-2/82.1)</t>
  </si>
  <si>
    <t>шт.</t>
  </si>
  <si>
    <t>ФССЦ-2001, 05.1.01.12-0010, приказ Минстроя России №1039/пр от 30.12.2016г.</t>
  </si>
  <si>
    <t>9,2</t>
  </si>
  <si>
    <t>05.1.08.14</t>
  </si>
  <si>
    <t>Конструкции сборные железобетонные</t>
  </si>
  <si>
    <t>10</t>
  </si>
  <si>
    <t>06-01-005-01</t>
  </si>
  <si>
    <t>Устройство бетонных фундаментов общего назначения объемом до 5 м3 (Основание бетонное под под уличные щитки)</t>
  </si>
  <si>
    <t>ФЕР-2001, 06-01-005-01,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</si>
  <si>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</si>
  <si>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</si>
  <si>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10,1</t>
  </si>
  <si>
    <t>04.1.02.01-0004</t>
  </si>
  <si>
    <t>Бетон мелкозернистый, класс В10 (М150)</t>
  </si>
  <si>
    <t>ФССЦ-2001, 04.1.02.01-0004, приказ Минстроя России №1039/пр от 30.12.2016г.</t>
  </si>
  <si>
    <t>11</t>
  </si>
  <si>
    <t>м08-03-575-01</t>
  </si>
  <si>
    <t>Прибор или аппарат</t>
  </si>
  <si>
    <t>ФЕРм-2001, м08-03-575-01, приказ Минстроя России №1039/пр от 30.12.2016г.</t>
  </si>
  <si>
    <t>11,1</t>
  </si>
  <si>
    <t>62.1.01.09-0102</t>
  </si>
  <si>
    <t>Выключатели автоматические А3134 150А</t>
  </si>
  <si>
    <t>ФССЦ-2001, 62.1.01.09-0102, приказ Минстроя России №1039/пр от 30.12.2016г.</t>
  </si>
  <si>
    <t>11,2</t>
  </si>
  <si>
    <t>62.1.01.09-0104</t>
  </si>
  <si>
    <t>Выключатели автоматические А3721У I-250А</t>
  </si>
  <si>
    <t>ФССЦ-2001, 62.1.01.09-0104, приказ Минстроя России №1039/пр от 30.12.2016г.</t>
  </si>
  <si>
    <t>11,3</t>
  </si>
  <si>
    <t>62.1.01.09-0101</t>
  </si>
  <si>
    <t>Выключатели автоматические А3124 100А</t>
  </si>
  <si>
    <t>ФССЦ-2001, 62.1.01.09-0101, приказ Минстроя России №1039/пр от 30.12.2016г.</t>
  </si>
  <si>
    <t>11,4</t>
  </si>
  <si>
    <t>62.1.01.09-0100</t>
  </si>
  <si>
    <t>Выключатели автоматические А3124 50А</t>
  </si>
  <si>
    <t>ФССЦ-2001, 62.1.01.09-0100, приказ Минстроя России №1039/пр от 30.12.2016г.</t>
  </si>
  <si>
    <t>12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</si>
  <si>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</si>
  <si>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</si>
  <si>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</si>
  <si>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12,1</t>
  </si>
  <si>
    <t>62.1.01.09-0091</t>
  </si>
  <si>
    <t>Выключатели автоматические «Legrand» серии LR 3Р 25А</t>
  </si>
  <si>
    <t>ФССЦ-2001, 62.1.01.09-0091, приказ Минстроя России №1039/пр от 30.12.2016г.</t>
  </si>
  <si>
    <t>12,2</t>
  </si>
  <si>
    <t>62.1.01.09-0090</t>
  </si>
  <si>
    <t>Выключатели автоматические «Legrand» серии LR 3Р 16А</t>
  </si>
  <si>
    <t>ФССЦ-2001, 62.1.01.09-0090, приказ Минстроя России №1039/пр от 30.12.2016г.</t>
  </si>
  <si>
    <t>13</t>
  </si>
  <si>
    <t>м08-03-544-01</t>
  </si>
  <si>
    <t>Колонка распределительная с автоматическими выключателями или с рубильником и предохранителями на ток до 63 А, устанавливаемая на модульной коробке и присоединяемая к магистрали из проводов с жилами сечением до 35 мм2</t>
  </si>
  <si>
    <t>ФЕРм-2001, м08-03-544-01, приказ Минстроя России №1039/пр от 30.12.2016г.</t>
  </si>
  <si>
    <t>13,1</t>
  </si>
  <si>
    <t>62.1.01.09-0088</t>
  </si>
  <si>
    <t>Выключатели автоматические «Legrand» серии LR 3Р 6А с колодкой распределиния</t>
  </si>
  <si>
    <t>ФССЦ-2001, 62.1.01.09-0088, приказ Минстроя России №1039/пр от 30.12.2016г.</t>
  </si>
  <si>
    <t>14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</si>
  <si>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</si>
  <si>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</si>
  <si>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</si>
  <si>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14,1</t>
  </si>
  <si>
    <t>20.4.03.05-0008</t>
  </si>
  <si>
    <t>Розетка штепсельная для открытой проводки РШ-П-20-0-IP43-01- 10/42</t>
  </si>
  <si>
    <t>100 шт.</t>
  </si>
  <si>
    <t>ФССЦ-2001, 20.4.03.05-0008, приказ Минстроя России №1039/пр от 30.12.2016г.</t>
  </si>
  <si>
    <t>14,2</t>
  </si>
  <si>
    <t>20.4.03.05-0002</t>
  </si>
  <si>
    <t>Розетка открытой проводки двухгнездная</t>
  </si>
  <si>
    <t>ФССЦ-2001, 20.4.03.05-0002, приказ Минстроя России №1039/пр от 30.12.2016г.</t>
  </si>
  <si>
    <t>15</t>
  </si>
  <si>
    <t>м08-03-593-02</t>
  </si>
  <si>
    <t>Светильник с подвеской на крюк для помещений с повышенной влажностью и пыльностью</t>
  </si>
  <si>
    <t>ФЕРм-2001, м08-03-593-02, приказ Минстроя России №1039/пр от 30.12.2016г.</t>
  </si>
  <si>
    <t>15,1</t>
  </si>
  <si>
    <t>20.3.03.04-0097</t>
  </si>
  <si>
    <t>Светильник подвесной пылевлагозащищенный с диффузным отражателем с отверстиями, без экранирующей решетки ПВЛМ- ДО 2х40-21</t>
  </si>
  <si>
    <t>ФССЦ-2001, 20.3.03.04-0097, приказ Минстроя России №1039/пр от 30.12.2016г.</t>
  </si>
  <si>
    <t>16</t>
  </si>
  <si>
    <t>Пускатель магнитный общего назначения отдельно стоящий, устанавливаемый на конструкции на стене или колонне, на ток до 100 А</t>
  </si>
  <si>
    <t>16,1</t>
  </si>
  <si>
    <t>62.6.02.01-0123</t>
  </si>
  <si>
    <t>Пускатели электромагнитные нереверсивные без теплового реле, с кнопками управления ПМ12-100120 100А</t>
  </si>
  <si>
    <t>ФССЦ-2001, 62.6.02.01-0123, приказ Минстроя России №1039/пр от 30.12.2016г.</t>
  </si>
  <si>
    <t>17</t>
  </si>
  <si>
    <t>м08-02-369-01</t>
  </si>
  <si>
    <t>Демонтаж: Светильник, устанавливаемый вне зданий с лампами накаливания</t>
  </si>
  <si>
    <t>ФЕРм-2001, м08-02-369-01, приказ Минстроя России №1039/пр от 30.12.2016г.</t>
  </si>
  <si>
    <t>18</t>
  </si>
  <si>
    <t>м08-03-596-06</t>
  </si>
  <si>
    <t>Прожектор, отдельно устанавливаемый на кронштейне, установленном на опоре, с лампой мощностью 1000 Вт</t>
  </si>
  <si>
    <t>ФЕРм-2001, м08-03-596-06, приказ Минстроя России №1039/пр от 30.12.2016г.</t>
  </si>
  <si>
    <t>18,1</t>
  </si>
  <si>
    <t>20.3.04.04-0012</t>
  </si>
  <si>
    <t>Прожектор с отражателем алюминиевым альзакированным и защитным силикатным стеклом, тип ГО 07-250-001</t>
  </si>
  <si>
    <t>ФССЦ-2001, 20.3.04.04-0012, приказ Минстроя России №1039/пр от 30.12.2016г.</t>
  </si>
  <si>
    <t>19</t>
  </si>
  <si>
    <t>Щиток до трех групп, устанавливаемый в обхват колонн</t>
  </si>
  <si>
    <t>19,1</t>
  </si>
  <si>
    <t>62.1.02.17-0047</t>
  </si>
  <si>
    <t>Щитки  распределительные согласно тех.заданию</t>
  </si>
  <si>
    <t>ФССЦ-2001, 62.1.02.17-0047, приказ Минстроя России №1039/пр от 30.12.2016г.</t>
  </si>
  <si>
    <t>занесена вручную</t>
  </si>
  <si>
    <t>20</t>
  </si>
  <si>
    <t>м08-02-142-01</t>
  </si>
  <si>
    <t>Устройство постели при одном кабеле в траншее</t>
  </si>
  <si>
    <t>ФЕРм-2001, м08-02-142-01, приказ Минстроя России №1039/пр от 30.12.2016г.</t>
  </si>
  <si>
    <t>20,1</t>
  </si>
  <si>
    <t>02.3.01.02-0011</t>
  </si>
  <si>
    <t>Песок природный для строительных работ мелкий</t>
  </si>
  <si>
    <t>ФССЦ-2001, 02.3.01.02-0011, приказ Минстроя России №1039/пр от 30.12.2016г.</t>
  </si>
  <si>
    <t>21</t>
  </si>
  <si>
    <t>м08-02-141-02</t>
  </si>
  <si>
    <t>Кабель до 35 кВ в готовых траншеях без покрытий, масса 1 м до 2 кг</t>
  </si>
  <si>
    <t>ФЕРм-2001, м08-02-141-02, приказ Минстроя России №1039/пр от 30.12.2016г.</t>
  </si>
  <si>
    <t>21,1</t>
  </si>
  <si>
    <t>21.1.06.09-0032</t>
  </si>
  <si>
    <t>Кабель силовой с медными жилами с изоляцией и оболочкой из ПВХ, не распространяющий горение, с низким дымо- и газовыделением, бронированный, напряжением 0,66 кВ (ГОСТ Р 53769-2010), марки ВБбШвнг-LS-Т 5х25</t>
  </si>
  <si>
    <t>1000 м</t>
  </si>
  <si>
    <t>ФССЦ-2001, 21.1.06.09-0032, приказ Минстроя России №1039/пр от 30.12.2016г.</t>
  </si>
  <si>
    <t>1000 М</t>
  </si>
  <si>
    <t>22</t>
  </si>
  <si>
    <t>м08-02-141-01</t>
  </si>
  <si>
    <t>Кабель до 35 кВ в готовых траншеях без покрытий, масса 1 м до 1 кг</t>
  </si>
  <si>
    <t>ФЕРм-2001, м08-02-141-01, приказ Минстроя России №1039/пр от 30.12.2016г.</t>
  </si>
  <si>
    <t>22,1</t>
  </si>
  <si>
    <t>21.1.06.10-0203</t>
  </si>
  <si>
    <t>Кабель силовой огнестойкий с медными жилами 5х16 бронированый прим.</t>
  </si>
  <si>
    <t>ФССЦ-2001, 21.1.06.10-0203, приказ Минстроя России №1039/пр от 30.12.2016г.</t>
  </si>
  <si>
    <t>22,2</t>
  </si>
  <si>
    <t>21.1.06.10-0202</t>
  </si>
  <si>
    <t>Кабель силовой огнестойкий с медными жилами  5х10 бронированый прим.</t>
  </si>
  <si>
    <t>ФССЦ-2001, 21.1.06.10-0202, приказ Минстроя России №1039/пр от 30.12.2016г.</t>
  </si>
  <si>
    <t>22,3</t>
  </si>
  <si>
    <t>21.1.06.10-0185</t>
  </si>
  <si>
    <t>Кабель силовой  с медными жилами  4х4 бронированый прим.</t>
  </si>
  <si>
    <t>ФССЦ-2001, 21.1.06.10-0185, приказ Минстроя России №1039/пр от 30.12.2016г.</t>
  </si>
  <si>
    <t>23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</si>
  <si>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</si>
  <si>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</si>
  <si>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</si>
  <si>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23,1</t>
  </si>
  <si>
    <t>24.3.01.02-0012</t>
  </si>
  <si>
    <t>Трубы гибкие гофрированные легкие из самозатухающего ПВХ (IP55) серии FL, диаметром 20 мм</t>
  </si>
  <si>
    <t>10 м</t>
  </si>
  <si>
    <t>ФССЦ-2001, 24.3.01.02-0012, приказ Минстроя России №1039/пр от 30.12.2016г.</t>
  </si>
  <si>
    <t>24</t>
  </si>
  <si>
    <t>м08-02-472-02</t>
  </si>
  <si>
    <t>Заземлитель горизонтальный из стали полосовой сечением 160 мм2</t>
  </si>
  <si>
    <t>ФЕРм-2001, м08-02-472-02, приказ Минстроя России №1039/пр от 30.12.2016г.</t>
  </si>
  <si>
    <t>24,1</t>
  </si>
  <si>
    <t>08.3.07.01-0041</t>
  </si>
  <si>
    <t>Сталь полосовая 40х4 мм</t>
  </si>
  <si>
    <t>т</t>
  </si>
  <si>
    <t>ФССЦ-2001, 08.3.07.01-0041, приказ Минстроя России №1039/пр от 30.12.2016г.</t>
  </si>
  <si>
    <t>25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</si>
  <si>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</si>
  <si>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</si>
  <si>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</si>
  <si>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25,1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</si>
  <si>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</si>
  <si>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</si>
  <si>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ФССЦ-2001, 21.1.06.09-0151, приказ Минстроя России №1039/пр от 30.12.2016г.</t>
  </si>
  <si>
    <t>26</t>
  </si>
  <si>
    <t>м08-02-143-01</t>
  </si>
  <si>
    <t>Покрытие кабеля, проложенного в траншее кирпичом одного кабеля</t>
  </si>
  <si>
    <t>ФЕРм-2001, м08-02-143-01, приказ Минстроя России №1039/пр от 30.12.2016г.</t>
  </si>
  <si>
    <t>27</t>
  </si>
  <si>
    <t>01-01-033-02</t>
  </si>
  <si>
    <t>Засыпка траншей и котлованов с перемещением грунта до 5 м бульдозерами мощностью 59 кВт (80 л.с.), группа грунтов 2</t>
  </si>
  <si>
    <t>1000 м3</t>
  </si>
  <si>
    <t>ФЕР-2001, 01-01-033-02, приказ Минстроя России №1039/пр от 30.12.2016г.</t>
  </si>
  <si>
    <t>Земляные работы, выполняемые  механизированным способом</t>
  </si>
  <si>
    <t>28</t>
  </si>
  <si>
    <t>01-02-119-03</t>
  </si>
  <si>
    <t>Расчистка площадей от кустарника и мелколесья вручную при густой поросли</t>
  </si>
  <si>
    <t>100 м2</t>
  </si>
  <si>
    <t>ФЕР-2001, 01-02-119-03, приказ Минстроя России №1039/пр от 30.12.2016г.</t>
  </si>
  <si>
    <t>Земляные работы по другим видам работ ( подготовительные, сопутствующие, укрепительные )</t>
  </si>
  <si>
    <t>29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</si>
  <si>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</si>
  <si>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</si>
  <si>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</si>
  <si>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п.9.4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</si>
  <si>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</si>
  <si>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</si>
  <si>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</si>
  <si>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</si>
  <si>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п.9.4</t>
  </si>
  <si>
    <t>30</t>
  </si>
  <si>
    <t>п01-12-021-01</t>
  </si>
  <si>
    <t>Испытание аппарата коммутационного напряжением до 1 кВ (силовых цепей)</t>
  </si>
  <si>
    <t>испытание</t>
  </si>
  <si>
    <t>ФЕРп-2001, п01-12-021-01, приказ Минстроя России №1039/пр от 30.12.2016г.</t>
  </si>
  <si>
    <t>31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</si>
  <si>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</si>
  <si>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</si>
  <si>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</si>
  <si>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</si>
  <si>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</si>
  <si>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</si>
  <si>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</si>
  <si>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</si>
  <si>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</si>
  <si>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</si>
  <si>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</si>
  <si>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</si>
  <si>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</si>
  <si>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</si>
  <si>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</si>
  <si>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</si>
  <si>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</si>
  <si>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</si>
  <si>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</si>
  <si>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</si>
  <si>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</si>
  <si>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</si>
  <si>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</si>
  <si>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</si>
  <si>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</si>
  <si>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</si>
  <si>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</si>
  <si>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</si>
  <si>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</si>
  <si>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</si>
  <si>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</si>
  <si>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</si>
  <si>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</si>
  <si>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</si>
  <si>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</si>
  <si>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</si>
  <si>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</si>
  <si>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</si>
  <si>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</si>
  <si>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</si>
  <si>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</si>
  <si>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</si>
  <si>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</si>
  <si>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</si>
  <si>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</si>
  <si>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</si>
  <si>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</si>
  <si>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</si>
  <si>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</si>
  <si>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</si>
  <si>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</si>
  <si>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</si>
  <si>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</si>
  <si>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</si>
  <si>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</si>
  <si>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</si>
  <si>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</si>
  <si>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</si>
  <si>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</si>
  <si>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</si>
  <si>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</si>
  <si>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</si>
  <si>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</si>
  <si>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</si>
  <si>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</si>
  <si>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</si>
  <si>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</si>
  <si>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</si>
  <si>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</si>
  <si>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</si>
  <si>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</si>
  <si>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</si>
  <si>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</si>
  <si>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</si>
  <si>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</si>
  <si>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</si>
  <si>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</si>
  <si>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</si>
  <si>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</si>
  <si>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</si>
  <si>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</si>
  <si>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</si>
  <si>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</si>
  <si>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</si>
  <si>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</si>
  <si>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</si>
  <si>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</si>
  <si>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</si>
  <si>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</si>
  <si>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</si>
  <si>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</si>
  <si>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</si>
  <si>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</si>
  <si>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</si>
  <si>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</si>
  <si>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</si>
  <si>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</si>
  <si>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</si>
  <si>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</si>
  <si>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</si>
  <si>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</si>
  <si>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</si>
  <si>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</si>
  <si>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</si>
  <si>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</si>
  <si>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</si>
  <si>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</si>
  <si>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</si>
  <si>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</si>
  <si>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</si>
  <si>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</si>
  <si>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</si>
  <si>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</si>
  <si>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</si>
  <si>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</si>
  <si>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</si>
  <si>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</si>
  <si>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</si>
  <si>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</si>
  <si>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</si>
  <si>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</si>
  <si>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</si>
  <si>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</si>
  <si>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</si>
  <si>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1-100-40</t>
  </si>
  <si>
    <t>Рабочий среднего разряда 4</t>
  </si>
  <si>
    <t>чел.-ч.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</si>
  <si>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</si>
  <si>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</si>
  <si>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</si>
  <si>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</si>
  <si>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</si>
  <si>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маш.-ч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</si>
  <si>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</si>
  <si>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</si>
  <si>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</si>
  <si>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</si>
  <si>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</si>
  <si>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</si>
  <si>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01.3.01.06-0050</t>
  </si>
  <si>
    <t>ФССЦ-2001, 01.3.01.06-0050, приказ Минстроя России №1039/пр от 30.12.2016г.</t>
  </si>
  <si>
    <t>Смазка универсальная тугоплавкая УТ (консталин жировой)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</si>
  <si>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</si>
  <si>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</si>
  <si>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</si>
  <si>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кг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</si>
  <si>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</si>
  <si>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</si>
  <si>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</si>
  <si>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01.7.20.08-0031</t>
  </si>
  <si>
    <t>ФССЦ-2001, 01.7.20.08-0031, приказ Минстроя России №1039/пр от 30.12.2016г.</t>
  </si>
  <si>
    <t>Бязь суровая арт. 6804</t>
  </si>
  <si>
    <t>10 м2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</si>
  <si>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</si>
  <si>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</si>
  <si>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</si>
  <si>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</si>
  <si>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</si>
  <si>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</si>
  <si>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</si>
  <si>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</si>
  <si>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</si>
  <si>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1-100-46</t>
  </si>
  <si>
    <t>Рабочий среднего разряда 4.6</t>
  </si>
  <si>
    <t>91.06.09-001</t>
  </si>
  <si>
    <t>ФСЭМ-2001, 91.06.09-001, приказ Минстроя России №1039/пр от 30.12.2016г.</t>
  </si>
  <si>
    <t>Вышка телескопическая 25 м</t>
  </si>
  <si>
    <t>01.7.06.12-0008</t>
  </si>
  <si>
    <t>ФССЦ-2001, 01.7.06.12-0008, приказ Минстроя России №1039/пр от 30.12.2016г.</t>
  </si>
  <si>
    <t>Лента ПХВ-304</t>
  </si>
  <si>
    <t>14.4.03.03-0002</t>
  </si>
  <si>
    <t>ФССЦ-2001, 14.4.03.03-0002, приказ Минстроя России №1039/пр от 30.12.2016г.</t>
  </si>
  <si>
    <t>Лак битумный БТ-123</t>
  </si>
  <si>
    <t>20.2.02.01-0019</t>
  </si>
  <si>
    <t>ФССЦ-2001, 20.2.02.01-0019, приказ Минстроя России №1039/пр от 30.12.2016г.</t>
  </si>
  <si>
    <t>Втулки изолирующие</t>
  </si>
  <si>
    <t>1-100-37</t>
  </si>
  <si>
    <t>Рабочий среднего разряда 3.7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</si>
  <si>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</si>
  <si>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</si>
  <si>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</si>
  <si>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</si>
  <si>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</si>
  <si>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</si>
  <si>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</si>
  <si>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</si>
  <si>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</si>
  <si>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</si>
  <si>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</si>
  <si>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</si>
  <si>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</si>
  <si>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</si>
  <si>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</si>
  <si>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</si>
  <si>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</si>
  <si>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</si>
  <si>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</si>
  <si>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</si>
  <si>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</si>
  <si>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</si>
  <si>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</si>
  <si>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</si>
  <si>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</si>
  <si>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</si>
  <si>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</si>
  <si>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10 шт.</t>
  </si>
  <si>
    <t>25.2.01.01-0001</t>
  </si>
  <si>
    <t>ФССЦ-2001, 25.2.01.01-0001, приказ Минстроя России №1039/пр от 30.12.2016г.</t>
  </si>
  <si>
    <t>Бирки-оконцеватели</t>
  </si>
  <si>
    <t>1-100-20</t>
  </si>
  <si>
    <t>Рабочий среднего разряда 2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</si>
  <si>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</si>
  <si>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</si>
  <si>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</si>
  <si>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1-100-28</t>
  </si>
  <si>
    <t>Рабочий среднего разряда 2.8</t>
  </si>
  <si>
    <t>1-100-34</t>
  </si>
  <si>
    <t>Рабочий среднего разряда 3.4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</si>
  <si>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</si>
  <si>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</si>
  <si>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</si>
  <si>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</si>
  <si>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</si>
  <si>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</si>
  <si>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1-100-27</t>
  </si>
  <si>
    <t>Рабочий среднего разряда 2.7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</si>
  <si>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</si>
  <si>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</si>
  <si>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</si>
  <si>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01.7.03.01-0001</t>
  </si>
  <si>
    <t>ФССЦ-2001, 01.7.03.01-0001, приказ Минстроя России №1039/пр от 30.12.2016г.</t>
  </si>
  <si>
    <t>Вода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</si>
  <si>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</si>
  <si>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</si>
  <si>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</si>
  <si>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</si>
  <si>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</si>
  <si>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</si>
  <si>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1-100-38</t>
  </si>
  <si>
    <t>Рабочий среднего разряда 3.8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</si>
  <si>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</si>
  <si>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</si>
  <si>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</si>
  <si>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</si>
  <si>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</si>
  <si>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</si>
  <si>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</si>
  <si>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</si>
  <si>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91.07.04-001</t>
  </si>
  <si>
    <t>ФСЭМ-2001, 91.07.04-001, приказ Минстроя России №1039/пр от 30.12.2016г.</t>
  </si>
  <si>
    <t>Вибратор глубинный</t>
  </si>
  <si>
    <t>01.7.07.12-0024</t>
  </si>
  <si>
    <t>ФССЦ-2001, 01.7.07.12-0024, приказ Минстроя России №1039/пр от 30.12.2016г.</t>
  </si>
  <si>
    <t>Пленка полиэтиленовая толщиной 0,15 мм</t>
  </si>
  <si>
    <t>м2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</si>
  <si>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</si>
  <si>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</si>
  <si>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</si>
  <si>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</si>
  <si>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</si>
  <si>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</si>
  <si>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</si>
  <si>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</si>
  <si>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</si>
  <si>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11.1.02.04-0031</t>
  </si>
  <si>
    <t>ФССЦ-2001, 11.1.02.04-0031, приказ Минстроя России №1039/пр от 30.12.2016г.</t>
  </si>
  <si>
    <t>Лесоматериалы круглые хвойных пород для строительства диаметром 14-24 см, длиной 3-6,5 м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</si>
  <si>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</si>
  <si>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</si>
  <si>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</si>
  <si>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</si>
  <si>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</si>
  <si>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</si>
  <si>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11.1.03.06-0095</t>
  </si>
  <si>
    <t>ФССЦ-2001, 11.1.03.06-0095, приказ Минстроя России №1039/пр от 30.12.2016г.</t>
  </si>
  <si>
    <t>Доски обрезные хвойных пород длиной 4-6,5 м, шириной 75-150 мм, толщиной 44 мм и более, III сорта</t>
  </si>
  <si>
    <t>11.2.13.04-0011</t>
  </si>
  <si>
    <t>ФССЦ-2001, 11.2.13.04-0011, приказ Минстроя России №1039/пр от 30.12.2016г.</t>
  </si>
  <si>
    <t>Щиты из досок толщиной 25 мм</t>
  </si>
  <si>
    <t>1-100-42</t>
  </si>
  <si>
    <t>Рабочий среднего разряда 4.2</t>
  </si>
  <si>
    <t>1-100-39</t>
  </si>
  <si>
    <t>Рабочий среднего разряда 3.9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</si>
  <si>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</si>
  <si>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</si>
  <si>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</si>
  <si>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</si>
  <si>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</si>
  <si>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</si>
  <si>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</si>
  <si>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</si>
  <si>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</si>
  <si>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20.5.04.10-0011</t>
  </si>
  <si>
    <t>ФССЦ-2001, 20.5.04.10-0011, приказ Минстроя России №1039/пр от 30.12.2016г.</t>
  </si>
  <si>
    <t>Сжимы соединительные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</si>
  <si>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</si>
  <si>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</si>
  <si>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</si>
  <si>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</si>
  <si>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</si>
  <si>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</si>
  <si>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</si>
  <si>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</si>
  <si>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</si>
  <si>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20.5.04.09-0001</t>
  </si>
  <si>
    <t>ФССЦ-2001, 20.5.04.09-0001, приказ Минстроя России №1039/пр от 30.12.2016г.</t>
  </si>
  <si>
    <t>Сжимы ответвительные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</si>
  <si>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</si>
  <si>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</si>
  <si>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</si>
  <si>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</si>
  <si>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</si>
  <si>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</si>
  <si>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01.7.06.07-0001</t>
  </si>
  <si>
    <t>ФССЦ-2001, 01.7.06.07-0001, приказ Минстроя России №1039/пр от 30.12.2016г.</t>
  </si>
  <si>
    <t>Лента К226</t>
  </si>
  <si>
    <t>08.3.08.02-0052</t>
  </si>
  <si>
    <t>ФССЦ-2001, 08.3.08.02-0052, приказ Минстроя России №1039/пр от 30.12.2016г.</t>
  </si>
  <si>
    <t>Сталь угловая равнополочная, марка стали ВСт3кп2, размером 50x50x5 мм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</si>
  <si>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</si>
  <si>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</si>
  <si>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</si>
  <si>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</si>
  <si>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</si>
  <si>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14.4.02.09-0301</t>
  </si>
  <si>
    <t>ФССЦ-2001, 14.4.02.09-0301, приказ Минстроя России №1039/пр от 30.12.2016г.</t>
  </si>
  <si>
    <t>Краска "Цинол"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</si>
  <si>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</si>
  <si>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</si>
  <si>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</si>
  <si>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</si>
  <si>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</si>
  <si>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</si>
  <si>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</si>
  <si>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</si>
  <si>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</si>
  <si>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91.01.01-034</t>
  </si>
  <si>
    <t>ФСЭМ-2001, 91.01.01-034, приказ Минстроя России №1039/пр от 30.12.2016г.</t>
  </si>
  <si>
    <t>Бульдозеры, мощность 59 кВт (80 л.с.)</t>
  </si>
  <si>
    <t>1-100-30</t>
  </si>
  <si>
    <t>Рабочий среднего разряда 3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</si>
  <si>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</si>
  <si>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</si>
  <si>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</si>
  <si>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</si>
  <si>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</si>
  <si>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</si>
  <si>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</si>
  <si>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</si>
  <si>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04.1.02.06</t>
  </si>
  <si>
    <t>Бетон</t>
  </si>
  <si>
    <t>"СОГЛАСОВАНО"</t>
  </si>
  <si>
    <t>"УТВЕРЖДАЮ"</t>
  </si>
  <si>
    <t>"_____"________________ 2018 г.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</si>
  <si>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</si>
  <si>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</si>
  <si>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</si>
  <si>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</si>
  <si>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</si>
  <si>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</si>
  <si>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</si>
  <si>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</si>
  <si>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</si>
  <si>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</si>
  <si>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</si>
  <si>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</si>
  <si>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</si>
  <si>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</si>
  <si>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</si>
  <si>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</si>
  <si>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</si>
  <si>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</si>
  <si>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</si>
  <si>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</si>
  <si>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</si>
  <si>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</si>
  <si>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</si>
  <si>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</si>
  <si>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</si>
  <si>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</si>
  <si>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</si>
  <si>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</si>
  <si>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</si>
  <si>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</si>
  <si>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</si>
  <si>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</si>
  <si>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</si>
  <si>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</si>
  <si>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</si>
  <si>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</si>
  <si>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 xml:space="preserve"> СМЕТА </t>
  </si>
  <si>
    <t>на капитальный ремонт кабельных трасс и щита распределительной подстанции ТП2 загородного  учебно-спортивного  комплекса "база отдыха Волга" НИЯУ МИФИ по адресу: Тверская область,Калининский район,п/о Лисицкий бор,деревня Видогощи</t>
  </si>
  <si>
    <t>Розетка открытой проводки трёхгнездная</t>
  </si>
  <si>
    <t>Розетка штепсельная для открытой проводки одногнездовая</t>
  </si>
  <si>
    <t>Выполнение работ по ремонту системы электроснабжения в загородном учебно-спортивном комплексе «база отдыха Волга» НИЯУ МИФИ по адресу: Тверская область, Калининский район, п/о Лисицкий бор, деревня Видогощи.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</si>
</sst>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color indexed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11" fillId="0" borderId="2" xfId="0" applyFont="1" applyBorder="1"/>
    <xf numFmtId="0" fontId="9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9" fillId="0" borderId="2" xfId="0" applyFont="1" applyBorder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8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0" fontId="11" fillId="0" borderId="2" xfId="0" applyFont="1" applyBorder="1" applyAlignment="1">
      <alignment horizontal="left"/>
    </xf>
    <xf numFmtId="0" fontId="11" fillId="0" borderId="2" xfId="0" applyFont="1" applyBorder="1" applyAlignment="1">
      <alignment horizontal="right" wrapText="1"/>
    </xf>
    <xf numFmtId="0" fontId="10" fillId="0" borderId="1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28"/>
  <sheetViews>
    <sheetView tabSelected="1" topLeftCell="A65" zoomScaleNormal="100" workbookViewId="0">
      <selection activeCell="B14" sqref="B14:K14"/>
    </sheetView>
  </sheetViews>
  <sheetFormatPr defaultRowHeight="12.75" x14ac:dyDescent="0.2"/>
  <cols>
    <col min="1" max="1" width="5.7109375" customWidth="1"/>
    <col min="2" max="2" width="17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 t="str">
        <f>Source!B1</f>
        <v>Smeta.RU  (495) 974-1589</v>
      </c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16.5" x14ac:dyDescent="0.25">
      <c r="A3" s="12"/>
      <c r="B3" s="70" t="s">
        <v>630</v>
      </c>
      <c r="C3" s="70"/>
      <c r="D3" s="70"/>
      <c r="E3" s="70"/>
      <c r="F3" s="11"/>
      <c r="G3" s="11"/>
      <c r="H3" s="70" t="s">
        <v>631</v>
      </c>
      <c r="I3" s="70"/>
      <c r="J3" s="70"/>
      <c r="K3" s="70"/>
      <c r="L3" s="70"/>
    </row>
    <row r="4" spans="1:12" ht="14.25" x14ac:dyDescent="0.2">
      <c r="A4" s="11"/>
      <c r="B4" s="53"/>
      <c r="C4" s="53"/>
      <c r="D4" s="53"/>
      <c r="E4" s="53"/>
      <c r="F4" s="11"/>
      <c r="G4" s="11"/>
      <c r="H4" s="53"/>
      <c r="I4" s="53"/>
      <c r="J4" s="53"/>
      <c r="K4" s="53"/>
      <c r="L4" s="53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53" t="str">
        <f>CONCATENATE("______________________ ", IF(Source!AL12&lt;&gt;"", Source!AL12, ""))</f>
        <v xml:space="preserve">______________________ </v>
      </c>
      <c r="C6" s="53"/>
      <c r="D6" s="53"/>
      <c r="E6" s="53"/>
      <c r="F6" s="11"/>
      <c r="G6" s="11"/>
      <c r="H6" s="53" t="str">
        <f>CONCATENATE("______________________ ", IF(Source!AH12&lt;&gt;"", Source!AH12, ""))</f>
        <v xml:space="preserve">______________________ </v>
      </c>
      <c r="I6" s="53"/>
      <c r="J6" s="53"/>
      <c r="K6" s="53"/>
      <c r="L6" s="53"/>
    </row>
    <row r="7" spans="1:12" ht="14.25" x14ac:dyDescent="0.2">
      <c r="A7" s="16"/>
      <c r="B7" s="69" t="s">
        <v>632</v>
      </c>
      <c r="C7" s="69"/>
      <c r="D7" s="69"/>
      <c r="E7" s="69"/>
      <c r="F7" s="11"/>
      <c r="G7" s="11"/>
      <c r="H7" s="69" t="s">
        <v>632</v>
      </c>
      <c r="I7" s="69"/>
      <c r="J7" s="69"/>
      <c r="K7" s="69"/>
      <c r="L7" s="69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66" t="s">
        <v>669</v>
      </c>
      <c r="C11" s="66"/>
      <c r="D11" s="66"/>
      <c r="E11" s="66"/>
      <c r="F11" s="66"/>
      <c r="G11" s="66"/>
      <c r="H11" s="66"/>
      <c r="I11" s="66"/>
      <c r="J11" s="66"/>
      <c r="K11" s="66"/>
      <c r="L11" s="17"/>
    </row>
    <row r="12" spans="1:12" ht="18" hidden="1" x14ac:dyDescent="0.25">
      <c r="A12" s="17"/>
      <c r="B12" s="67" t="str">
        <f>IF(Source!G20&lt;&gt;"Новая локальная смета", Source!G20, "")</f>
        <v/>
      </c>
      <c r="C12" s="67"/>
      <c r="D12" s="67"/>
      <c r="E12" s="67"/>
      <c r="F12" s="67"/>
      <c r="G12" s="67"/>
      <c r="H12" s="67"/>
      <c r="I12" s="67"/>
      <c r="J12" s="67"/>
      <c r="K12" s="67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56.25" customHeight="1" x14ac:dyDescent="0.25">
      <c r="A14" s="11"/>
      <c r="B14" s="67" t="s">
        <v>673</v>
      </c>
      <c r="C14" s="67"/>
      <c r="D14" s="67"/>
      <c r="E14" s="67"/>
      <c r="F14" s="67"/>
      <c r="G14" s="67"/>
      <c r="H14" s="67"/>
      <c r="I14" s="67"/>
      <c r="J14" s="67"/>
      <c r="K14" s="67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68" t="s">
        <v>633</v>
      </c>
      <c r="H17" s="68"/>
      <c r="I17" s="68" t="s">
        <v>634</v>
      </c>
      <c r="J17" s="68"/>
      <c r="K17" s="11"/>
      <c r="L17" s="11"/>
    </row>
    <row r="18" spans="1:22" ht="15" x14ac:dyDescent="0.25">
      <c r="A18" s="11"/>
      <c r="B18" s="11"/>
      <c r="C18" s="61" t="s">
        <v>635</v>
      </c>
      <c r="D18" s="61"/>
      <c r="E18" s="61"/>
      <c r="F18" s="61"/>
      <c r="G18" s="62">
        <f>SUM(O29:O318)/1000</f>
        <v>498.76034999999996</v>
      </c>
      <c r="H18" s="62"/>
      <c r="I18" s="62">
        <f>(Source!F111/1000)</f>
        <v>2925.5655000000002</v>
      </c>
      <c r="J18" s="62"/>
      <c r="K18" s="63" t="s">
        <v>636</v>
      </c>
      <c r="L18" s="63"/>
    </row>
    <row r="19" spans="1:22" ht="14.25" x14ac:dyDescent="0.2">
      <c r="A19" s="11"/>
      <c r="B19" s="11"/>
      <c r="C19" s="65" t="s">
        <v>637</v>
      </c>
      <c r="D19" s="65"/>
      <c r="E19" s="65"/>
      <c r="F19" s="65"/>
      <c r="G19" s="62">
        <f>SUM(W29:W318)/1000</f>
        <v>52.408130000000007</v>
      </c>
      <c r="H19" s="62"/>
      <c r="I19" s="62">
        <f>(Source!F98)/1000</f>
        <v>255.57861</v>
      </c>
      <c r="J19" s="62"/>
      <c r="K19" s="63" t="s">
        <v>636</v>
      </c>
      <c r="L19" s="63"/>
    </row>
    <row r="20" spans="1:22" ht="14.25" x14ac:dyDescent="0.2">
      <c r="A20" s="11"/>
      <c r="B20" s="11"/>
      <c r="C20" s="65" t="s">
        <v>638</v>
      </c>
      <c r="D20" s="65"/>
      <c r="E20" s="65"/>
      <c r="F20" s="65"/>
      <c r="G20" s="62">
        <f>SUM(X29:X318)/1000</f>
        <v>441.47382999999996</v>
      </c>
      <c r="H20" s="62"/>
      <c r="I20" s="62">
        <f>(Source!F99)/1000</f>
        <v>2154.3923300000001</v>
      </c>
      <c r="J20" s="62"/>
      <c r="K20" s="63" t="s">
        <v>636</v>
      </c>
      <c r="L20" s="63"/>
    </row>
    <row r="21" spans="1:22" ht="14.25" x14ac:dyDescent="0.2">
      <c r="A21" s="11"/>
      <c r="B21" s="11"/>
      <c r="C21" s="65" t="s">
        <v>639</v>
      </c>
      <c r="D21" s="65"/>
      <c r="E21" s="65"/>
      <c r="F21" s="65"/>
      <c r="G21" s="62">
        <f>SUM(Y29:Y318)/1000</f>
        <v>0</v>
      </c>
      <c r="H21" s="62"/>
      <c r="I21" s="62">
        <f>(Source!F90)/1000</f>
        <v>0</v>
      </c>
      <c r="J21" s="62"/>
      <c r="K21" s="63" t="s">
        <v>636</v>
      </c>
      <c r="L21" s="63"/>
    </row>
    <row r="22" spans="1:22" ht="14.25" x14ac:dyDescent="0.2">
      <c r="A22" s="11"/>
      <c r="B22" s="11"/>
      <c r="C22" s="65" t="s">
        <v>640</v>
      </c>
      <c r="D22" s="65"/>
      <c r="E22" s="65"/>
      <c r="F22" s="65"/>
      <c r="G22" s="62">
        <f>SUM(Z29:Z318)/1000</f>
        <v>4.8783899999999996</v>
      </c>
      <c r="H22" s="62"/>
      <c r="I22" s="62">
        <f>(Source!F100+Source!F101)/1000</f>
        <v>69.321860000000001</v>
      </c>
      <c r="J22" s="62"/>
      <c r="K22" s="63" t="s">
        <v>636</v>
      </c>
      <c r="L22" s="63"/>
    </row>
    <row r="23" spans="1:22" ht="15" x14ac:dyDescent="0.25">
      <c r="A23" s="11"/>
      <c r="B23" s="11"/>
      <c r="C23" s="61" t="s">
        <v>641</v>
      </c>
      <c r="D23" s="61"/>
      <c r="E23" s="61"/>
      <c r="F23" s="61"/>
      <c r="G23" s="62">
        <f>I23</f>
        <v>2929.9409855000013</v>
      </c>
      <c r="H23" s="62"/>
      <c r="I23" s="62">
        <f>(Source!F103+Source!F104)</f>
        <v>2929.9409855000013</v>
      </c>
      <c r="J23" s="62"/>
      <c r="K23" s="63" t="s">
        <v>642</v>
      </c>
      <c r="L23" s="63"/>
    </row>
    <row r="24" spans="1:22" ht="15" x14ac:dyDescent="0.25">
      <c r="A24" s="11"/>
      <c r="B24" s="11"/>
      <c r="C24" s="61" t="s">
        <v>643</v>
      </c>
      <c r="D24" s="61"/>
      <c r="E24" s="61"/>
      <c r="F24" s="61"/>
      <c r="G24" s="62">
        <f>SUM(R29:R318)/1000</f>
        <v>27.113169999999993</v>
      </c>
      <c r="H24" s="62"/>
      <c r="I24" s="62">
        <f>(Source!F96+ Source!F95)/1000</f>
        <v>154.51486000000003</v>
      </c>
      <c r="J24" s="62"/>
      <c r="K24" s="63" t="s">
        <v>636</v>
      </c>
      <c r="L24" s="63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58" t="s">
        <v>656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22" ht="57" x14ac:dyDescent="0.2">
      <c r="A27" s="20" t="s">
        <v>644</v>
      </c>
      <c r="B27" s="20" t="s">
        <v>645</v>
      </c>
      <c r="C27" s="20" t="s">
        <v>646</v>
      </c>
      <c r="D27" s="20" t="s">
        <v>647</v>
      </c>
      <c r="E27" s="20" t="s">
        <v>648</v>
      </c>
      <c r="F27" s="20" t="s">
        <v>649</v>
      </c>
      <c r="G27" s="20" t="s">
        <v>650</v>
      </c>
      <c r="H27" s="20" t="s">
        <v>651</v>
      </c>
      <c r="I27" s="20" t="s">
        <v>652</v>
      </c>
      <c r="J27" s="20" t="s">
        <v>653</v>
      </c>
      <c r="K27" s="20" t="s">
        <v>654</v>
      </c>
      <c r="L27" s="20" t="s">
        <v>655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57" x14ac:dyDescent="0.2">
      <c r="A29" s="47" t="str">
        <f>Source!E24</f>
        <v>1</v>
      </c>
      <c r="B29" s="48" t="str">
        <f>Source!F24</f>
        <v>м08-01-011-02</v>
      </c>
      <c r="C29" s="48" t="str">
        <f>Source!G24</f>
        <v>Демонтаж: Разъединитель трехполюсный напряжением 35 кВ, на ток 1000А с одним или двумя заземляющими ножами</v>
      </c>
      <c r="D29" s="30" t="str">
        <f>Source!H24</f>
        <v>КОМПЛ</v>
      </c>
      <c r="E29" s="10">
        <f>Source!I24</f>
        <v>8</v>
      </c>
      <c r="F29" s="31">
        <f>Source!AL24+Source!AM24+Source!AO24</f>
        <v>893.52</v>
      </c>
      <c r="G29" s="32"/>
      <c r="H29" s="31"/>
      <c r="I29" s="32" t="str">
        <f>Source!BO24</f>
        <v/>
      </c>
      <c r="J29" s="32"/>
      <c r="K29" s="31"/>
      <c r="L29" s="33"/>
      <c r="S29">
        <f>ROUND((Source!FX24/100)*((ROUND(Source!AF24*Source!I24, 2)+ROUND(Source!AE24*Source!I24, 2))), 2)</f>
        <v>793.82</v>
      </c>
      <c r="T29">
        <f>Source!X24</f>
        <v>3873.83</v>
      </c>
      <c r="U29">
        <f>ROUND((Source!FY24/100)*((ROUND(Source!AF24*Source!I24, 2)+ROUND(Source!AE24*Source!I24, 2))), 2)</f>
        <v>543.14</v>
      </c>
      <c r="V29">
        <f>Source!Y24</f>
        <v>2650.52</v>
      </c>
    </row>
    <row r="30" spans="1:22" ht="14.25" x14ac:dyDescent="0.2">
      <c r="A30" s="47"/>
      <c r="B30" s="48"/>
      <c r="C30" s="48" t="s">
        <v>657</v>
      </c>
      <c r="D30" s="30"/>
      <c r="E30" s="10"/>
      <c r="F30" s="31">
        <f>Source!AO24</f>
        <v>302.07</v>
      </c>
      <c r="G30" s="32" t="str">
        <f>Source!DG24</f>
        <v>)*0,3</v>
      </c>
      <c r="H30" s="31">
        <f>ROUND(Source!AF24*Source!I24, 2)</f>
        <v>724.96</v>
      </c>
      <c r="I30" s="32"/>
      <c r="J30" s="32">
        <f>IF(Source!BA24&lt;&gt; 0, Source!BA24, 1)</f>
        <v>4.88</v>
      </c>
      <c r="K30" s="31">
        <f>Source!S24</f>
        <v>3537.8</v>
      </c>
      <c r="L30" s="33"/>
      <c r="R30">
        <f>H30</f>
        <v>724.96</v>
      </c>
    </row>
    <row r="31" spans="1:22" ht="14.25" x14ac:dyDescent="0.2">
      <c r="A31" s="47"/>
      <c r="B31" s="48"/>
      <c r="C31" s="48" t="s">
        <v>303</v>
      </c>
      <c r="D31" s="30"/>
      <c r="E31" s="10"/>
      <c r="F31" s="31">
        <f>Source!AM24</f>
        <v>396.99</v>
      </c>
      <c r="G31" s="32" t="str">
        <f>Source!DE24</f>
        <v>)*0,3</v>
      </c>
      <c r="H31" s="31">
        <f>ROUND(Source!AD24*Source!I24, 2)</f>
        <v>952.8</v>
      </c>
      <c r="I31" s="32"/>
      <c r="J31" s="32">
        <f>IF(Source!BB24&lt;&gt; 0, Source!BB24, 1)</f>
        <v>4.88</v>
      </c>
      <c r="K31" s="31">
        <f>Source!Q24</f>
        <v>4649.66</v>
      </c>
      <c r="L31" s="33"/>
    </row>
    <row r="32" spans="1:22" ht="14.25" x14ac:dyDescent="0.2">
      <c r="A32" s="47"/>
      <c r="B32" s="48"/>
      <c r="C32" s="48" t="s">
        <v>658</v>
      </c>
      <c r="D32" s="30"/>
      <c r="E32" s="10"/>
      <c r="F32" s="31">
        <f>Source!AN24</f>
        <v>46.1</v>
      </c>
      <c r="G32" s="32" t="str">
        <f>Source!DF24</f>
        <v>)*0,3</v>
      </c>
      <c r="H32" s="34">
        <f>ROUND(Source!AE24*Source!I24, 2)</f>
        <v>110.64</v>
      </c>
      <c r="I32" s="32"/>
      <c r="J32" s="32">
        <f>IF(Source!BS24&lt;&gt; 0, Source!BS24, 1)</f>
        <v>4.88</v>
      </c>
      <c r="K32" s="34">
        <f>Source!R24</f>
        <v>539.91999999999996</v>
      </c>
      <c r="L32" s="33"/>
      <c r="R32">
        <f>H32</f>
        <v>110.64</v>
      </c>
    </row>
    <row r="33" spans="1:26" ht="14.25" x14ac:dyDescent="0.2">
      <c r="A33" s="47"/>
      <c r="B33" s="48"/>
      <c r="C33" s="48" t="s">
        <v>659</v>
      </c>
      <c r="D33" s="30" t="s">
        <v>660</v>
      </c>
      <c r="E33" s="10">
        <f>Source!BZ24</f>
        <v>95</v>
      </c>
      <c r="F33" s="51"/>
      <c r="G33" s="32"/>
      <c r="H33" s="31">
        <f>SUM(S29:S35)</f>
        <v>793.82</v>
      </c>
      <c r="I33" s="35"/>
      <c r="J33" s="28">
        <f>Source!AT24</f>
        <v>95</v>
      </c>
      <c r="K33" s="31">
        <f>SUM(T29:T35)</f>
        <v>3873.83</v>
      </c>
      <c r="L33" s="33"/>
    </row>
    <row r="34" spans="1:26" ht="14.25" x14ac:dyDescent="0.2">
      <c r="A34" s="47"/>
      <c r="B34" s="48"/>
      <c r="C34" s="48" t="s">
        <v>661</v>
      </c>
      <c r="D34" s="30" t="s">
        <v>660</v>
      </c>
      <c r="E34" s="10">
        <f>Source!CA24</f>
        <v>65</v>
      </c>
      <c r="F34" s="51"/>
      <c r="G34" s="32"/>
      <c r="H34" s="31">
        <f>SUM(U29:U35)</f>
        <v>543.14</v>
      </c>
      <c r="I34" s="35"/>
      <c r="J34" s="28">
        <f>Source!AU24</f>
        <v>65</v>
      </c>
      <c r="K34" s="31">
        <f>SUM(V29:V35)</f>
        <v>2650.52</v>
      </c>
      <c r="L34" s="33"/>
    </row>
    <row r="35" spans="1:26" ht="14.25" x14ac:dyDescent="0.2">
      <c r="A35" s="49"/>
      <c r="B35" s="50"/>
      <c r="C35" s="50" t="s">
        <v>662</v>
      </c>
      <c r="D35" s="36" t="s">
        <v>663</v>
      </c>
      <c r="E35" s="37">
        <f>Source!AQ24</f>
        <v>31.4</v>
      </c>
      <c r="F35" s="38"/>
      <c r="G35" s="39" t="str">
        <f>Source!DI24</f>
        <v>)*0,3</v>
      </c>
      <c r="H35" s="38"/>
      <c r="I35" s="39"/>
      <c r="J35" s="39"/>
      <c r="K35" s="38"/>
      <c r="L35" s="40">
        <f>Source!U24</f>
        <v>75.36</v>
      </c>
    </row>
    <row r="36" spans="1:26" ht="15" x14ac:dyDescent="0.25">
      <c r="G36" s="57">
        <f>H30+H31+H33+H34</f>
        <v>3014.72</v>
      </c>
      <c r="H36" s="57"/>
      <c r="J36" s="57">
        <f>K30+K31+K33+K34</f>
        <v>14711.810000000001</v>
      </c>
      <c r="K36" s="57"/>
      <c r="L36" s="41">
        <f>Source!U24</f>
        <v>75.36</v>
      </c>
      <c r="O36" s="23">
        <f>G36</f>
        <v>3014.72</v>
      </c>
      <c r="P36" s="23">
        <f>J36</f>
        <v>14711.810000000001</v>
      </c>
      <c r="Q36" s="23">
        <f>L36</f>
        <v>75.36</v>
      </c>
      <c r="W36">
        <f>IF(Source!BI24&lt;=1,H30+H31+H33+H34, 0)</f>
        <v>0</v>
      </c>
      <c r="X36">
        <f>IF(Source!BI24=2,H30+H31+H33+H34, 0)</f>
        <v>3014.72</v>
      </c>
      <c r="Y36">
        <f>IF(Source!BI24=3,H30+H31+H33+H34, 0)</f>
        <v>0</v>
      </c>
      <c r="Z36">
        <f>IF(Source!BI24=4,H30+H31+H33+H34, 0)</f>
        <v>0</v>
      </c>
    </row>
    <row r="37" spans="1:26" ht="42.75" x14ac:dyDescent="0.2">
      <c r="A37" s="47" t="str">
        <f>Source!E25</f>
        <v>2</v>
      </c>
      <c r="B37" s="48" t="str">
        <f>Source!F25</f>
        <v>м08-02-374-03 прим.</v>
      </c>
      <c r="C37" s="48" t="str">
        <f>Source!G25</f>
        <v>Демонтаж: Устройство ввода в здание в стальной трубе, провод сечением до 16 мм2, количество проводов в линии 4</v>
      </c>
      <c r="D37" s="30" t="str">
        <f>Source!H25</f>
        <v>ШТ</v>
      </c>
      <c r="E37" s="10">
        <f>Source!I25</f>
        <v>18</v>
      </c>
      <c r="F37" s="31">
        <f>Source!AL25+Source!AM25+Source!AO25</f>
        <v>585.11000000000013</v>
      </c>
      <c r="G37" s="32"/>
      <c r="H37" s="31"/>
      <c r="I37" s="32" t="str">
        <f>Source!BO25</f>
        <v/>
      </c>
      <c r="J37" s="32"/>
      <c r="K37" s="31"/>
      <c r="L37" s="33"/>
      <c r="S37">
        <f>ROUND((Source!FX25/100)*((ROUND(Source!AF25*Source!I25, 2)+ROUND(Source!AE25*Source!I25, 2))), 2)</f>
        <v>488.38</v>
      </c>
      <c r="T37">
        <f>Source!X25</f>
        <v>2383.27</v>
      </c>
      <c r="U37">
        <f>ROUND((Source!FY25/100)*((ROUND(Source!AF25*Source!I25, 2)+ROUND(Source!AE25*Source!I25, 2))), 2)</f>
        <v>334.15</v>
      </c>
      <c r="V37">
        <f>Source!Y25</f>
        <v>1630.66</v>
      </c>
    </row>
    <row r="38" spans="1:26" ht="14.25" x14ac:dyDescent="0.2">
      <c r="A38" s="47"/>
      <c r="B38" s="48"/>
      <c r="C38" s="48" t="s">
        <v>657</v>
      </c>
      <c r="D38" s="30"/>
      <c r="E38" s="10"/>
      <c r="F38" s="31">
        <f>Source!AO25</f>
        <v>44.84</v>
      </c>
      <c r="G38" s="32" t="str">
        <f>Source!DG25</f>
        <v>)*0,3</v>
      </c>
      <c r="H38" s="31">
        <f>ROUND(Source!AF25*Source!I25, 2)</f>
        <v>242.1</v>
      </c>
      <c r="I38" s="32"/>
      <c r="J38" s="32">
        <f>IF(Source!BA25&lt;&gt; 0, Source!BA25, 1)</f>
        <v>4.88</v>
      </c>
      <c r="K38" s="31">
        <f>Source!S25</f>
        <v>1181.45</v>
      </c>
      <c r="L38" s="33"/>
      <c r="R38">
        <f>H38</f>
        <v>242.1</v>
      </c>
    </row>
    <row r="39" spans="1:26" ht="14.25" x14ac:dyDescent="0.2">
      <c r="A39" s="47"/>
      <c r="B39" s="48"/>
      <c r="C39" s="48" t="s">
        <v>303</v>
      </c>
      <c r="D39" s="30"/>
      <c r="E39" s="10"/>
      <c r="F39" s="31">
        <f>Source!AM25</f>
        <v>531.20000000000005</v>
      </c>
      <c r="G39" s="32" t="str">
        <f>Source!DE25</f>
        <v>)*0,3</v>
      </c>
      <c r="H39" s="31">
        <f>ROUND(Source!AD25*Source!I25, 2)</f>
        <v>2868.66</v>
      </c>
      <c r="I39" s="32"/>
      <c r="J39" s="32">
        <f>IF(Source!BB25&lt;&gt; 0, Source!BB25, 1)</f>
        <v>4.88</v>
      </c>
      <c r="K39" s="31">
        <f>Source!Q25</f>
        <v>13999.06</v>
      </c>
      <c r="L39" s="33"/>
    </row>
    <row r="40" spans="1:26" ht="14.25" x14ac:dyDescent="0.2">
      <c r="A40" s="47"/>
      <c r="B40" s="48"/>
      <c r="C40" s="48" t="s">
        <v>658</v>
      </c>
      <c r="D40" s="30"/>
      <c r="E40" s="10"/>
      <c r="F40" s="31">
        <f>Source!AN25</f>
        <v>50.35</v>
      </c>
      <c r="G40" s="32" t="str">
        <f>Source!DF25</f>
        <v>)*0,3</v>
      </c>
      <c r="H40" s="34">
        <f>ROUND(Source!AE25*Source!I25, 2)</f>
        <v>271.98</v>
      </c>
      <c r="I40" s="32"/>
      <c r="J40" s="32">
        <f>IF(Source!BS25&lt;&gt; 0, Source!BS25, 1)</f>
        <v>4.88</v>
      </c>
      <c r="K40" s="34">
        <f>Source!R25</f>
        <v>1327.26</v>
      </c>
      <c r="L40" s="33"/>
      <c r="R40">
        <f>H40</f>
        <v>271.98</v>
      </c>
    </row>
    <row r="41" spans="1:26" ht="14.25" x14ac:dyDescent="0.2">
      <c r="A41" s="47"/>
      <c r="B41" s="48"/>
      <c r="C41" s="48" t="s">
        <v>659</v>
      </c>
      <c r="D41" s="30" t="s">
        <v>660</v>
      </c>
      <c r="E41" s="10">
        <f>Source!BZ25</f>
        <v>95</v>
      </c>
      <c r="F41" s="51"/>
      <c r="G41" s="32"/>
      <c r="H41" s="31">
        <f>SUM(S37:S43)</f>
        <v>488.38</v>
      </c>
      <c r="I41" s="35"/>
      <c r="J41" s="28">
        <f>Source!AT25</f>
        <v>95</v>
      </c>
      <c r="K41" s="31">
        <f>SUM(T37:T43)</f>
        <v>2383.27</v>
      </c>
      <c r="L41" s="33"/>
    </row>
    <row r="42" spans="1:26" ht="14.25" x14ac:dyDescent="0.2">
      <c r="A42" s="47"/>
      <c r="B42" s="48"/>
      <c r="C42" s="48" t="s">
        <v>661</v>
      </c>
      <c r="D42" s="30" t="s">
        <v>660</v>
      </c>
      <c r="E42" s="10">
        <f>Source!CA25</f>
        <v>65</v>
      </c>
      <c r="F42" s="51"/>
      <c r="G42" s="32"/>
      <c r="H42" s="31">
        <f>SUM(U37:U43)</f>
        <v>334.15</v>
      </c>
      <c r="I42" s="35"/>
      <c r="J42" s="28">
        <f>Source!AU25</f>
        <v>65</v>
      </c>
      <c r="K42" s="31">
        <f>SUM(V37:V43)</f>
        <v>1630.66</v>
      </c>
      <c r="L42" s="33"/>
    </row>
    <row r="43" spans="1:26" ht="14.25" x14ac:dyDescent="0.2">
      <c r="A43" s="49"/>
      <c r="B43" s="50"/>
      <c r="C43" s="50" t="s">
        <v>662</v>
      </c>
      <c r="D43" s="36" t="s">
        <v>663</v>
      </c>
      <c r="E43" s="37">
        <f>Source!AQ25</f>
        <v>4.2699999999999996</v>
      </c>
      <c r="F43" s="38"/>
      <c r="G43" s="39" t="str">
        <f>Source!DI25</f>
        <v>)*0,3</v>
      </c>
      <c r="H43" s="38"/>
      <c r="I43" s="39"/>
      <c r="J43" s="39"/>
      <c r="K43" s="38"/>
      <c r="L43" s="40">
        <f>Source!U25</f>
        <v>23.058</v>
      </c>
    </row>
    <row r="44" spans="1:26" ht="15" x14ac:dyDescent="0.25">
      <c r="G44" s="57">
        <f>H38+H39+H41+H42</f>
        <v>3933.29</v>
      </c>
      <c r="H44" s="57"/>
      <c r="J44" s="57">
        <f>K38+K39+K41+K42</f>
        <v>19194.439999999999</v>
      </c>
      <c r="K44" s="57"/>
      <c r="L44" s="41">
        <f>Source!U25</f>
        <v>23.058</v>
      </c>
      <c r="O44" s="23">
        <f>G44</f>
        <v>3933.29</v>
      </c>
      <c r="P44" s="23">
        <f>J44</f>
        <v>19194.439999999999</v>
      </c>
      <c r="Q44" s="23">
        <f>L44</f>
        <v>23.058</v>
      </c>
      <c r="W44">
        <f>IF(Source!BI25&lt;=1,H38+H39+H41+H42, 0)</f>
        <v>0</v>
      </c>
      <c r="X44">
        <f>IF(Source!BI25=2,H38+H39+H41+H42, 0)</f>
        <v>3933.29</v>
      </c>
      <c r="Y44">
        <f>IF(Source!BI25=3,H38+H39+H41+H42, 0)</f>
        <v>0</v>
      </c>
      <c r="Z44">
        <f>IF(Source!BI25=4,H38+H39+H41+H42, 0)</f>
        <v>0</v>
      </c>
    </row>
    <row r="45" spans="1:26" ht="57" x14ac:dyDescent="0.2">
      <c r="A45" s="47" t="str">
        <f>Source!E26</f>
        <v>3</v>
      </c>
      <c r="B45" s="48" t="str">
        <f>Source!F26</f>
        <v>м08-03-530-05</v>
      </c>
      <c r="C45" s="48" t="str">
        <f>Source!G26</f>
        <v>Демонтаж:Пускатель магнитный общего назначения отдельно стоящий, устанавливаемый на конструкции на стене или колонне, на ток до 100 А</v>
      </c>
      <c r="D45" s="30" t="str">
        <f>Source!H26</f>
        <v>ШТ</v>
      </c>
      <c r="E45" s="10">
        <f>Source!I26</f>
        <v>1</v>
      </c>
      <c r="F45" s="31">
        <f>Source!AL26+Source!AM26+Source!AO26</f>
        <v>104.50999999999999</v>
      </c>
      <c r="G45" s="32"/>
      <c r="H45" s="31"/>
      <c r="I45" s="32" t="str">
        <f>Source!BO26</f>
        <v/>
      </c>
      <c r="J45" s="32"/>
      <c r="K45" s="31"/>
      <c r="L45" s="33"/>
      <c r="S45">
        <f>ROUND((Source!FX26/100)*((ROUND(Source!AF26*Source!I26, 2)+ROUND(Source!AE26*Source!I26, 2))), 2)</f>
        <v>10.3</v>
      </c>
      <c r="T45">
        <f>Source!X26</f>
        <v>50.26</v>
      </c>
      <c r="U45">
        <f>ROUND((Source!FY26/100)*((ROUND(Source!AF26*Source!I26, 2)+ROUND(Source!AE26*Source!I26, 2))), 2)</f>
        <v>7.05</v>
      </c>
      <c r="V45">
        <f>Source!Y26</f>
        <v>34.39</v>
      </c>
    </row>
    <row r="46" spans="1:26" ht="14.25" x14ac:dyDescent="0.2">
      <c r="A46" s="47"/>
      <c r="B46" s="48"/>
      <c r="C46" s="48" t="s">
        <v>657</v>
      </c>
      <c r="D46" s="30"/>
      <c r="E46" s="10"/>
      <c r="F46" s="31">
        <f>Source!AO26</f>
        <v>35.86</v>
      </c>
      <c r="G46" s="32" t="str">
        <f>Source!DG26</f>
        <v>)*0,3</v>
      </c>
      <c r="H46" s="31">
        <f>ROUND(Source!AF26*Source!I26, 2)</f>
        <v>10.76</v>
      </c>
      <c r="I46" s="32"/>
      <c r="J46" s="32">
        <f>IF(Source!BA26&lt;&gt; 0, Source!BA26, 1)</f>
        <v>4.88</v>
      </c>
      <c r="K46" s="31">
        <f>Source!S26</f>
        <v>52.51</v>
      </c>
      <c r="L46" s="33"/>
      <c r="R46">
        <f>H46</f>
        <v>10.76</v>
      </c>
    </row>
    <row r="47" spans="1:26" ht="14.25" x14ac:dyDescent="0.2">
      <c r="A47" s="47"/>
      <c r="B47" s="48"/>
      <c r="C47" s="48" t="s">
        <v>303</v>
      </c>
      <c r="D47" s="30"/>
      <c r="E47" s="10"/>
      <c r="F47" s="31">
        <f>Source!AM26</f>
        <v>3.05</v>
      </c>
      <c r="G47" s="32" t="str">
        <f>Source!DE26</f>
        <v>)*0,3</v>
      </c>
      <c r="H47" s="31">
        <f>ROUND(Source!AD26*Source!I26, 2)</f>
        <v>0.92</v>
      </c>
      <c r="I47" s="32"/>
      <c r="J47" s="32">
        <f>IF(Source!BB26&lt;&gt; 0, Source!BB26, 1)</f>
        <v>4.88</v>
      </c>
      <c r="K47" s="31">
        <f>Source!Q26</f>
        <v>4.49</v>
      </c>
      <c r="L47" s="33"/>
    </row>
    <row r="48" spans="1:26" ht="14.25" x14ac:dyDescent="0.2">
      <c r="A48" s="47"/>
      <c r="B48" s="48"/>
      <c r="C48" s="48" t="s">
        <v>658</v>
      </c>
      <c r="D48" s="30"/>
      <c r="E48" s="10"/>
      <c r="F48" s="31">
        <f>Source!AN26</f>
        <v>0.26</v>
      </c>
      <c r="G48" s="32" t="str">
        <f>Source!DF26</f>
        <v>)*0,3</v>
      </c>
      <c r="H48" s="34">
        <f>ROUND(Source!AE26*Source!I26, 2)</f>
        <v>0.08</v>
      </c>
      <c r="I48" s="32"/>
      <c r="J48" s="32">
        <f>IF(Source!BS26&lt;&gt; 0, Source!BS26, 1)</f>
        <v>4.88</v>
      </c>
      <c r="K48" s="34">
        <f>Source!R26</f>
        <v>0.39</v>
      </c>
      <c r="L48" s="33"/>
      <c r="R48">
        <f>H48</f>
        <v>0.08</v>
      </c>
    </row>
    <row r="49" spans="1:26" ht="14.25" x14ac:dyDescent="0.2">
      <c r="A49" s="47"/>
      <c r="B49" s="48"/>
      <c r="C49" s="48" t="s">
        <v>659</v>
      </c>
      <c r="D49" s="30" t="s">
        <v>660</v>
      </c>
      <c r="E49" s="10">
        <f>Source!BZ26</f>
        <v>95</v>
      </c>
      <c r="F49" s="51"/>
      <c r="G49" s="32"/>
      <c r="H49" s="31">
        <f>SUM(S45:S51)</f>
        <v>10.3</v>
      </c>
      <c r="I49" s="35"/>
      <c r="J49" s="28">
        <f>Source!AT26</f>
        <v>95</v>
      </c>
      <c r="K49" s="31">
        <f>SUM(T45:T51)</f>
        <v>50.26</v>
      </c>
      <c r="L49" s="33"/>
    </row>
    <row r="50" spans="1:26" ht="14.25" x14ac:dyDescent="0.2">
      <c r="A50" s="47"/>
      <c r="B50" s="48"/>
      <c r="C50" s="48" t="s">
        <v>661</v>
      </c>
      <c r="D50" s="30" t="s">
        <v>660</v>
      </c>
      <c r="E50" s="10">
        <f>Source!CA26</f>
        <v>65</v>
      </c>
      <c r="F50" s="51"/>
      <c r="G50" s="32"/>
      <c r="H50" s="31">
        <f>SUM(U45:U51)</f>
        <v>7.05</v>
      </c>
      <c r="I50" s="35"/>
      <c r="J50" s="28">
        <f>Source!AU26</f>
        <v>65</v>
      </c>
      <c r="K50" s="31">
        <f>SUM(V45:V51)</f>
        <v>34.39</v>
      </c>
      <c r="L50" s="33"/>
    </row>
    <row r="51" spans="1:26" ht="14.25" x14ac:dyDescent="0.2">
      <c r="A51" s="49"/>
      <c r="B51" s="50"/>
      <c r="C51" s="50" t="s">
        <v>662</v>
      </c>
      <c r="D51" s="36" t="s">
        <v>663</v>
      </c>
      <c r="E51" s="37">
        <f>Source!AQ26</f>
        <v>3.86</v>
      </c>
      <c r="F51" s="38"/>
      <c r="G51" s="39" t="str">
        <f>Source!DI26</f>
        <v>)*0,3</v>
      </c>
      <c r="H51" s="38"/>
      <c r="I51" s="39"/>
      <c r="J51" s="39"/>
      <c r="K51" s="38"/>
      <c r="L51" s="40">
        <f>Source!U26</f>
        <v>1.1579999999999999</v>
      </c>
    </row>
    <row r="52" spans="1:26" ht="15" x14ac:dyDescent="0.25">
      <c r="G52" s="57">
        <f>H46+H47+H49+H50</f>
        <v>29.03</v>
      </c>
      <c r="H52" s="57"/>
      <c r="J52" s="57">
        <f>K46+K47+K49+K50</f>
        <v>141.64999999999998</v>
      </c>
      <c r="K52" s="57"/>
      <c r="L52" s="41">
        <f>Source!U26</f>
        <v>1.1579999999999999</v>
      </c>
      <c r="O52" s="23">
        <f>G52</f>
        <v>29.03</v>
      </c>
      <c r="P52" s="23">
        <f>J52</f>
        <v>141.64999999999998</v>
      </c>
      <c r="Q52" s="23">
        <f>L52</f>
        <v>1.1579999999999999</v>
      </c>
      <c r="W52">
        <f>IF(Source!BI26&lt;=1,H46+H47+H49+H50, 0)</f>
        <v>0</v>
      </c>
      <c r="X52">
        <f>IF(Source!BI26=2,H46+H47+H49+H50, 0)</f>
        <v>29.03</v>
      </c>
      <c r="Y52">
        <f>IF(Source!BI26=3,H46+H47+H49+H50, 0)</f>
        <v>0</v>
      </c>
      <c r="Z52">
        <f>IF(Source!BI26=4,H46+H47+H49+H50, 0)</f>
        <v>0</v>
      </c>
    </row>
    <row r="53" spans="1:26" ht="14.25" x14ac:dyDescent="0.2">
      <c r="A53" s="47" t="str">
        <f>Source!E27</f>
        <v>4</v>
      </c>
      <c r="B53" s="48" t="str">
        <f>Source!F27</f>
        <v>67-3-1</v>
      </c>
      <c r="C53" s="48" t="str">
        <f>Source!G27</f>
        <v>Демонтаж кабеля</v>
      </c>
      <c r="D53" s="30" t="str">
        <f>Source!H27</f>
        <v>100 м</v>
      </c>
      <c r="E53" s="10">
        <f>Source!I27</f>
        <v>0.18</v>
      </c>
      <c r="F53" s="31">
        <f>Source!AL27+Source!AM27+Source!AO27</f>
        <v>75.5</v>
      </c>
      <c r="G53" s="32"/>
      <c r="H53" s="31"/>
      <c r="I53" s="32" t="str">
        <f>Source!BO27</f>
        <v/>
      </c>
      <c r="J53" s="32"/>
      <c r="K53" s="31"/>
      <c r="L53" s="33"/>
      <c r="S53">
        <f>ROUND((Source!FX27/100)*((ROUND(Source!AF27*Source!I27, 2)+ROUND(Source!AE27*Source!I27, 2))), 2)</f>
        <v>11.53</v>
      </c>
      <c r="T53">
        <f>Source!X27</f>
        <v>56.24</v>
      </c>
      <c r="U53">
        <f>ROUND((Source!FY27/100)*((ROUND(Source!AF27*Source!I27, 2)+ROUND(Source!AE27*Source!I27, 2))), 2)</f>
        <v>8.81</v>
      </c>
      <c r="V53">
        <f>Source!Y27</f>
        <v>43.01</v>
      </c>
    </row>
    <row r="54" spans="1:26" x14ac:dyDescent="0.2">
      <c r="C54" s="25" t="str">
        <f>"Объем: "&amp;Source!I27&amp;"=18/"&amp;"100"</f>
        <v>Объем: 0,18=18/100</v>
      </c>
    </row>
    <row r="55" spans="1:26" ht="14.25" x14ac:dyDescent="0.2">
      <c r="A55" s="47"/>
      <c r="B55" s="48"/>
      <c r="C55" s="48" t="s">
        <v>657</v>
      </c>
      <c r="D55" s="30"/>
      <c r="E55" s="10"/>
      <c r="F55" s="31">
        <f>Source!AO27</f>
        <v>75.19</v>
      </c>
      <c r="G55" s="32" t="str">
        <f>Source!DG27</f>
        <v/>
      </c>
      <c r="H55" s="31">
        <f>ROUND(Source!AF27*Source!I27, 2)</f>
        <v>13.53</v>
      </c>
      <c r="I55" s="32"/>
      <c r="J55" s="32">
        <f>IF(Source!BA27&lt;&gt; 0, Source!BA27, 1)</f>
        <v>4.88</v>
      </c>
      <c r="K55" s="31">
        <f>Source!S27</f>
        <v>66.05</v>
      </c>
      <c r="L55" s="33"/>
      <c r="R55">
        <f>H55</f>
        <v>13.53</v>
      </c>
    </row>
    <row r="56" spans="1:26" ht="14.25" x14ac:dyDescent="0.2">
      <c r="A56" s="47"/>
      <c r="B56" s="48"/>
      <c r="C56" s="48" t="s">
        <v>303</v>
      </c>
      <c r="D56" s="30"/>
      <c r="E56" s="10"/>
      <c r="F56" s="31">
        <f>Source!AM27</f>
        <v>0.31</v>
      </c>
      <c r="G56" s="32" t="str">
        <f>Source!DE27</f>
        <v/>
      </c>
      <c r="H56" s="31">
        <f>ROUND(Source!AD27*Source!I27, 2)</f>
        <v>0.06</v>
      </c>
      <c r="I56" s="32"/>
      <c r="J56" s="32">
        <f>IF(Source!BB27&lt;&gt; 0, Source!BB27, 1)</f>
        <v>4.88</v>
      </c>
      <c r="K56" s="31">
        <f>Source!Q27</f>
        <v>0.27</v>
      </c>
      <c r="L56" s="33"/>
    </row>
    <row r="57" spans="1:26" ht="14.25" x14ac:dyDescent="0.2">
      <c r="A57" s="47"/>
      <c r="B57" s="48"/>
      <c r="C57" s="48" t="s">
        <v>658</v>
      </c>
      <c r="D57" s="30"/>
      <c r="E57" s="10"/>
      <c r="F57" s="31">
        <f>Source!AN27</f>
        <v>0.14000000000000001</v>
      </c>
      <c r="G57" s="32" t="str">
        <f>Source!DF27</f>
        <v/>
      </c>
      <c r="H57" s="34">
        <f>ROUND(Source!AE27*Source!I27, 2)</f>
        <v>0.03</v>
      </c>
      <c r="I57" s="32"/>
      <c r="J57" s="32">
        <f>IF(Source!BS27&lt;&gt; 0, Source!BS27, 1)</f>
        <v>4.88</v>
      </c>
      <c r="K57" s="34">
        <f>Source!R27</f>
        <v>0.12</v>
      </c>
      <c r="L57" s="33"/>
      <c r="R57">
        <f>H57</f>
        <v>0.03</v>
      </c>
    </row>
    <row r="58" spans="1:26" ht="14.25" x14ac:dyDescent="0.2">
      <c r="A58" s="47"/>
      <c r="B58" s="48"/>
      <c r="C58" s="48" t="s">
        <v>659</v>
      </c>
      <c r="D58" s="30" t="s">
        <v>660</v>
      </c>
      <c r="E58" s="10">
        <f>Source!BZ27</f>
        <v>85</v>
      </c>
      <c r="F58" s="51"/>
      <c r="G58" s="32"/>
      <c r="H58" s="31">
        <f>SUM(S53:S60)</f>
        <v>11.53</v>
      </c>
      <c r="I58" s="35"/>
      <c r="J58" s="28">
        <f>Source!AT27</f>
        <v>85</v>
      </c>
      <c r="K58" s="31">
        <f>SUM(T53:T60)</f>
        <v>56.24</v>
      </c>
      <c r="L58" s="33"/>
    </row>
    <row r="59" spans="1:26" ht="14.25" x14ac:dyDescent="0.2">
      <c r="A59" s="47"/>
      <c r="B59" s="48"/>
      <c r="C59" s="48" t="s">
        <v>661</v>
      </c>
      <c r="D59" s="30" t="s">
        <v>660</v>
      </c>
      <c r="E59" s="10">
        <f>Source!CA27</f>
        <v>65</v>
      </c>
      <c r="F59" s="51"/>
      <c r="G59" s="32"/>
      <c r="H59" s="31">
        <f>SUM(U53:U60)</f>
        <v>8.81</v>
      </c>
      <c r="I59" s="35"/>
      <c r="J59" s="28">
        <f>Source!AU27</f>
        <v>65</v>
      </c>
      <c r="K59" s="31">
        <f>SUM(V53:V60)</f>
        <v>43.01</v>
      </c>
      <c r="L59" s="33"/>
    </row>
    <row r="60" spans="1:26" ht="14.25" x14ac:dyDescent="0.2">
      <c r="A60" s="49"/>
      <c r="B60" s="50"/>
      <c r="C60" s="50" t="s">
        <v>662</v>
      </c>
      <c r="D60" s="36" t="s">
        <v>663</v>
      </c>
      <c r="E60" s="37">
        <f>Source!AQ27</f>
        <v>9.64</v>
      </c>
      <c r="F60" s="38"/>
      <c r="G60" s="39" t="str">
        <f>Source!DI27</f>
        <v/>
      </c>
      <c r="H60" s="38"/>
      <c r="I60" s="39"/>
      <c r="J60" s="39"/>
      <c r="K60" s="38"/>
      <c r="L60" s="40">
        <f>Source!U27</f>
        <v>1.7352000000000001</v>
      </c>
    </row>
    <row r="61" spans="1:26" ht="15" x14ac:dyDescent="0.25">
      <c r="G61" s="57">
        <f>H55+H56+H58+H59</f>
        <v>33.93</v>
      </c>
      <c r="H61" s="57"/>
      <c r="J61" s="57">
        <f>K55+K56+K58+K59</f>
        <v>165.57</v>
      </c>
      <c r="K61" s="57"/>
      <c r="L61" s="41">
        <f>Source!U27</f>
        <v>1.7352000000000001</v>
      </c>
      <c r="O61" s="23">
        <f>G61</f>
        <v>33.93</v>
      </c>
      <c r="P61" s="23">
        <f>J61</f>
        <v>165.57</v>
      </c>
      <c r="Q61" s="23">
        <f>L61</f>
        <v>1.7352000000000001</v>
      </c>
      <c r="W61">
        <f>IF(Source!BI27&lt;=1,H55+H56+H58+H59, 0)</f>
        <v>33.93</v>
      </c>
      <c r="X61">
        <f>IF(Source!BI27=2,H55+H56+H58+H59, 0)</f>
        <v>0</v>
      </c>
      <c r="Y61">
        <f>IF(Source!BI27=3,H55+H56+H58+H59, 0)</f>
        <v>0</v>
      </c>
      <c r="Z61">
        <f>IF(Source!BI27=4,H55+H56+H58+H59, 0)</f>
        <v>0</v>
      </c>
    </row>
    <row r="62" spans="1:26" ht="28.5" x14ac:dyDescent="0.2">
      <c r="A62" s="47" t="str">
        <f>Source!E28</f>
        <v>5</v>
      </c>
      <c r="B62" s="48" t="str">
        <f>Source!F28</f>
        <v>м08-02-370-01</v>
      </c>
      <c r="C62" s="48" t="str">
        <f>Source!G28</f>
        <v>Демонтаж: Щиток до трех групп, устанавливаемый в обхват колонн</v>
      </c>
      <c r="D62" s="30" t="str">
        <f>Source!H28</f>
        <v>ШТ</v>
      </c>
      <c r="E62" s="10">
        <f>Source!I28</f>
        <v>8</v>
      </c>
      <c r="F62" s="31">
        <f>Source!AL28+Source!AM28+Source!AO28</f>
        <v>32.99</v>
      </c>
      <c r="G62" s="32"/>
      <c r="H62" s="31"/>
      <c r="I62" s="32" t="str">
        <f>Source!BO28</f>
        <v/>
      </c>
      <c r="J62" s="32"/>
      <c r="K62" s="31"/>
      <c r="L62" s="33"/>
      <c r="S62">
        <f>ROUND((Source!FX28/100)*((ROUND(Source!AF28*Source!I28, 2)+ROUND(Source!AE28*Source!I28, 2))), 2)</f>
        <v>26.3</v>
      </c>
      <c r="T62">
        <f>Source!X28</f>
        <v>128.33000000000001</v>
      </c>
      <c r="U62">
        <f>ROUND((Source!FY28/100)*((ROUND(Source!AF28*Source!I28, 2)+ROUND(Source!AE28*Source!I28, 2))), 2)</f>
        <v>17.989999999999998</v>
      </c>
      <c r="V62">
        <f>Source!Y28</f>
        <v>87.8</v>
      </c>
    </row>
    <row r="63" spans="1:26" ht="14.25" x14ac:dyDescent="0.2">
      <c r="A63" s="47"/>
      <c r="B63" s="48"/>
      <c r="C63" s="48" t="s">
        <v>657</v>
      </c>
      <c r="D63" s="30"/>
      <c r="E63" s="10"/>
      <c r="F63" s="31">
        <f>Source!AO28</f>
        <v>9.0299999999999994</v>
      </c>
      <c r="G63" s="32" t="str">
        <f>Source!DG28</f>
        <v>)*0,3</v>
      </c>
      <c r="H63" s="31">
        <f>ROUND(Source!AF28*Source!I28, 2)</f>
        <v>21.68</v>
      </c>
      <c r="I63" s="32"/>
      <c r="J63" s="32">
        <f>IF(Source!BA28&lt;&gt; 0, Source!BA28, 1)</f>
        <v>4.88</v>
      </c>
      <c r="K63" s="31">
        <f>Source!S28</f>
        <v>105.8</v>
      </c>
      <c r="L63" s="33"/>
      <c r="R63">
        <f>H63</f>
        <v>21.68</v>
      </c>
    </row>
    <row r="64" spans="1:26" ht="14.25" x14ac:dyDescent="0.2">
      <c r="A64" s="47"/>
      <c r="B64" s="48"/>
      <c r="C64" s="48" t="s">
        <v>303</v>
      </c>
      <c r="D64" s="30"/>
      <c r="E64" s="10"/>
      <c r="F64" s="31">
        <f>Source!AM28</f>
        <v>17.77</v>
      </c>
      <c r="G64" s="32" t="str">
        <f>Source!DE28</f>
        <v>)*0,3</v>
      </c>
      <c r="H64" s="31">
        <f>ROUND(Source!AD28*Source!I28, 2)</f>
        <v>42.64</v>
      </c>
      <c r="I64" s="32"/>
      <c r="J64" s="32">
        <f>IF(Source!BB28&lt;&gt; 0, Source!BB28, 1)</f>
        <v>4.88</v>
      </c>
      <c r="K64" s="31">
        <f>Source!Q28</f>
        <v>208.08</v>
      </c>
      <c r="L64" s="33"/>
    </row>
    <row r="65" spans="1:26" ht="14.25" x14ac:dyDescent="0.2">
      <c r="A65" s="47"/>
      <c r="B65" s="48"/>
      <c r="C65" s="48" t="s">
        <v>658</v>
      </c>
      <c r="D65" s="30"/>
      <c r="E65" s="10"/>
      <c r="F65" s="31">
        <f>Source!AN28</f>
        <v>2.5099999999999998</v>
      </c>
      <c r="G65" s="32" t="str">
        <f>Source!DF28</f>
        <v>)*0,3</v>
      </c>
      <c r="H65" s="34">
        <f>ROUND(Source!AE28*Source!I28, 2)</f>
        <v>6</v>
      </c>
      <c r="I65" s="32"/>
      <c r="J65" s="32">
        <f>IF(Source!BS28&lt;&gt; 0, Source!BS28, 1)</f>
        <v>4.88</v>
      </c>
      <c r="K65" s="34">
        <f>Source!R28</f>
        <v>29.28</v>
      </c>
      <c r="L65" s="33"/>
      <c r="R65">
        <f>H65</f>
        <v>6</v>
      </c>
    </row>
    <row r="66" spans="1:26" ht="14.25" x14ac:dyDescent="0.2">
      <c r="A66" s="47"/>
      <c r="B66" s="48"/>
      <c r="C66" s="48" t="s">
        <v>659</v>
      </c>
      <c r="D66" s="30" t="s">
        <v>660</v>
      </c>
      <c r="E66" s="10">
        <f>Source!BZ28</f>
        <v>95</v>
      </c>
      <c r="F66" s="51"/>
      <c r="G66" s="32"/>
      <c r="H66" s="31">
        <f>SUM(S62:S68)</f>
        <v>26.3</v>
      </c>
      <c r="I66" s="35"/>
      <c r="J66" s="28">
        <f>Source!AT28</f>
        <v>95</v>
      </c>
      <c r="K66" s="31">
        <f>SUM(T62:T68)</f>
        <v>128.33000000000001</v>
      </c>
      <c r="L66" s="33"/>
    </row>
    <row r="67" spans="1:26" ht="14.25" x14ac:dyDescent="0.2">
      <c r="A67" s="47"/>
      <c r="B67" s="48"/>
      <c r="C67" s="48" t="s">
        <v>661</v>
      </c>
      <c r="D67" s="30" t="s">
        <v>660</v>
      </c>
      <c r="E67" s="10">
        <f>Source!CA28</f>
        <v>65</v>
      </c>
      <c r="F67" s="51"/>
      <c r="G67" s="32"/>
      <c r="H67" s="31">
        <f>SUM(U62:U68)</f>
        <v>17.989999999999998</v>
      </c>
      <c r="I67" s="35"/>
      <c r="J67" s="28">
        <f>Source!AU28</f>
        <v>65</v>
      </c>
      <c r="K67" s="31">
        <f>SUM(V62:V68)</f>
        <v>87.8</v>
      </c>
      <c r="L67" s="33"/>
    </row>
    <row r="68" spans="1:26" ht="14.25" x14ac:dyDescent="0.2">
      <c r="A68" s="49"/>
      <c r="B68" s="50"/>
      <c r="C68" s="50" t="s">
        <v>662</v>
      </c>
      <c r="D68" s="36" t="s">
        <v>663</v>
      </c>
      <c r="E68" s="37">
        <f>Source!AQ28</f>
        <v>0.86</v>
      </c>
      <c r="F68" s="38"/>
      <c r="G68" s="39" t="str">
        <f>Source!DI28</f>
        <v>)*0,3</v>
      </c>
      <c r="H68" s="38"/>
      <c r="I68" s="39"/>
      <c r="J68" s="39"/>
      <c r="K68" s="38"/>
      <c r="L68" s="40">
        <f>Source!U28</f>
        <v>2.0640000000000001</v>
      </c>
    </row>
    <row r="69" spans="1:26" ht="15" x14ac:dyDescent="0.25">
      <c r="G69" s="57">
        <f>H63+H64+H66+H67</f>
        <v>108.60999999999999</v>
      </c>
      <c r="H69" s="57"/>
      <c r="J69" s="57">
        <f>K63+K64+K66+K67</f>
        <v>530.01</v>
      </c>
      <c r="K69" s="57"/>
      <c r="L69" s="41">
        <f>Source!U28</f>
        <v>2.0640000000000001</v>
      </c>
      <c r="O69" s="23">
        <f>G69</f>
        <v>108.60999999999999</v>
      </c>
      <c r="P69" s="23">
        <f>J69</f>
        <v>530.01</v>
      </c>
      <c r="Q69" s="23">
        <f>L69</f>
        <v>2.0640000000000001</v>
      </c>
      <c r="W69">
        <f>IF(Source!BI28&lt;=1,H63+H64+H66+H67, 0)</f>
        <v>0</v>
      </c>
      <c r="X69">
        <f>IF(Source!BI28=2,H63+H64+H66+H67, 0)</f>
        <v>108.60999999999999</v>
      </c>
      <c r="Y69">
        <f>IF(Source!BI28=3,H63+H64+H66+H67, 0)</f>
        <v>0</v>
      </c>
      <c r="Z69">
        <f>IF(Source!BI28=4,H63+H64+H66+H67, 0)</f>
        <v>0</v>
      </c>
    </row>
    <row r="70" spans="1:26" ht="42.75" x14ac:dyDescent="0.2">
      <c r="A70" s="47" t="str">
        <f>Source!E29</f>
        <v>6</v>
      </c>
      <c r="B70" s="48" t="str">
        <f>Source!F29</f>
        <v>01-02-055-02</v>
      </c>
      <c r="C70" s="48" t="str">
        <f>Source!G29</f>
        <v>Разработка грунта вручную с креплениями в траншеях шириной до 2 м, глубиной до 2 м, группа грунтов 2</v>
      </c>
      <c r="D70" s="30" t="str">
        <f>Source!H29</f>
        <v>100 м3</v>
      </c>
      <c r="E70" s="10">
        <f>Source!I29</f>
        <v>9.1999999999999993</v>
      </c>
      <c r="F70" s="31">
        <f>Source!AL29+Source!AM29+Source!AO29</f>
        <v>1583.82</v>
      </c>
      <c r="G70" s="32"/>
      <c r="H70" s="31"/>
      <c r="I70" s="32" t="str">
        <f>Source!BO29</f>
        <v/>
      </c>
      <c r="J70" s="32"/>
      <c r="K70" s="31"/>
      <c r="L70" s="33"/>
      <c r="S70">
        <f>ROUND((Source!FX29/100)*((ROUND(Source!AF29*Source!I29, 2)+ROUND(Source!AE29*Source!I29, 2))), 2)</f>
        <v>10491.22</v>
      </c>
      <c r="T70">
        <f>Source!X29</f>
        <v>51197.17</v>
      </c>
      <c r="U70">
        <f>ROUND((Source!FY29/100)*((ROUND(Source!AF29*Source!I29, 2)+ROUND(Source!AE29*Source!I29, 2))), 2)</f>
        <v>5573.46</v>
      </c>
      <c r="V70">
        <f>Source!Y29</f>
        <v>27020.73</v>
      </c>
    </row>
    <row r="71" spans="1:26" x14ac:dyDescent="0.2">
      <c r="C71" s="25" t="str">
        <f>"Объем: "&amp;Source!I29&amp;"=920/"&amp;"100"</f>
        <v>Объем: 9,2=920/100</v>
      </c>
    </row>
    <row r="72" spans="1:26" ht="14.25" x14ac:dyDescent="0.2">
      <c r="A72" s="47"/>
      <c r="B72" s="48"/>
      <c r="C72" s="48" t="s">
        <v>657</v>
      </c>
      <c r="D72" s="30"/>
      <c r="E72" s="10"/>
      <c r="F72" s="31">
        <f>Source!AO29</f>
        <v>1583.82</v>
      </c>
      <c r="G72" s="32" t="str">
        <f>Source!DG29</f>
        <v/>
      </c>
      <c r="H72" s="31">
        <f>ROUND(Source!AF29*Source!I29, 2)</f>
        <v>14571.14</v>
      </c>
      <c r="I72" s="32"/>
      <c r="J72" s="32">
        <f>IF(Source!BA29&lt;&gt; 0, Source!BA29, 1)</f>
        <v>4.88</v>
      </c>
      <c r="K72" s="31">
        <f>Source!S29</f>
        <v>71107.179999999993</v>
      </c>
      <c r="L72" s="33"/>
      <c r="R72">
        <f>H72</f>
        <v>14571.14</v>
      </c>
    </row>
    <row r="73" spans="1:26" ht="14.25" x14ac:dyDescent="0.2">
      <c r="A73" s="47"/>
      <c r="B73" s="48"/>
      <c r="C73" s="48" t="s">
        <v>659</v>
      </c>
      <c r="D73" s="30" t="s">
        <v>660</v>
      </c>
      <c r="E73" s="10">
        <f>Source!BZ29</f>
        <v>80</v>
      </c>
      <c r="F73" s="53" t="str">
        <f>CONCATENATE(" )", Source!DL29, Source!FT29, "=", Source!FX29)</f>
        <v xml:space="preserve"> )*0,9=72</v>
      </c>
      <c r="G73" s="54"/>
      <c r="H73" s="31">
        <f>SUM(S70:S75)</f>
        <v>10491.22</v>
      </c>
      <c r="I73" s="35"/>
      <c r="J73" s="28">
        <f>Source!AT29</f>
        <v>72</v>
      </c>
      <c r="K73" s="31">
        <f>SUM(T70:T75)</f>
        <v>51197.17</v>
      </c>
      <c r="L73" s="33"/>
    </row>
    <row r="74" spans="1:26" ht="14.25" x14ac:dyDescent="0.2">
      <c r="A74" s="47"/>
      <c r="B74" s="48"/>
      <c r="C74" s="48" t="s">
        <v>661</v>
      </c>
      <c r="D74" s="30" t="s">
        <v>660</v>
      </c>
      <c r="E74" s="10">
        <f>Source!CA29</f>
        <v>45</v>
      </c>
      <c r="F74" s="53" t="str">
        <f>CONCATENATE(" )", Source!DM29, Source!FU29, "=", Source!FY29)</f>
        <v xml:space="preserve"> )*0,85=38,25</v>
      </c>
      <c r="G74" s="54"/>
      <c r="H74" s="31">
        <f>SUM(U70:U75)</f>
        <v>5573.46</v>
      </c>
      <c r="I74" s="35"/>
      <c r="J74" s="28">
        <f>Source!AU29</f>
        <v>38</v>
      </c>
      <c r="K74" s="31">
        <f>SUM(V70:V75)</f>
        <v>27020.73</v>
      </c>
      <c r="L74" s="33"/>
    </row>
    <row r="75" spans="1:26" ht="14.25" x14ac:dyDescent="0.2">
      <c r="A75" s="49"/>
      <c r="B75" s="50"/>
      <c r="C75" s="50" t="s">
        <v>662</v>
      </c>
      <c r="D75" s="36" t="s">
        <v>663</v>
      </c>
      <c r="E75" s="37">
        <f>Source!AQ29</f>
        <v>189</v>
      </c>
      <c r="F75" s="38"/>
      <c r="G75" s="39" t="str">
        <f>Source!DI29</f>
        <v/>
      </c>
      <c r="H75" s="38"/>
      <c r="I75" s="39"/>
      <c r="J75" s="39"/>
      <c r="K75" s="38"/>
      <c r="L75" s="40">
        <f>Source!U29</f>
        <v>1738.8</v>
      </c>
    </row>
    <row r="76" spans="1:26" ht="15" x14ac:dyDescent="0.25">
      <c r="G76" s="57">
        <f>H72+H73+H74</f>
        <v>30635.82</v>
      </c>
      <c r="H76" s="57"/>
      <c r="J76" s="57">
        <f>K72+K73+K74</f>
        <v>149325.07999999999</v>
      </c>
      <c r="K76" s="57"/>
      <c r="L76" s="41">
        <f>Source!U29</f>
        <v>1738.8</v>
      </c>
      <c r="O76" s="23">
        <f>G76</f>
        <v>30635.82</v>
      </c>
      <c r="P76" s="23">
        <f>J76</f>
        <v>149325.07999999999</v>
      </c>
      <c r="Q76" s="23">
        <f>L76</f>
        <v>1738.8</v>
      </c>
      <c r="W76">
        <f>IF(Source!BI29&lt;=1,H72+H73+H74, 0)</f>
        <v>30635.82</v>
      </c>
      <c r="X76">
        <f>IF(Source!BI29=2,H72+H73+H74, 0)</f>
        <v>0</v>
      </c>
      <c r="Y76">
        <f>IF(Source!BI29=3,H72+H73+H74, 0)</f>
        <v>0</v>
      </c>
      <c r="Z76">
        <f>IF(Source!BI29=4,H72+H73+H74, 0)</f>
        <v>0</v>
      </c>
    </row>
    <row r="77" spans="1:26" ht="28.5" x14ac:dyDescent="0.2">
      <c r="A77" s="47" t="str">
        <f>Source!E30</f>
        <v>7</v>
      </c>
      <c r="B77" s="48" t="str">
        <f>Source!F30</f>
        <v>46-03-007-02</v>
      </c>
      <c r="C77" s="48" t="str">
        <f>Source!G30</f>
        <v>Пробивка проемов в конструкциях из бетона</v>
      </c>
      <c r="D77" s="30" t="str">
        <f>Source!H30</f>
        <v>м3</v>
      </c>
      <c r="E77" s="10">
        <f>Source!I30</f>
        <v>0.12</v>
      </c>
      <c r="F77" s="31">
        <f>Source!AL30+Source!AM30+Source!AO30</f>
        <v>654.12</v>
      </c>
      <c r="G77" s="32"/>
      <c r="H77" s="31"/>
      <c r="I77" s="32" t="str">
        <f>Source!BO30</f>
        <v/>
      </c>
      <c r="J77" s="32"/>
      <c r="K77" s="31"/>
      <c r="L77" s="33"/>
      <c r="S77">
        <f>ROUND((Source!FX30/100)*((ROUND(Source!AF30*Source!I30, 2)+ROUND(Source!AE30*Source!I30, 2))), 2)</f>
        <v>29.42</v>
      </c>
      <c r="T77">
        <f>Source!X30</f>
        <v>143.58000000000001</v>
      </c>
      <c r="U77">
        <f>ROUND((Source!FY30/100)*((ROUND(Source!AF30*Source!I30, 2)+ROUND(Source!AE30*Source!I30, 2))), 2)</f>
        <v>17.68</v>
      </c>
      <c r="V77">
        <f>Source!Y30</f>
        <v>87.02</v>
      </c>
    </row>
    <row r="78" spans="1:26" ht="14.25" x14ac:dyDescent="0.2">
      <c r="A78" s="47"/>
      <c r="B78" s="48"/>
      <c r="C78" s="48" t="s">
        <v>657</v>
      </c>
      <c r="D78" s="30"/>
      <c r="E78" s="10"/>
      <c r="F78" s="31">
        <f>Source!AO30</f>
        <v>247.66</v>
      </c>
      <c r="G78" s="32" t="str">
        <f>Source!DG30</f>
        <v/>
      </c>
      <c r="H78" s="31">
        <f>ROUND(Source!AF30*Source!I30, 2)</f>
        <v>29.72</v>
      </c>
      <c r="I78" s="32"/>
      <c r="J78" s="32">
        <f>IF(Source!BA30&lt;&gt; 0, Source!BA30, 1)</f>
        <v>4.88</v>
      </c>
      <c r="K78" s="31">
        <f>Source!S30</f>
        <v>145.03</v>
      </c>
      <c r="L78" s="33"/>
      <c r="R78">
        <f>H78</f>
        <v>29.72</v>
      </c>
    </row>
    <row r="79" spans="1:26" ht="14.25" x14ac:dyDescent="0.2">
      <c r="A79" s="47"/>
      <c r="B79" s="48"/>
      <c r="C79" s="48" t="s">
        <v>303</v>
      </c>
      <c r="D79" s="30"/>
      <c r="E79" s="10"/>
      <c r="F79" s="31">
        <f>Source!AM30</f>
        <v>406.46</v>
      </c>
      <c r="G79" s="32" t="str">
        <f>Source!DE30</f>
        <v/>
      </c>
      <c r="H79" s="31">
        <f>ROUND(Source!AD30*Source!I30, 2)</f>
        <v>48.78</v>
      </c>
      <c r="I79" s="32"/>
      <c r="J79" s="32">
        <f>IF(Source!BB30&lt;&gt; 0, Source!BB30, 1)</f>
        <v>4.88</v>
      </c>
      <c r="K79" s="31">
        <f>Source!Q30</f>
        <v>238.02</v>
      </c>
      <c r="L79" s="33"/>
    </row>
    <row r="80" spans="1:26" ht="14.25" x14ac:dyDescent="0.2">
      <c r="A80" s="47"/>
      <c r="B80" s="48"/>
      <c r="C80" s="48" t="s">
        <v>659</v>
      </c>
      <c r="D80" s="30" t="s">
        <v>660</v>
      </c>
      <c r="E80" s="10">
        <f>Source!BZ30</f>
        <v>110</v>
      </c>
      <c r="F80" s="53" t="str">
        <f>CONCATENATE(" )", Source!DL30, Source!FT30, "=", Source!FX30)</f>
        <v xml:space="preserve"> )*0,9=99</v>
      </c>
      <c r="G80" s="54"/>
      <c r="H80" s="31">
        <f>SUM(S77:S82)</f>
        <v>29.42</v>
      </c>
      <c r="I80" s="35"/>
      <c r="J80" s="28">
        <f>Source!AT30</f>
        <v>99</v>
      </c>
      <c r="K80" s="31">
        <f>SUM(T77:T82)</f>
        <v>143.58000000000001</v>
      </c>
      <c r="L80" s="33"/>
    </row>
    <row r="81" spans="1:26" ht="14.25" x14ac:dyDescent="0.2">
      <c r="A81" s="47"/>
      <c r="B81" s="48"/>
      <c r="C81" s="48" t="s">
        <v>661</v>
      </c>
      <c r="D81" s="30" t="s">
        <v>660</v>
      </c>
      <c r="E81" s="10">
        <f>Source!CA30</f>
        <v>70</v>
      </c>
      <c r="F81" s="53" t="str">
        <f>CONCATENATE(" )", Source!DM30, Source!FU30, "=", Source!FY30)</f>
        <v xml:space="preserve"> )*0,85=59,5</v>
      </c>
      <c r="G81" s="54"/>
      <c r="H81" s="31">
        <f>SUM(U77:U82)</f>
        <v>17.68</v>
      </c>
      <c r="I81" s="35"/>
      <c r="J81" s="28">
        <f>Source!AU30</f>
        <v>60</v>
      </c>
      <c r="K81" s="31">
        <f>SUM(V77:V82)</f>
        <v>87.02</v>
      </c>
      <c r="L81" s="33"/>
    </row>
    <row r="82" spans="1:26" ht="14.25" x14ac:dyDescent="0.2">
      <c r="A82" s="49"/>
      <c r="B82" s="50"/>
      <c r="C82" s="50" t="s">
        <v>662</v>
      </c>
      <c r="D82" s="36" t="s">
        <v>663</v>
      </c>
      <c r="E82" s="37">
        <f>Source!AQ30</f>
        <v>27.61</v>
      </c>
      <c r="F82" s="38"/>
      <c r="G82" s="39" t="str">
        <f>Source!DI30</f>
        <v/>
      </c>
      <c r="H82" s="38"/>
      <c r="I82" s="39"/>
      <c r="J82" s="39"/>
      <c r="K82" s="38"/>
      <c r="L82" s="40">
        <f>Source!U30</f>
        <v>3.3131999999999997</v>
      </c>
    </row>
    <row r="83" spans="1:26" ht="15" x14ac:dyDescent="0.25">
      <c r="G83" s="57">
        <f>H78+H79+H80+H81</f>
        <v>125.6</v>
      </c>
      <c r="H83" s="57"/>
      <c r="J83" s="57">
        <f>K78+K79+K80+K81</f>
        <v>613.65</v>
      </c>
      <c r="K83" s="57"/>
      <c r="L83" s="41">
        <f>Source!U30</f>
        <v>3.3131999999999997</v>
      </c>
      <c r="O83" s="23">
        <f>G83</f>
        <v>125.6</v>
      </c>
      <c r="P83" s="23">
        <f>J83</f>
        <v>613.65</v>
      </c>
      <c r="Q83" s="23">
        <f>L83</f>
        <v>3.3131999999999997</v>
      </c>
      <c r="W83">
        <f>IF(Source!BI30&lt;=1,H78+H79+H80+H81, 0)</f>
        <v>125.6</v>
      </c>
      <c r="X83">
        <f>IF(Source!BI30=2,H78+H79+H80+H81, 0)</f>
        <v>0</v>
      </c>
      <c r="Y83">
        <f>IF(Source!BI30=3,H78+H79+H80+H81, 0)</f>
        <v>0</v>
      </c>
      <c r="Z83">
        <f>IF(Source!BI30=4,H78+H79+H80+H81, 0)</f>
        <v>0</v>
      </c>
    </row>
    <row r="84" spans="1:26" ht="14.25" x14ac:dyDescent="0.2">
      <c r="A84" s="47" t="str">
        <f>Source!E31</f>
        <v>8</v>
      </c>
      <c r="B84" s="48" t="str">
        <f>Source!F31</f>
        <v>08-02-001-09</v>
      </c>
      <c r="C84" s="48" t="str">
        <f>Source!G31</f>
        <v>Кладка стен приямков и каналов</v>
      </c>
      <c r="D84" s="30" t="str">
        <f>Source!H31</f>
        <v>м3</v>
      </c>
      <c r="E84" s="10">
        <f>Source!I31</f>
        <v>7.4</v>
      </c>
      <c r="F84" s="31">
        <f>Source!AL31+Source!AM31+Source!AO31</f>
        <v>212.2</v>
      </c>
      <c r="G84" s="32"/>
      <c r="H84" s="31"/>
      <c r="I84" s="32" t="str">
        <f>Source!BO31</f>
        <v/>
      </c>
      <c r="J84" s="32"/>
      <c r="K84" s="31"/>
      <c r="L84" s="33"/>
      <c r="S84">
        <f>ROUND((Source!FX31/100)*((ROUND(Source!AF31*Source!I31, 2)+ROUND(Source!AE31*Source!I31, 2))), 2)</f>
        <v>599.07000000000005</v>
      </c>
      <c r="T84">
        <f>Source!X31</f>
        <v>2928.79</v>
      </c>
      <c r="U84">
        <f>ROUND((Source!FY31/100)*((ROUND(Source!AF31*Source!I31, 2)+ROUND(Source!AE31*Source!I31, 2))), 2)</f>
        <v>371.01</v>
      </c>
      <c r="V84">
        <f>Source!Y31</f>
        <v>1810.53</v>
      </c>
    </row>
    <row r="85" spans="1:26" ht="14.25" x14ac:dyDescent="0.2">
      <c r="A85" s="47"/>
      <c r="B85" s="48"/>
      <c r="C85" s="48" t="s">
        <v>657</v>
      </c>
      <c r="D85" s="30"/>
      <c r="E85" s="10"/>
      <c r="F85" s="31">
        <f>Source!AO31</f>
        <v>58.83</v>
      </c>
      <c r="G85" s="32" t="str">
        <f>Source!DG31</f>
        <v>)*1,15</v>
      </c>
      <c r="H85" s="31">
        <f>ROUND(Source!AF31*Source!I31, 2)</f>
        <v>500.61</v>
      </c>
      <c r="I85" s="32"/>
      <c r="J85" s="32">
        <f>IF(Source!BA31&lt;&gt; 0, Source!BA31, 1)</f>
        <v>4.88</v>
      </c>
      <c r="K85" s="31">
        <f>Source!S31</f>
        <v>2442.98</v>
      </c>
      <c r="L85" s="33"/>
      <c r="R85">
        <f>H85</f>
        <v>500.61</v>
      </c>
    </row>
    <row r="86" spans="1:26" ht="14.25" x14ac:dyDescent="0.2">
      <c r="A86" s="47"/>
      <c r="B86" s="48"/>
      <c r="C86" s="48" t="s">
        <v>303</v>
      </c>
      <c r="D86" s="30"/>
      <c r="E86" s="10"/>
      <c r="F86" s="31">
        <f>Source!AM31</f>
        <v>31.1</v>
      </c>
      <c r="G86" s="32" t="str">
        <f>Source!DE31</f>
        <v>)*1,25</v>
      </c>
      <c r="H86" s="31">
        <f>ROUND(Source!AD31*Source!I31, 2)</f>
        <v>287.70999999999998</v>
      </c>
      <c r="I86" s="32"/>
      <c r="J86" s="32">
        <f>IF(Source!BB31&lt;&gt; 0, Source!BB31, 1)</f>
        <v>4.88</v>
      </c>
      <c r="K86" s="31">
        <f>Source!Q31</f>
        <v>1404.03</v>
      </c>
      <c r="L86" s="33"/>
    </row>
    <row r="87" spans="1:26" ht="14.25" x14ac:dyDescent="0.2">
      <c r="A87" s="47"/>
      <c r="B87" s="48"/>
      <c r="C87" s="48" t="s">
        <v>658</v>
      </c>
      <c r="D87" s="30"/>
      <c r="E87" s="10"/>
      <c r="F87" s="31">
        <f>Source!AN31</f>
        <v>4.8600000000000003</v>
      </c>
      <c r="G87" s="32" t="str">
        <f>Source!DF31</f>
        <v>)*1,25</v>
      </c>
      <c r="H87" s="34">
        <f>ROUND(Source!AE31*Source!I31, 2)</f>
        <v>44.99</v>
      </c>
      <c r="I87" s="32"/>
      <c r="J87" s="32">
        <f>IF(Source!BS31&lt;&gt; 0, Source!BS31, 1)</f>
        <v>4.88</v>
      </c>
      <c r="K87" s="34">
        <f>Source!R31</f>
        <v>219.56</v>
      </c>
      <c r="L87" s="33"/>
      <c r="R87">
        <f>H87</f>
        <v>44.99</v>
      </c>
    </row>
    <row r="88" spans="1:26" ht="14.25" x14ac:dyDescent="0.2">
      <c r="A88" s="47"/>
      <c r="B88" s="48"/>
      <c r="C88" s="48" t="s">
        <v>664</v>
      </c>
      <c r="D88" s="30"/>
      <c r="E88" s="10"/>
      <c r="F88" s="31">
        <f>Source!AL31</f>
        <v>122.27</v>
      </c>
      <c r="G88" s="32" t="str">
        <f>Source!DD31</f>
        <v/>
      </c>
      <c r="H88" s="31">
        <f>ROUND(Source!AC31*Source!I31, 2)</f>
        <v>904.8</v>
      </c>
      <c r="I88" s="32"/>
      <c r="J88" s="32">
        <f>IF(Source!BC31&lt;&gt; 0, Source!BC31, 1)</f>
        <v>4.88</v>
      </c>
      <c r="K88" s="31">
        <f>Source!P31</f>
        <v>4415.41</v>
      </c>
      <c r="L88" s="33"/>
    </row>
    <row r="89" spans="1:26" ht="14.25" x14ac:dyDescent="0.2">
      <c r="A89" s="47"/>
      <c r="B89" s="48"/>
      <c r="C89" s="48" t="s">
        <v>659</v>
      </c>
      <c r="D89" s="30" t="s">
        <v>660</v>
      </c>
      <c r="E89" s="10">
        <f>Source!BZ31</f>
        <v>122</v>
      </c>
      <c r="F89" s="53" t="str">
        <f>CONCATENATE(" )", Source!DL31, Source!FT31, "=", Source!FX31)</f>
        <v xml:space="preserve"> )*0,9=109,8</v>
      </c>
      <c r="G89" s="54"/>
      <c r="H89" s="31">
        <f>SUM(S84:S92)</f>
        <v>599.07000000000005</v>
      </c>
      <c r="I89" s="35"/>
      <c r="J89" s="28">
        <f>Source!AT31</f>
        <v>110</v>
      </c>
      <c r="K89" s="31">
        <f>SUM(T84:T92)</f>
        <v>2928.79</v>
      </c>
      <c r="L89" s="33"/>
    </row>
    <row r="90" spans="1:26" ht="14.25" x14ac:dyDescent="0.2">
      <c r="A90" s="47"/>
      <c r="B90" s="48"/>
      <c r="C90" s="48" t="s">
        <v>661</v>
      </c>
      <c r="D90" s="30" t="s">
        <v>660</v>
      </c>
      <c r="E90" s="10">
        <f>Source!CA31</f>
        <v>80</v>
      </c>
      <c r="F90" s="53" t="str">
        <f>CONCATENATE(" )", Source!DM31, Source!FU31, "=", Source!FY31)</f>
        <v xml:space="preserve"> )*0,85=68</v>
      </c>
      <c r="G90" s="54"/>
      <c r="H90" s="31">
        <f>SUM(U84:U92)</f>
        <v>371.01</v>
      </c>
      <c r="I90" s="35"/>
      <c r="J90" s="28">
        <f>Source!AU31</f>
        <v>68</v>
      </c>
      <c r="K90" s="31">
        <f>SUM(V84:V92)</f>
        <v>1810.53</v>
      </c>
      <c r="L90" s="33"/>
    </row>
    <row r="91" spans="1:26" ht="14.25" x14ac:dyDescent="0.2">
      <c r="A91" s="47"/>
      <c r="B91" s="48"/>
      <c r="C91" s="48" t="s">
        <v>662</v>
      </c>
      <c r="D91" s="30" t="s">
        <v>663</v>
      </c>
      <c r="E91" s="10">
        <f>Source!AQ31</f>
        <v>7.08</v>
      </c>
      <c r="F91" s="31"/>
      <c r="G91" s="32" t="str">
        <f>Source!DI31</f>
        <v>)*1,15</v>
      </c>
      <c r="H91" s="31"/>
      <c r="I91" s="32"/>
      <c r="J91" s="32"/>
      <c r="K91" s="31"/>
      <c r="L91" s="42">
        <f>Source!U31</f>
        <v>60.250799999999998</v>
      </c>
    </row>
    <row r="92" spans="1:26" ht="28.5" x14ac:dyDescent="0.2">
      <c r="A92" s="49" t="str">
        <f>Source!E32</f>
        <v>8,1</v>
      </c>
      <c r="B92" s="50" t="str">
        <f>Source!F32</f>
        <v>06.1.01.05</v>
      </c>
      <c r="C92" s="50" t="str">
        <f>Source!G32</f>
        <v>Кирпич керамический, силикатный или пустотелый</v>
      </c>
      <c r="D92" s="36" t="str">
        <f>Source!H32</f>
        <v>1000 шт.</v>
      </c>
      <c r="E92" s="37">
        <f>Source!I32</f>
        <v>2.96</v>
      </c>
      <c r="F92" s="38">
        <f>Source!AL32+Source!AM32+Source!AO32</f>
        <v>0</v>
      </c>
      <c r="G92" s="43" t="s">
        <v>3</v>
      </c>
      <c r="H92" s="38">
        <f>ROUND(Source!AC32*Source!I32, 2)+ROUND(Source!AD32*Source!I32, 2)+ROUND(Source!AF32*Source!I32, 2)</f>
        <v>0</v>
      </c>
      <c r="I92" s="39"/>
      <c r="J92" s="39">
        <f>IF(Source!BC32&lt;&gt; 0, Source!BC32, 1)</f>
        <v>4.88</v>
      </c>
      <c r="K92" s="38">
        <f>Source!O32</f>
        <v>0</v>
      </c>
      <c r="L92" s="44"/>
      <c r="S92">
        <f>ROUND((Source!FX32/100)*((ROUND(Source!AF32*Source!I32, 2)+ROUND(Source!AE32*Source!I32, 2))), 2)</f>
        <v>0</v>
      </c>
      <c r="T92">
        <f>Source!X32</f>
        <v>0</v>
      </c>
      <c r="U92">
        <f>ROUND((Source!FY32/100)*((ROUND(Source!AF32*Source!I32, 2)+ROUND(Source!AE32*Source!I32, 2))), 2)</f>
        <v>0</v>
      </c>
      <c r="V92">
        <f>Source!Y32</f>
        <v>0</v>
      </c>
      <c r="W92">
        <f>IF(Source!BI32&lt;=1,H92, 0)</f>
        <v>0</v>
      </c>
      <c r="X92">
        <f>IF(Source!BI32=2,H92, 0)</f>
        <v>0</v>
      </c>
      <c r="Y92">
        <f>IF(Source!BI32=3,H92, 0)</f>
        <v>0</v>
      </c>
      <c r="Z92">
        <f>IF(Source!BI32=4,H92, 0)</f>
        <v>0</v>
      </c>
    </row>
    <row r="93" spans="1:26" ht="15" x14ac:dyDescent="0.25">
      <c r="G93" s="57">
        <f>H85+H86+H88+H89+H90+SUM(H92:H92)</f>
        <v>2663.2</v>
      </c>
      <c r="H93" s="57"/>
      <c r="J93" s="57">
        <f>K85+K86+K88+K89+K90+SUM(K92:K92)</f>
        <v>13001.74</v>
      </c>
      <c r="K93" s="57"/>
      <c r="L93" s="41">
        <f>Source!U31</f>
        <v>60.250799999999998</v>
      </c>
      <c r="O93" s="23">
        <f>G93</f>
        <v>2663.2</v>
      </c>
      <c r="P93" s="23">
        <f>J93</f>
        <v>13001.74</v>
      </c>
      <c r="Q93" s="23">
        <f>L93</f>
        <v>60.250799999999998</v>
      </c>
      <c r="W93">
        <f>IF(Source!BI31&lt;=1,H85+H86+H88+H89+H90, 0)</f>
        <v>2663.2</v>
      </c>
      <c r="X93">
        <f>IF(Source!BI31=2,H85+H86+H88+H89+H90, 0)</f>
        <v>0</v>
      </c>
      <c r="Y93">
        <f>IF(Source!BI31=3,H85+H86+H88+H89+H90, 0)</f>
        <v>0</v>
      </c>
      <c r="Z93">
        <f>IF(Source!BI31=4,H85+H86+H88+H89+H90, 0)</f>
        <v>0</v>
      </c>
    </row>
    <row r="94" spans="1:26" ht="28.5" x14ac:dyDescent="0.2">
      <c r="A94" s="47" t="str">
        <f>Source!E33</f>
        <v>9</v>
      </c>
      <c r="B94" s="48" t="str">
        <f>Source!F33</f>
        <v>07-06-002-06</v>
      </c>
      <c r="C94" s="48" t="str">
        <f>Source!G33</f>
        <v>Устройство плит перекрытий каналов площадью до 1 м2</v>
      </c>
      <c r="D94" s="30" t="str">
        <f>Source!H33</f>
        <v>100 ШТ</v>
      </c>
      <c r="E94" s="10">
        <f>Source!I33</f>
        <v>0.1</v>
      </c>
      <c r="F94" s="31">
        <f>Source!AL33+Source!AM33+Source!AO33</f>
        <v>6289.6900000000005</v>
      </c>
      <c r="G94" s="32"/>
      <c r="H94" s="31"/>
      <c r="I94" s="32" t="str">
        <f>Source!BO33</f>
        <v/>
      </c>
      <c r="J94" s="32"/>
      <c r="K94" s="31"/>
      <c r="L94" s="33"/>
      <c r="S94">
        <f>ROUND((Source!FX33/100)*((ROUND(Source!AF33*Source!I33, 2)+ROUND(Source!AE33*Source!I33, 2))), 2)</f>
        <v>241.11</v>
      </c>
      <c r="T94">
        <f>Source!X33</f>
        <v>1176.5999999999999</v>
      </c>
      <c r="U94">
        <f>ROUND((Source!FY33/100)*((ROUND(Source!AF33*Source!I33, 2)+ROUND(Source!AE33*Source!I33, 2))), 2)</f>
        <v>148.88999999999999</v>
      </c>
      <c r="V94">
        <f>Source!Y33</f>
        <v>724.06</v>
      </c>
    </row>
    <row r="95" spans="1:26" x14ac:dyDescent="0.2">
      <c r="C95" s="25" t="str">
        <f>"Объем: "&amp;Source!I33&amp;"=10/"&amp;"100"</f>
        <v>Объем: 0,1=10/100</v>
      </c>
    </row>
    <row r="96" spans="1:26" ht="14.25" x14ac:dyDescent="0.2">
      <c r="A96" s="47"/>
      <c r="B96" s="48"/>
      <c r="C96" s="48" t="s">
        <v>657</v>
      </c>
      <c r="D96" s="30"/>
      <c r="E96" s="10"/>
      <c r="F96" s="31">
        <f>Source!AO33</f>
        <v>1011.72</v>
      </c>
      <c r="G96" s="32" t="str">
        <f>Source!DG33</f>
        <v>)*1,15</v>
      </c>
      <c r="H96" s="31">
        <f>ROUND(Source!AF33*Source!I33, 2)</f>
        <v>116.35</v>
      </c>
      <c r="I96" s="32"/>
      <c r="J96" s="32">
        <f>IF(Source!BA33&lt;&gt; 0, Source!BA33, 1)</f>
        <v>4.88</v>
      </c>
      <c r="K96" s="31">
        <f>Source!S33</f>
        <v>567.78</v>
      </c>
      <c r="L96" s="33"/>
      <c r="R96">
        <f>H96</f>
        <v>116.35</v>
      </c>
    </row>
    <row r="97" spans="1:26" ht="14.25" x14ac:dyDescent="0.2">
      <c r="A97" s="47"/>
      <c r="B97" s="48"/>
      <c r="C97" s="48" t="s">
        <v>303</v>
      </c>
      <c r="D97" s="30"/>
      <c r="E97" s="10"/>
      <c r="F97" s="31">
        <f>Source!AM33</f>
        <v>5151.6400000000003</v>
      </c>
      <c r="G97" s="32" t="str">
        <f>Source!DE33</f>
        <v>)*1,25</v>
      </c>
      <c r="H97" s="31">
        <f>ROUND(Source!AD33*Source!I33, 2)</f>
        <v>643.96</v>
      </c>
      <c r="I97" s="32"/>
      <c r="J97" s="32">
        <f>IF(Source!BB33&lt;&gt; 0, Source!BB33, 1)</f>
        <v>4.88</v>
      </c>
      <c r="K97" s="31">
        <f>Source!Q33</f>
        <v>3142.5</v>
      </c>
      <c r="L97" s="33"/>
    </row>
    <row r="98" spans="1:26" ht="14.25" x14ac:dyDescent="0.2">
      <c r="A98" s="47"/>
      <c r="B98" s="48"/>
      <c r="C98" s="48" t="s">
        <v>658</v>
      </c>
      <c r="D98" s="30"/>
      <c r="E98" s="10"/>
      <c r="F98" s="31">
        <f>Source!AN33</f>
        <v>717.8</v>
      </c>
      <c r="G98" s="32" t="str">
        <f>Source!DF33</f>
        <v>)*1,25</v>
      </c>
      <c r="H98" s="34">
        <f>ROUND(Source!AE33*Source!I33, 2)</f>
        <v>89.73</v>
      </c>
      <c r="I98" s="32"/>
      <c r="J98" s="32">
        <f>IF(Source!BS33&lt;&gt; 0, Source!BS33, 1)</f>
        <v>4.88</v>
      </c>
      <c r="K98" s="34">
        <f>Source!R33</f>
        <v>437.86</v>
      </c>
      <c r="L98" s="33"/>
      <c r="R98">
        <f>H98</f>
        <v>89.73</v>
      </c>
    </row>
    <row r="99" spans="1:26" ht="14.25" x14ac:dyDescent="0.2">
      <c r="A99" s="47"/>
      <c r="B99" s="48"/>
      <c r="C99" s="48" t="s">
        <v>664</v>
      </c>
      <c r="D99" s="30"/>
      <c r="E99" s="10"/>
      <c r="F99" s="31">
        <f>Source!AL33</f>
        <v>126.33</v>
      </c>
      <c r="G99" s="32" t="str">
        <f>Source!DD33</f>
        <v/>
      </c>
      <c r="H99" s="31">
        <f>ROUND(Source!AC33*Source!I33, 2)</f>
        <v>12.63</v>
      </c>
      <c r="I99" s="32"/>
      <c r="J99" s="32">
        <f>IF(Source!BC33&lt;&gt; 0, Source!BC33, 1)</f>
        <v>4.88</v>
      </c>
      <c r="K99" s="31">
        <f>Source!P33</f>
        <v>61.65</v>
      </c>
      <c r="L99" s="33"/>
    </row>
    <row r="100" spans="1:26" ht="14.25" x14ac:dyDescent="0.2">
      <c r="A100" s="47"/>
      <c r="B100" s="48"/>
      <c r="C100" s="48" t="s">
        <v>659</v>
      </c>
      <c r="D100" s="30" t="s">
        <v>660</v>
      </c>
      <c r="E100" s="10">
        <f>Source!BZ33</f>
        <v>130</v>
      </c>
      <c r="F100" s="53" t="str">
        <f>CONCATENATE(" )", Source!DL33, Source!FT33, "=", Source!FX33)</f>
        <v xml:space="preserve"> )*0,9=117</v>
      </c>
      <c r="G100" s="54"/>
      <c r="H100" s="31">
        <f>SUM(S94:S104)</f>
        <v>241.11</v>
      </c>
      <c r="I100" s="35"/>
      <c r="J100" s="28">
        <f>Source!AT33</f>
        <v>117</v>
      </c>
      <c r="K100" s="31">
        <f>SUM(T94:T104)</f>
        <v>1176.5999999999999</v>
      </c>
      <c r="L100" s="33"/>
    </row>
    <row r="101" spans="1:26" ht="14.25" x14ac:dyDescent="0.2">
      <c r="A101" s="47"/>
      <c r="B101" s="48"/>
      <c r="C101" s="48" t="s">
        <v>661</v>
      </c>
      <c r="D101" s="30" t="s">
        <v>660</v>
      </c>
      <c r="E101" s="10">
        <f>Source!CA33</f>
        <v>85</v>
      </c>
      <c r="F101" s="53" t="str">
        <f>CONCATENATE(" )", Source!DM33, Source!FU33, "=", Source!FY33)</f>
        <v xml:space="preserve"> )*0,85=72,25</v>
      </c>
      <c r="G101" s="54"/>
      <c r="H101" s="31">
        <f>SUM(U94:U104)</f>
        <v>148.88999999999999</v>
      </c>
      <c r="I101" s="35"/>
      <c r="J101" s="28">
        <f>Source!AU33</f>
        <v>72</v>
      </c>
      <c r="K101" s="31">
        <f>SUM(V94:V104)</f>
        <v>724.06</v>
      </c>
      <c r="L101" s="33"/>
    </row>
    <row r="102" spans="1:26" ht="14.25" x14ac:dyDescent="0.2">
      <c r="A102" s="47"/>
      <c r="B102" s="48"/>
      <c r="C102" s="48" t="s">
        <v>662</v>
      </c>
      <c r="D102" s="30" t="s">
        <v>663</v>
      </c>
      <c r="E102" s="10">
        <f>Source!AQ33</f>
        <v>107.63</v>
      </c>
      <c r="F102" s="31"/>
      <c r="G102" s="32" t="str">
        <f>Source!DI33</f>
        <v>)*1,15</v>
      </c>
      <c r="H102" s="31"/>
      <c r="I102" s="32"/>
      <c r="J102" s="32"/>
      <c r="K102" s="31"/>
      <c r="L102" s="42">
        <f>Source!U33</f>
        <v>12.37745</v>
      </c>
    </row>
    <row r="103" spans="1:26" ht="57" x14ac:dyDescent="0.2">
      <c r="A103" s="47" t="str">
        <f>Source!E34</f>
        <v>9,1</v>
      </c>
      <c r="B103" s="48" t="str">
        <f>Source!F34</f>
        <v>05.1.01.12-0010</v>
      </c>
      <c r="C103" s="48" t="str">
        <f>Source!G34</f>
        <v>Плиты перекрытия лотков и каналов ПО-1 /бетон В25 (М350), объем 0,7 м3, расход арматуры 54,4 кг/ (серия 3.006.1-2/82.1)</v>
      </c>
      <c r="D103" s="30" t="str">
        <f>Source!H34</f>
        <v>шт.</v>
      </c>
      <c r="E103" s="10">
        <f>Source!I34</f>
        <v>10</v>
      </c>
      <c r="F103" s="31">
        <f>Source!AL34+Source!AM34+Source!AO34</f>
        <v>1587.07</v>
      </c>
      <c r="G103" s="45" t="s">
        <v>3</v>
      </c>
      <c r="H103" s="31">
        <f>ROUND(Source!AC34*Source!I34, 2)+ROUND(Source!AD34*Source!I34, 2)+ROUND(Source!AF34*Source!I34, 2)</f>
        <v>15870.7</v>
      </c>
      <c r="I103" s="32"/>
      <c r="J103" s="32">
        <f>IF(Source!BC34&lt;&gt; 0, Source!BC34, 1)</f>
        <v>4.88</v>
      </c>
      <c r="K103" s="31">
        <f>Source!O34</f>
        <v>77449.02</v>
      </c>
      <c r="L103" s="33"/>
      <c r="S103">
        <f>ROUND((Source!FX34/100)*((ROUND(Source!AF34*Source!I34, 2)+ROUND(Source!AE34*Source!I34, 2))), 2)</f>
        <v>0</v>
      </c>
      <c r="T103">
        <f>Source!X34</f>
        <v>0</v>
      </c>
      <c r="U103">
        <f>ROUND((Source!FY34/100)*((ROUND(Source!AF34*Source!I34, 2)+ROUND(Source!AE34*Source!I34, 2))), 2)</f>
        <v>0</v>
      </c>
      <c r="V103">
        <f>Source!Y34</f>
        <v>0</v>
      </c>
      <c r="W103">
        <f>IF(Source!BI34&lt;=1,H103, 0)</f>
        <v>15870.7</v>
      </c>
      <c r="X103">
        <f>IF(Source!BI34=2,H103, 0)</f>
        <v>0</v>
      </c>
      <c r="Y103">
        <f>IF(Source!BI34=3,H103, 0)</f>
        <v>0</v>
      </c>
      <c r="Z103">
        <f>IF(Source!BI34=4,H103, 0)</f>
        <v>0</v>
      </c>
    </row>
    <row r="104" spans="1:26" ht="14.25" x14ac:dyDescent="0.2">
      <c r="A104" s="49" t="str">
        <f>Source!E35</f>
        <v>9,2</v>
      </c>
      <c r="B104" s="50" t="str">
        <f>Source!F35</f>
        <v>05.1.08.14</v>
      </c>
      <c r="C104" s="50" t="str">
        <f>Source!G35</f>
        <v>Конструкции сборные железобетонные</v>
      </c>
      <c r="D104" s="36" t="str">
        <f>Source!H35</f>
        <v>шт.</v>
      </c>
      <c r="E104" s="37">
        <f>Source!I35</f>
        <v>10</v>
      </c>
      <c r="F104" s="38">
        <f>Source!AL35+Source!AM35+Source!AO35</f>
        <v>0</v>
      </c>
      <c r="G104" s="43" t="s">
        <v>3</v>
      </c>
      <c r="H104" s="38">
        <f>ROUND(Source!AC35*Source!I35, 2)+ROUND(Source!AD35*Source!I35, 2)+ROUND(Source!AF35*Source!I35, 2)</f>
        <v>0</v>
      </c>
      <c r="I104" s="39"/>
      <c r="J104" s="39">
        <f>IF(Source!BC35&lt;&gt; 0, Source!BC35, 1)</f>
        <v>4.88</v>
      </c>
      <c r="K104" s="38">
        <f>Source!O35</f>
        <v>0</v>
      </c>
      <c r="L104" s="44"/>
      <c r="S104">
        <f>ROUND((Source!FX35/100)*((ROUND(Source!AF35*Source!I35, 2)+ROUND(Source!AE35*Source!I35, 2))), 2)</f>
        <v>0</v>
      </c>
      <c r="T104">
        <f>Source!X35</f>
        <v>0</v>
      </c>
      <c r="U104">
        <f>ROUND((Source!FY35/100)*((ROUND(Source!AF35*Source!I35, 2)+ROUND(Source!AE35*Source!I35, 2))), 2)</f>
        <v>0</v>
      </c>
      <c r="V104">
        <f>Source!Y35</f>
        <v>0</v>
      </c>
      <c r="W104">
        <f>IF(Source!BI35&lt;=1,H104, 0)</f>
        <v>0</v>
      </c>
      <c r="X104">
        <f>IF(Source!BI35=2,H104, 0)</f>
        <v>0</v>
      </c>
      <c r="Y104">
        <f>IF(Source!BI35=3,H104, 0)</f>
        <v>0</v>
      </c>
      <c r="Z104">
        <f>IF(Source!BI35=4,H104, 0)</f>
        <v>0</v>
      </c>
    </row>
    <row r="105" spans="1:26" ht="15" x14ac:dyDescent="0.25">
      <c r="G105" s="57">
        <f>H96+H97+H99+H100+H101+SUM(H103:H104)</f>
        <v>17033.64</v>
      </c>
      <c r="H105" s="57"/>
      <c r="J105" s="57">
        <f>K96+K97+K99+K100+K101+SUM(K103:K104)</f>
        <v>83121.61</v>
      </c>
      <c r="K105" s="57"/>
      <c r="L105" s="41">
        <f>Source!U33</f>
        <v>12.37745</v>
      </c>
      <c r="O105" s="23">
        <f>G105</f>
        <v>17033.64</v>
      </c>
      <c r="P105" s="23">
        <f>J105</f>
        <v>83121.61</v>
      </c>
      <c r="Q105" s="23">
        <f>L105</f>
        <v>12.37745</v>
      </c>
      <c r="W105">
        <f>IF(Source!BI33&lt;=1,H96+H97+H99+H100+H101, 0)</f>
        <v>1162.94</v>
      </c>
      <c r="X105">
        <f>IF(Source!BI33=2,H96+H97+H99+H100+H101, 0)</f>
        <v>0</v>
      </c>
      <c r="Y105">
        <f>IF(Source!BI33=3,H96+H97+H99+H100+H101, 0)</f>
        <v>0</v>
      </c>
      <c r="Z105">
        <f>IF(Source!BI33=4,H96+H97+H99+H100+H101, 0)</f>
        <v>0</v>
      </c>
    </row>
    <row r="106" spans="1:26" ht="57" x14ac:dyDescent="0.2">
      <c r="A106" s="47" t="str">
        <f>Source!E36</f>
        <v>10</v>
      </c>
      <c r="B106" s="48" t="str">
        <f>Source!F36</f>
        <v>06-01-005-01</v>
      </c>
      <c r="C106" s="48" t="str">
        <f>Source!G36</f>
        <v>Устройство бетонных фундаментов общего назначения объемом до 5 м3 (Основание бетонное под под уличные щитки)</v>
      </c>
      <c r="D106" s="30" t="str">
        <f>Source!H36</f>
        <v>100 м3</v>
      </c>
      <c r="E106" s="10">
        <f>Source!I36</f>
        <v>8.9999999999999993E-3</v>
      </c>
      <c r="F106" s="31">
        <f>Source!AL36+Source!AM36+Source!AO36</f>
        <v>11121.17</v>
      </c>
      <c r="G106" s="32"/>
      <c r="H106" s="31"/>
      <c r="I106" s="32" t="str">
        <f>Source!BO36</f>
        <v/>
      </c>
      <c r="J106" s="32"/>
      <c r="K106" s="31"/>
      <c r="L106" s="33"/>
      <c r="S106">
        <f>ROUND((Source!FX36/100)*((ROUND(Source!AF36*Source!I36, 2)+ROUND(Source!AE36*Source!I36, 2))), 2)</f>
        <v>41.66</v>
      </c>
      <c r="T106">
        <f>Source!X36</f>
        <v>204.35</v>
      </c>
      <c r="U106">
        <f>ROUND((Source!FY36/100)*((ROUND(Source!AF36*Source!I36, 2)+ROUND(Source!AE36*Source!I36, 2))), 2)</f>
        <v>24.35</v>
      </c>
      <c r="V106">
        <f>Source!Y36</f>
        <v>118.31</v>
      </c>
    </row>
    <row r="107" spans="1:26" x14ac:dyDescent="0.2">
      <c r="C107" s="25" t="str">
        <f>"Объем: "&amp;Source!I36&amp;"=0,9/"&amp;"100"</f>
        <v>Объем: 0,009=0,9/100</v>
      </c>
    </row>
    <row r="108" spans="1:26" ht="14.25" x14ac:dyDescent="0.2">
      <c r="A108" s="47"/>
      <c r="B108" s="48"/>
      <c r="C108" s="48" t="s">
        <v>657</v>
      </c>
      <c r="D108" s="30"/>
      <c r="E108" s="10"/>
      <c r="F108" s="31">
        <f>Source!AO36</f>
        <v>3733.23</v>
      </c>
      <c r="G108" s="32" t="str">
        <f>Source!DG36</f>
        <v>)*1,15</v>
      </c>
      <c r="H108" s="31">
        <f>ROUND(Source!AF36*Source!I36, 2)</f>
        <v>38.64</v>
      </c>
      <c r="I108" s="32"/>
      <c r="J108" s="32">
        <f>IF(Source!BA36&lt;&gt; 0, Source!BA36, 1)</f>
        <v>4.88</v>
      </c>
      <c r="K108" s="31">
        <f>Source!S36</f>
        <v>188.56</v>
      </c>
      <c r="L108" s="33"/>
      <c r="R108">
        <f>H108</f>
        <v>38.64</v>
      </c>
    </row>
    <row r="109" spans="1:26" ht="14.25" x14ac:dyDescent="0.2">
      <c r="A109" s="47"/>
      <c r="B109" s="48"/>
      <c r="C109" s="48" t="s">
        <v>303</v>
      </c>
      <c r="D109" s="30"/>
      <c r="E109" s="10"/>
      <c r="F109" s="31">
        <f>Source!AM36</f>
        <v>3509.68</v>
      </c>
      <c r="G109" s="32" t="str">
        <f>Source!DE36</f>
        <v>)*1,25</v>
      </c>
      <c r="H109" s="31">
        <f>ROUND(Source!AD36*Source!I36, 2)</f>
        <v>39.479999999999997</v>
      </c>
      <c r="I109" s="32"/>
      <c r="J109" s="32">
        <f>IF(Source!BB36&lt;&gt; 0, Source!BB36, 1)</f>
        <v>4.88</v>
      </c>
      <c r="K109" s="31">
        <f>Source!Q36</f>
        <v>192.68</v>
      </c>
      <c r="L109" s="33"/>
    </row>
    <row r="110" spans="1:26" ht="14.25" x14ac:dyDescent="0.2">
      <c r="A110" s="47"/>
      <c r="B110" s="48"/>
      <c r="C110" s="48" t="s">
        <v>658</v>
      </c>
      <c r="D110" s="30"/>
      <c r="E110" s="10"/>
      <c r="F110" s="31">
        <f>Source!AN36</f>
        <v>483.66</v>
      </c>
      <c r="G110" s="32" t="str">
        <f>Source!DF36</f>
        <v>)*1,25</v>
      </c>
      <c r="H110" s="34">
        <f>ROUND(Source!AE36*Source!I36, 2)</f>
        <v>5.44</v>
      </c>
      <c r="I110" s="32"/>
      <c r="J110" s="32">
        <f>IF(Source!BS36&lt;&gt; 0, Source!BS36, 1)</f>
        <v>4.88</v>
      </c>
      <c r="K110" s="34">
        <f>Source!R36</f>
        <v>26.55</v>
      </c>
      <c r="L110" s="33"/>
      <c r="R110">
        <f>H110</f>
        <v>5.44</v>
      </c>
    </row>
    <row r="111" spans="1:26" ht="14.25" x14ac:dyDescent="0.2">
      <c r="A111" s="47"/>
      <c r="B111" s="48"/>
      <c r="C111" s="48" t="s">
        <v>664</v>
      </c>
      <c r="D111" s="30"/>
      <c r="E111" s="10"/>
      <c r="F111" s="31">
        <f>Source!AL36</f>
        <v>3878.26</v>
      </c>
      <c r="G111" s="32" t="str">
        <f>Source!DD36</f>
        <v/>
      </c>
      <c r="H111" s="31">
        <f>ROUND(Source!AC36*Source!I36, 2)</f>
        <v>34.9</v>
      </c>
      <c r="I111" s="32"/>
      <c r="J111" s="32">
        <f>IF(Source!BC36&lt;&gt; 0, Source!BC36, 1)</f>
        <v>4.88</v>
      </c>
      <c r="K111" s="31">
        <f>Source!P36</f>
        <v>170.33</v>
      </c>
      <c r="L111" s="33"/>
    </row>
    <row r="112" spans="1:26" ht="14.25" x14ac:dyDescent="0.2">
      <c r="A112" s="47"/>
      <c r="B112" s="48"/>
      <c r="C112" s="48" t="s">
        <v>659</v>
      </c>
      <c r="D112" s="30" t="s">
        <v>660</v>
      </c>
      <c r="E112" s="10">
        <f>Source!BZ36</f>
        <v>105</v>
      </c>
      <c r="F112" s="53" t="str">
        <f>CONCATENATE(" )", Source!DL36, Source!FT36, "=", Source!FX36)</f>
        <v xml:space="preserve"> )*0,9=94,5</v>
      </c>
      <c r="G112" s="54"/>
      <c r="H112" s="31">
        <f>SUM(S106:S115)</f>
        <v>41.66</v>
      </c>
      <c r="I112" s="35"/>
      <c r="J112" s="28">
        <f>Source!AT36</f>
        <v>95</v>
      </c>
      <c r="K112" s="31">
        <f>SUM(T106:T115)</f>
        <v>204.35</v>
      </c>
      <c r="L112" s="33"/>
    </row>
    <row r="113" spans="1:26" ht="14.25" x14ac:dyDescent="0.2">
      <c r="A113" s="47"/>
      <c r="B113" s="48"/>
      <c r="C113" s="48" t="s">
        <v>661</v>
      </c>
      <c r="D113" s="30" t="s">
        <v>660</v>
      </c>
      <c r="E113" s="10">
        <f>Source!CA36</f>
        <v>65</v>
      </c>
      <c r="F113" s="53" t="str">
        <f>CONCATENATE(" )", Source!DM36, Source!FU36, "=", Source!FY36)</f>
        <v xml:space="preserve"> )*0,85=55,25</v>
      </c>
      <c r="G113" s="54"/>
      <c r="H113" s="31">
        <f>SUM(U106:U115)</f>
        <v>24.35</v>
      </c>
      <c r="I113" s="35"/>
      <c r="J113" s="28">
        <f>Source!AU36</f>
        <v>55</v>
      </c>
      <c r="K113" s="31">
        <f>SUM(V106:V115)</f>
        <v>118.31</v>
      </c>
      <c r="L113" s="33"/>
    </row>
    <row r="114" spans="1:26" ht="14.25" x14ac:dyDescent="0.2">
      <c r="A114" s="47"/>
      <c r="B114" s="48"/>
      <c r="C114" s="48" t="s">
        <v>662</v>
      </c>
      <c r="D114" s="30" t="s">
        <v>663</v>
      </c>
      <c r="E114" s="10">
        <f>Source!AQ36</f>
        <v>441.28</v>
      </c>
      <c r="F114" s="31"/>
      <c r="G114" s="32" t="str">
        <f>Source!DI36</f>
        <v>)*1,15</v>
      </c>
      <c r="H114" s="31"/>
      <c r="I114" s="32"/>
      <c r="J114" s="32"/>
      <c r="K114" s="31"/>
      <c r="L114" s="42">
        <f>Source!U36</f>
        <v>4.5672479999999993</v>
      </c>
    </row>
    <row r="115" spans="1:26" ht="28.5" x14ac:dyDescent="0.2">
      <c r="A115" s="49" t="str">
        <f>Source!E37</f>
        <v>10,1</v>
      </c>
      <c r="B115" s="50" t="str">
        <f>Source!F37</f>
        <v>04.1.02.01-0004</v>
      </c>
      <c r="C115" s="50" t="str">
        <f>Source!G37</f>
        <v>Бетон мелкозернистый, класс В10 (М150)</v>
      </c>
      <c r="D115" s="36" t="str">
        <f>Source!H37</f>
        <v>м3</v>
      </c>
      <c r="E115" s="37">
        <f>Source!I37</f>
        <v>0.91800000000000004</v>
      </c>
      <c r="F115" s="38">
        <f>Source!AL37+Source!AM37+Source!AO37</f>
        <v>470.36</v>
      </c>
      <c r="G115" s="43" t="s">
        <v>3</v>
      </c>
      <c r="H115" s="38">
        <f>ROUND(Source!AC37*Source!I37, 2)+ROUND(Source!AD37*Source!I37, 2)+ROUND(Source!AF37*Source!I37, 2)</f>
        <v>431.79</v>
      </c>
      <c r="I115" s="39"/>
      <c r="J115" s="39">
        <f>IF(Source!BC37&lt;&gt; 0, Source!BC37, 1)</f>
        <v>4.88</v>
      </c>
      <c r="K115" s="38">
        <f>Source!O37</f>
        <v>2107.14</v>
      </c>
      <c r="L115" s="44"/>
      <c r="S115">
        <f>ROUND((Source!FX37/100)*((ROUND(Source!AF37*Source!I37, 2)+ROUND(Source!AE37*Source!I37, 2))), 2)</f>
        <v>0</v>
      </c>
      <c r="T115">
        <f>Source!X37</f>
        <v>0</v>
      </c>
      <c r="U115">
        <f>ROUND((Source!FY37/100)*((ROUND(Source!AF37*Source!I37, 2)+ROUND(Source!AE37*Source!I37, 2))), 2)</f>
        <v>0</v>
      </c>
      <c r="V115">
        <f>Source!Y37</f>
        <v>0</v>
      </c>
      <c r="W115">
        <f>IF(Source!BI37&lt;=1,H115, 0)</f>
        <v>431.79</v>
      </c>
      <c r="X115">
        <f>IF(Source!BI37=2,H115, 0)</f>
        <v>0</v>
      </c>
      <c r="Y115">
        <f>IF(Source!BI37=3,H115, 0)</f>
        <v>0</v>
      </c>
      <c r="Z115">
        <f>IF(Source!BI37=4,H115, 0)</f>
        <v>0</v>
      </c>
    </row>
    <row r="116" spans="1:26" ht="15" x14ac:dyDescent="0.25">
      <c r="G116" s="57">
        <f>H108+H109+H111+H112+H113+SUM(H115:H115)</f>
        <v>610.82000000000005</v>
      </c>
      <c r="H116" s="57"/>
      <c r="J116" s="57">
        <f>K108+K109+K111+K112+K113+SUM(K115:K115)</f>
        <v>2981.37</v>
      </c>
      <c r="K116" s="57"/>
      <c r="L116" s="41">
        <f>Source!U36</f>
        <v>4.5672479999999993</v>
      </c>
      <c r="O116" s="23">
        <f>G116</f>
        <v>610.82000000000005</v>
      </c>
      <c r="P116" s="23">
        <f>J116</f>
        <v>2981.37</v>
      </c>
      <c r="Q116" s="23">
        <f>L116</f>
        <v>4.5672479999999993</v>
      </c>
      <c r="W116">
        <f>IF(Source!BI36&lt;=1,H108+H109+H111+H112+H113, 0)</f>
        <v>179.03</v>
      </c>
      <c r="X116">
        <f>IF(Source!BI36=2,H108+H109+H111+H112+H113, 0)</f>
        <v>0</v>
      </c>
      <c r="Y116">
        <f>IF(Source!BI36=3,H108+H109+H111+H112+H113, 0)</f>
        <v>0</v>
      </c>
      <c r="Z116">
        <f>IF(Source!BI36=4,H108+H109+H111+H112+H113, 0)</f>
        <v>0</v>
      </c>
    </row>
    <row r="117" spans="1:26" ht="14.25" x14ac:dyDescent="0.2">
      <c r="A117" s="47" t="str">
        <f>Source!E38</f>
        <v>11</v>
      </c>
      <c r="B117" s="48" t="str">
        <f>Source!F38</f>
        <v>м08-03-575-01</v>
      </c>
      <c r="C117" s="48" t="str">
        <f>Source!G38</f>
        <v>Прибор или аппарат</v>
      </c>
      <c r="D117" s="30" t="str">
        <f>Source!H38</f>
        <v>ШТ</v>
      </c>
      <c r="E117" s="10">
        <f>Source!I38</f>
        <v>18</v>
      </c>
      <c r="F117" s="31">
        <f>Source!AL38+Source!AM38+Source!AO38</f>
        <v>11.51</v>
      </c>
      <c r="G117" s="32"/>
      <c r="H117" s="31"/>
      <c r="I117" s="32" t="str">
        <f>Source!BO38</f>
        <v/>
      </c>
      <c r="J117" s="32"/>
      <c r="K117" s="31"/>
      <c r="L117" s="33"/>
      <c r="S117">
        <f>ROUND((Source!FX38/100)*((ROUND(Source!AF38*Source!I38, 2)+ROUND(Source!AE38*Source!I38, 2))), 2)</f>
        <v>189.98</v>
      </c>
      <c r="T117">
        <f>Source!X38</f>
        <v>927.11</v>
      </c>
      <c r="U117">
        <f>ROUND((Source!FY38/100)*((ROUND(Source!AF38*Source!I38, 2)+ROUND(Source!AE38*Source!I38, 2))), 2)</f>
        <v>129.99</v>
      </c>
      <c r="V117">
        <f>Source!Y38</f>
        <v>634.34</v>
      </c>
    </row>
    <row r="118" spans="1:26" ht="14.25" x14ac:dyDescent="0.2">
      <c r="A118" s="47"/>
      <c r="B118" s="48"/>
      <c r="C118" s="48" t="s">
        <v>657</v>
      </c>
      <c r="D118" s="30"/>
      <c r="E118" s="10"/>
      <c r="F118" s="31">
        <f>Source!AO38</f>
        <v>11.11</v>
      </c>
      <c r="G118" s="32" t="str">
        <f>Source!DG38</f>
        <v/>
      </c>
      <c r="H118" s="31">
        <f>ROUND(Source!AF38*Source!I38, 2)</f>
        <v>199.98</v>
      </c>
      <c r="I118" s="32"/>
      <c r="J118" s="32">
        <f>IF(Source!BA38&lt;&gt; 0, Source!BA38, 1)</f>
        <v>4.88</v>
      </c>
      <c r="K118" s="31">
        <f>Source!S38</f>
        <v>975.9</v>
      </c>
      <c r="L118" s="33"/>
      <c r="R118">
        <f>H118</f>
        <v>199.98</v>
      </c>
    </row>
    <row r="119" spans="1:26" ht="14.25" x14ac:dyDescent="0.2">
      <c r="A119" s="47"/>
      <c r="B119" s="48"/>
      <c r="C119" s="48" t="s">
        <v>664</v>
      </c>
      <c r="D119" s="30"/>
      <c r="E119" s="10"/>
      <c r="F119" s="31">
        <f>Source!AL38</f>
        <v>0.4</v>
      </c>
      <c r="G119" s="32" t="str">
        <f>Source!DD38</f>
        <v/>
      </c>
      <c r="H119" s="31">
        <f>ROUND(Source!AC38*Source!I38, 2)</f>
        <v>7.2</v>
      </c>
      <c r="I119" s="32"/>
      <c r="J119" s="32">
        <f>IF(Source!BC38&lt;&gt; 0, Source!BC38, 1)</f>
        <v>4.88</v>
      </c>
      <c r="K119" s="31">
        <f>Source!P38</f>
        <v>35.14</v>
      </c>
      <c r="L119" s="33"/>
    </row>
    <row r="120" spans="1:26" ht="14.25" x14ac:dyDescent="0.2">
      <c r="A120" s="47"/>
      <c r="B120" s="48"/>
      <c r="C120" s="48" t="s">
        <v>659</v>
      </c>
      <c r="D120" s="30" t="s">
        <v>660</v>
      </c>
      <c r="E120" s="10">
        <f>Source!BZ38</f>
        <v>95</v>
      </c>
      <c r="F120" s="51"/>
      <c r="G120" s="32"/>
      <c r="H120" s="31">
        <f>SUM(S117:S126)</f>
        <v>189.98</v>
      </c>
      <c r="I120" s="35"/>
      <c r="J120" s="28">
        <f>Source!AT38</f>
        <v>95</v>
      </c>
      <c r="K120" s="31">
        <f>SUM(T117:T126)</f>
        <v>927.11</v>
      </c>
      <c r="L120" s="33"/>
    </row>
    <row r="121" spans="1:26" ht="14.25" x14ac:dyDescent="0.2">
      <c r="A121" s="47"/>
      <c r="B121" s="48"/>
      <c r="C121" s="48" t="s">
        <v>661</v>
      </c>
      <c r="D121" s="30" t="s">
        <v>660</v>
      </c>
      <c r="E121" s="10">
        <f>Source!CA38</f>
        <v>65</v>
      </c>
      <c r="F121" s="51"/>
      <c r="G121" s="32"/>
      <c r="H121" s="31">
        <f>SUM(U117:U126)</f>
        <v>129.99</v>
      </c>
      <c r="I121" s="35"/>
      <c r="J121" s="28">
        <f>Source!AU38</f>
        <v>65</v>
      </c>
      <c r="K121" s="31">
        <f>SUM(V117:V126)</f>
        <v>634.34</v>
      </c>
      <c r="L121" s="33"/>
    </row>
    <row r="122" spans="1:26" ht="14.25" x14ac:dyDescent="0.2">
      <c r="A122" s="47"/>
      <c r="B122" s="48"/>
      <c r="C122" s="48" t="s">
        <v>662</v>
      </c>
      <c r="D122" s="30" t="s">
        <v>663</v>
      </c>
      <c r="E122" s="10">
        <f>Source!AQ38</f>
        <v>1.1200000000000001</v>
      </c>
      <c r="F122" s="31"/>
      <c r="G122" s="32" t="str">
        <f>Source!DI38</f>
        <v/>
      </c>
      <c r="H122" s="31"/>
      <c r="I122" s="32"/>
      <c r="J122" s="32"/>
      <c r="K122" s="31"/>
      <c r="L122" s="42">
        <f>Source!U38</f>
        <v>20.160000000000004</v>
      </c>
    </row>
    <row r="123" spans="1:26" ht="28.5" x14ac:dyDescent="0.2">
      <c r="A123" s="47" t="str">
        <f>Source!E39</f>
        <v>11,1</v>
      </c>
      <c r="B123" s="48" t="str">
        <f>Source!F39</f>
        <v>62.1.01.09-0102</v>
      </c>
      <c r="C123" s="48" t="str">
        <f>Source!G39</f>
        <v>Выключатели автоматические А3134 150А</v>
      </c>
      <c r="D123" s="30" t="str">
        <f>Source!H39</f>
        <v>шт.</v>
      </c>
      <c r="E123" s="10">
        <f>Source!I39</f>
        <v>3</v>
      </c>
      <c r="F123" s="31">
        <f>Source!AL39+Source!AM39+Source!AO39</f>
        <v>1049.99</v>
      </c>
      <c r="G123" s="45" t="s">
        <v>3</v>
      </c>
      <c r="H123" s="31">
        <f>ROUND(Source!AC39*Source!I39, 2)+ROUND(Source!AD39*Source!I39, 2)+ROUND(Source!AF39*Source!I39, 2)</f>
        <v>3149.97</v>
      </c>
      <c r="I123" s="32"/>
      <c r="J123" s="32">
        <f>IF(Source!BC39&lt;&gt; 0, Source!BC39, 1)</f>
        <v>4.88</v>
      </c>
      <c r="K123" s="31">
        <f>Source!O39</f>
        <v>15371.85</v>
      </c>
      <c r="L123" s="33"/>
      <c r="S123">
        <f>ROUND((Source!FX39/100)*((ROUND(Source!AF39*Source!I39, 2)+ROUND(Source!AE39*Source!I39, 2))), 2)</f>
        <v>0</v>
      </c>
      <c r="T123">
        <f>Source!X39</f>
        <v>0</v>
      </c>
      <c r="U123">
        <f>ROUND((Source!FY39/100)*((ROUND(Source!AF39*Source!I39, 2)+ROUND(Source!AE39*Source!I39, 2))), 2)</f>
        <v>0</v>
      </c>
      <c r="V123">
        <f>Source!Y39</f>
        <v>0</v>
      </c>
      <c r="W123">
        <f>IF(Source!BI39&lt;=1,H123, 0)</f>
        <v>0</v>
      </c>
      <c r="X123">
        <f>IF(Source!BI39=2,H123, 0)</f>
        <v>3149.97</v>
      </c>
      <c r="Y123">
        <f>IF(Source!BI39=3,H123, 0)</f>
        <v>0</v>
      </c>
      <c r="Z123">
        <f>IF(Source!BI39=4,H123, 0)</f>
        <v>0</v>
      </c>
    </row>
    <row r="124" spans="1:26" ht="28.5" x14ac:dyDescent="0.2">
      <c r="A124" s="47" t="str">
        <f>Source!E40</f>
        <v>11,2</v>
      </c>
      <c r="B124" s="48" t="str">
        <f>Source!F40</f>
        <v>62.1.01.09-0104</v>
      </c>
      <c r="C124" s="48" t="str">
        <f>Source!G40</f>
        <v>Выключатели автоматические А3721У I-250А</v>
      </c>
      <c r="D124" s="30" t="str">
        <f>Source!H40</f>
        <v>шт.</v>
      </c>
      <c r="E124" s="10">
        <f>Source!I40</f>
        <v>4</v>
      </c>
      <c r="F124" s="31">
        <f>Source!AL40+Source!AM40+Source!AO40</f>
        <v>864.45</v>
      </c>
      <c r="G124" s="45" t="s">
        <v>3</v>
      </c>
      <c r="H124" s="31">
        <f>ROUND(Source!AC40*Source!I40, 2)+ROUND(Source!AD40*Source!I40, 2)+ROUND(Source!AF40*Source!I40, 2)</f>
        <v>3457.8</v>
      </c>
      <c r="I124" s="32"/>
      <c r="J124" s="32">
        <f>IF(Source!BC40&lt;&gt; 0, Source!BC40, 1)</f>
        <v>4.88</v>
      </c>
      <c r="K124" s="31">
        <f>Source!O40</f>
        <v>16874.060000000001</v>
      </c>
      <c r="L124" s="33"/>
      <c r="S124">
        <f>ROUND((Source!FX40/100)*((ROUND(Source!AF40*Source!I40, 2)+ROUND(Source!AE40*Source!I40, 2))), 2)</f>
        <v>0</v>
      </c>
      <c r="T124">
        <f>Source!X40</f>
        <v>0</v>
      </c>
      <c r="U124">
        <f>ROUND((Source!FY40/100)*((ROUND(Source!AF40*Source!I40, 2)+ROUND(Source!AE40*Source!I40, 2))), 2)</f>
        <v>0</v>
      </c>
      <c r="V124">
        <f>Source!Y40</f>
        <v>0</v>
      </c>
      <c r="W124">
        <f>IF(Source!BI40&lt;=1,H124, 0)</f>
        <v>0</v>
      </c>
      <c r="X124">
        <f>IF(Source!BI40=2,H124, 0)</f>
        <v>3457.8</v>
      </c>
      <c r="Y124">
        <f>IF(Source!BI40=3,H124, 0)</f>
        <v>0</v>
      </c>
      <c r="Z124">
        <f>IF(Source!BI40=4,H124, 0)</f>
        <v>0</v>
      </c>
    </row>
    <row r="125" spans="1:26" ht="28.5" x14ac:dyDescent="0.2">
      <c r="A125" s="47" t="str">
        <f>Source!E41</f>
        <v>11,3</v>
      </c>
      <c r="B125" s="48" t="str">
        <f>Source!F41</f>
        <v>62.1.01.09-0101</v>
      </c>
      <c r="C125" s="48" t="str">
        <f>Source!G41</f>
        <v>Выключатели автоматические А3124 100А</v>
      </c>
      <c r="D125" s="30" t="str">
        <f>Source!H41</f>
        <v>шт.</v>
      </c>
      <c r="E125" s="10">
        <f>Source!I41</f>
        <v>7</v>
      </c>
      <c r="F125" s="31">
        <f>Source!AL41+Source!AM41+Source!AO41</f>
        <v>559.99</v>
      </c>
      <c r="G125" s="45" t="s">
        <v>3</v>
      </c>
      <c r="H125" s="31">
        <f>ROUND(Source!AC41*Source!I41, 2)+ROUND(Source!AD41*Source!I41, 2)+ROUND(Source!AF41*Source!I41, 2)</f>
        <v>3919.93</v>
      </c>
      <c r="I125" s="32"/>
      <c r="J125" s="32">
        <f>IF(Source!BC41&lt;&gt; 0, Source!BC41, 1)</f>
        <v>4.88</v>
      </c>
      <c r="K125" s="31">
        <f>Source!O41</f>
        <v>19129.259999999998</v>
      </c>
      <c r="L125" s="33"/>
      <c r="S125">
        <f>ROUND((Source!FX41/100)*((ROUND(Source!AF41*Source!I41, 2)+ROUND(Source!AE41*Source!I41, 2))), 2)</f>
        <v>0</v>
      </c>
      <c r="T125">
        <f>Source!X41</f>
        <v>0</v>
      </c>
      <c r="U125">
        <f>ROUND((Source!FY41/100)*((ROUND(Source!AF41*Source!I41, 2)+ROUND(Source!AE41*Source!I41, 2))), 2)</f>
        <v>0</v>
      </c>
      <c r="V125">
        <f>Source!Y41</f>
        <v>0</v>
      </c>
      <c r="W125">
        <f>IF(Source!BI41&lt;=1,H125, 0)</f>
        <v>0</v>
      </c>
      <c r="X125">
        <f>IF(Source!BI41=2,H125, 0)</f>
        <v>3919.93</v>
      </c>
      <c r="Y125">
        <f>IF(Source!BI41=3,H125, 0)</f>
        <v>0</v>
      </c>
      <c r="Z125">
        <f>IF(Source!BI41=4,H125, 0)</f>
        <v>0</v>
      </c>
    </row>
    <row r="126" spans="1:26" ht="28.5" x14ac:dyDescent="0.2">
      <c r="A126" s="49" t="str">
        <f>Source!E42</f>
        <v>11,4</v>
      </c>
      <c r="B126" s="50" t="str">
        <f>Source!F42</f>
        <v>62.1.01.09-0100</v>
      </c>
      <c r="C126" s="50" t="str">
        <f>Source!G42</f>
        <v>Выключатели автоматические А3124 50А</v>
      </c>
      <c r="D126" s="36" t="str">
        <f>Source!H42</f>
        <v>шт.</v>
      </c>
      <c r="E126" s="37">
        <f>Source!I42</f>
        <v>4</v>
      </c>
      <c r="F126" s="38">
        <f>Source!AL42+Source!AM42+Source!AO42</f>
        <v>490</v>
      </c>
      <c r="G126" s="43" t="s">
        <v>3</v>
      </c>
      <c r="H126" s="38">
        <f>ROUND(Source!AC42*Source!I42, 2)+ROUND(Source!AD42*Source!I42, 2)+ROUND(Source!AF42*Source!I42, 2)</f>
        <v>1960</v>
      </c>
      <c r="I126" s="39"/>
      <c r="J126" s="39">
        <f>IF(Source!BC42&lt;&gt; 0, Source!BC42, 1)</f>
        <v>4.88</v>
      </c>
      <c r="K126" s="38">
        <f>Source!O42</f>
        <v>9564.7999999999993</v>
      </c>
      <c r="L126" s="44"/>
      <c r="S126">
        <f>ROUND((Source!FX42/100)*((ROUND(Source!AF42*Source!I42, 2)+ROUND(Source!AE42*Source!I42, 2))), 2)</f>
        <v>0</v>
      </c>
      <c r="T126">
        <f>Source!X42</f>
        <v>0</v>
      </c>
      <c r="U126">
        <f>ROUND((Source!FY42/100)*((ROUND(Source!AF42*Source!I42, 2)+ROUND(Source!AE42*Source!I42, 2))), 2)</f>
        <v>0</v>
      </c>
      <c r="V126">
        <f>Source!Y42</f>
        <v>0</v>
      </c>
      <c r="W126">
        <f>IF(Source!BI42&lt;=1,H126, 0)</f>
        <v>0</v>
      </c>
      <c r="X126">
        <f>IF(Source!BI42=2,H126, 0)</f>
        <v>1960</v>
      </c>
      <c r="Y126">
        <f>IF(Source!BI42=3,H126, 0)</f>
        <v>0</v>
      </c>
      <c r="Z126">
        <f>IF(Source!BI42=4,H126, 0)</f>
        <v>0</v>
      </c>
    </row>
    <row r="127" spans="1:26" ht="15" x14ac:dyDescent="0.25">
      <c r="G127" s="57">
        <f>H118+H119+H120+H121+SUM(H123:H126)</f>
        <v>13014.85</v>
      </c>
      <c r="H127" s="57"/>
      <c r="J127" s="57">
        <f>K118+K119+K120+K121+SUM(K123:K126)</f>
        <v>63512.46</v>
      </c>
      <c r="K127" s="57"/>
      <c r="L127" s="41">
        <f>Source!U38</f>
        <v>20.160000000000004</v>
      </c>
      <c r="O127" s="23">
        <f>G127</f>
        <v>13014.85</v>
      </c>
      <c r="P127" s="23">
        <f>J127</f>
        <v>63512.46</v>
      </c>
      <c r="Q127" s="23">
        <f>L127</f>
        <v>20.160000000000004</v>
      </c>
      <c r="W127">
        <f>IF(Source!BI38&lt;=1,H118+H119+H120+H121, 0)</f>
        <v>0</v>
      </c>
      <c r="X127">
        <f>IF(Source!BI38=2,H118+H119+H120+H121, 0)</f>
        <v>527.15</v>
      </c>
      <c r="Y127">
        <f>IF(Source!BI38=3,H118+H119+H120+H121, 0)</f>
        <v>0</v>
      </c>
      <c r="Z127">
        <f>IF(Source!BI38=4,H118+H119+H120+H121, 0)</f>
        <v>0</v>
      </c>
    </row>
    <row r="128" spans="1:26" ht="42.75" x14ac:dyDescent="0.2">
      <c r="A128" s="47" t="str">
        <f>Source!E43</f>
        <v>12</v>
      </c>
      <c r="B128" s="48" t="str">
        <f>Source!F43</f>
        <v>м08-03-526-01</v>
      </c>
      <c r="C128" s="48" t="str">
        <f>Source!G43</f>
        <v>Автомат одно-, двух-, трехполюсный, устанавливаемый на конструкции на стене или колонне, на ток до 25 А</v>
      </c>
      <c r="D128" s="30" t="str">
        <f>Source!H43</f>
        <v>ШТ</v>
      </c>
      <c r="E128" s="10">
        <f>Source!I43</f>
        <v>8</v>
      </c>
      <c r="F128" s="31">
        <f>Source!AL43+Source!AM43+Source!AO43</f>
        <v>35.980000000000004</v>
      </c>
      <c r="G128" s="32"/>
      <c r="H128" s="31"/>
      <c r="I128" s="32" t="str">
        <f>Source!BO43</f>
        <v/>
      </c>
      <c r="J128" s="32"/>
      <c r="K128" s="31"/>
      <c r="L128" s="33"/>
      <c r="S128">
        <f>ROUND((Source!FX43/100)*((ROUND(Source!AF43*Source!I43, 2)+ROUND(Source!AE43*Source!I43, 2))), 2)</f>
        <v>112.78</v>
      </c>
      <c r="T128">
        <f>Source!X43</f>
        <v>550.38</v>
      </c>
      <c r="U128">
        <f>ROUND((Source!FY43/100)*((ROUND(Source!AF43*Source!I43, 2)+ROUND(Source!AE43*Source!I43, 2))), 2)</f>
        <v>77.17</v>
      </c>
      <c r="V128">
        <f>Source!Y43</f>
        <v>376.58</v>
      </c>
    </row>
    <row r="129" spans="1:26" ht="14.25" x14ac:dyDescent="0.2">
      <c r="A129" s="47"/>
      <c r="B129" s="48"/>
      <c r="C129" s="48" t="s">
        <v>657</v>
      </c>
      <c r="D129" s="30"/>
      <c r="E129" s="10"/>
      <c r="F129" s="31">
        <f>Source!AO43</f>
        <v>14.84</v>
      </c>
      <c r="G129" s="32" t="str">
        <f>Source!DG43</f>
        <v/>
      </c>
      <c r="H129" s="31">
        <f>ROUND(Source!AF43*Source!I43, 2)</f>
        <v>118.72</v>
      </c>
      <c r="I129" s="32"/>
      <c r="J129" s="32">
        <f>IF(Source!BA43&lt;&gt; 0, Source!BA43, 1)</f>
        <v>4.88</v>
      </c>
      <c r="K129" s="31">
        <f>Source!S43</f>
        <v>579.35</v>
      </c>
      <c r="L129" s="33"/>
      <c r="R129">
        <f>H129</f>
        <v>118.72</v>
      </c>
    </row>
    <row r="130" spans="1:26" ht="14.25" x14ac:dyDescent="0.2">
      <c r="A130" s="47"/>
      <c r="B130" s="48"/>
      <c r="C130" s="48" t="s">
        <v>303</v>
      </c>
      <c r="D130" s="30"/>
      <c r="E130" s="10"/>
      <c r="F130" s="31">
        <f>Source!AM43</f>
        <v>1.05</v>
      </c>
      <c r="G130" s="32" t="str">
        <f>Source!DE43</f>
        <v/>
      </c>
      <c r="H130" s="31">
        <f>ROUND(Source!AD43*Source!I43, 2)</f>
        <v>8.4</v>
      </c>
      <c r="I130" s="32"/>
      <c r="J130" s="32">
        <f>IF(Source!BB43&lt;&gt; 0, Source!BB43, 1)</f>
        <v>4.88</v>
      </c>
      <c r="K130" s="31">
        <f>Source!Q43</f>
        <v>40.99</v>
      </c>
      <c r="L130" s="33"/>
    </row>
    <row r="131" spans="1:26" ht="14.25" x14ac:dyDescent="0.2">
      <c r="A131" s="47"/>
      <c r="B131" s="48"/>
      <c r="C131" s="48" t="s">
        <v>664</v>
      </c>
      <c r="D131" s="30"/>
      <c r="E131" s="10"/>
      <c r="F131" s="31">
        <f>Source!AL43</f>
        <v>20.09</v>
      </c>
      <c r="G131" s="32" t="str">
        <f>Source!DD43</f>
        <v/>
      </c>
      <c r="H131" s="31">
        <f>ROUND(Source!AC43*Source!I43, 2)</f>
        <v>160.72</v>
      </c>
      <c r="I131" s="32"/>
      <c r="J131" s="32">
        <f>IF(Source!BC43&lt;&gt; 0, Source!BC43, 1)</f>
        <v>4.88</v>
      </c>
      <c r="K131" s="31">
        <f>Source!P43</f>
        <v>784.31</v>
      </c>
      <c r="L131" s="33"/>
    </row>
    <row r="132" spans="1:26" ht="14.25" x14ac:dyDescent="0.2">
      <c r="A132" s="47"/>
      <c r="B132" s="48"/>
      <c r="C132" s="48" t="s">
        <v>659</v>
      </c>
      <c r="D132" s="30" t="s">
        <v>660</v>
      </c>
      <c r="E132" s="10">
        <f>Source!BZ43</f>
        <v>95</v>
      </c>
      <c r="F132" s="51"/>
      <c r="G132" s="32"/>
      <c r="H132" s="31">
        <f>SUM(S128:S136)</f>
        <v>112.78</v>
      </c>
      <c r="I132" s="35"/>
      <c r="J132" s="28">
        <f>Source!AT43</f>
        <v>95</v>
      </c>
      <c r="K132" s="31">
        <f>SUM(T128:T136)</f>
        <v>550.38</v>
      </c>
      <c r="L132" s="33"/>
    </row>
    <row r="133" spans="1:26" ht="14.25" x14ac:dyDescent="0.2">
      <c r="A133" s="47"/>
      <c r="B133" s="48"/>
      <c r="C133" s="48" t="s">
        <v>661</v>
      </c>
      <c r="D133" s="30" t="s">
        <v>660</v>
      </c>
      <c r="E133" s="10">
        <f>Source!CA43</f>
        <v>65</v>
      </c>
      <c r="F133" s="51"/>
      <c r="G133" s="32"/>
      <c r="H133" s="31">
        <f>SUM(U128:U136)</f>
        <v>77.17</v>
      </c>
      <c r="I133" s="35"/>
      <c r="J133" s="28">
        <f>Source!AU43</f>
        <v>65</v>
      </c>
      <c r="K133" s="31">
        <f>SUM(V128:V136)</f>
        <v>376.58</v>
      </c>
      <c r="L133" s="33"/>
    </row>
    <row r="134" spans="1:26" ht="14.25" x14ac:dyDescent="0.2">
      <c r="A134" s="47"/>
      <c r="B134" s="48"/>
      <c r="C134" s="48" t="s">
        <v>662</v>
      </c>
      <c r="D134" s="30" t="s">
        <v>663</v>
      </c>
      <c r="E134" s="10">
        <f>Source!AQ43</f>
        <v>1.56</v>
      </c>
      <c r="F134" s="31"/>
      <c r="G134" s="32" t="str">
        <f>Source!DI43</f>
        <v/>
      </c>
      <c r="H134" s="31"/>
      <c r="I134" s="32"/>
      <c r="J134" s="32"/>
      <c r="K134" s="31"/>
      <c r="L134" s="42">
        <f>Source!U43</f>
        <v>12.48</v>
      </c>
    </row>
    <row r="135" spans="1:26" ht="28.5" x14ac:dyDescent="0.2">
      <c r="A135" s="47" t="str">
        <f>Source!E44</f>
        <v>12,1</v>
      </c>
      <c r="B135" s="48" t="str">
        <f>Source!F44</f>
        <v>62.1.01.09-0091</v>
      </c>
      <c r="C135" s="48" t="str">
        <f>Source!G44</f>
        <v>Выключатели автоматические «Legrand» серии LR 3Р 25А</v>
      </c>
      <c r="D135" s="30" t="str">
        <f>Source!H44</f>
        <v>шт.</v>
      </c>
      <c r="E135" s="10">
        <f>Source!I44</f>
        <v>4</v>
      </c>
      <c r="F135" s="31">
        <f>Source!AL44+Source!AM44+Source!AO44</f>
        <v>159.06</v>
      </c>
      <c r="G135" s="45" t="s">
        <v>3</v>
      </c>
      <c r="H135" s="31">
        <f>ROUND(Source!AC44*Source!I44, 2)+ROUND(Source!AD44*Source!I44, 2)+ROUND(Source!AF44*Source!I44, 2)</f>
        <v>636.24</v>
      </c>
      <c r="I135" s="32"/>
      <c r="J135" s="32">
        <f>IF(Source!BC44&lt;&gt; 0, Source!BC44, 1)</f>
        <v>4.88</v>
      </c>
      <c r="K135" s="31">
        <f>Source!O44</f>
        <v>3104.85</v>
      </c>
      <c r="L135" s="33"/>
      <c r="S135">
        <f>ROUND((Source!FX44/100)*((ROUND(Source!AF44*Source!I44, 2)+ROUND(Source!AE44*Source!I44, 2))), 2)</f>
        <v>0</v>
      </c>
      <c r="T135">
        <f>Source!X44</f>
        <v>0</v>
      </c>
      <c r="U135">
        <f>ROUND((Source!FY44/100)*((ROUND(Source!AF44*Source!I44, 2)+ROUND(Source!AE44*Source!I44, 2))), 2)</f>
        <v>0</v>
      </c>
      <c r="V135">
        <f>Source!Y44</f>
        <v>0</v>
      </c>
      <c r="W135">
        <f>IF(Source!BI44&lt;=1,H135, 0)</f>
        <v>0</v>
      </c>
      <c r="X135">
        <f>IF(Source!BI44=2,H135, 0)</f>
        <v>636.24</v>
      </c>
      <c r="Y135">
        <f>IF(Source!BI44=3,H135, 0)</f>
        <v>0</v>
      </c>
      <c r="Z135">
        <f>IF(Source!BI44=4,H135, 0)</f>
        <v>0</v>
      </c>
    </row>
    <row r="136" spans="1:26" ht="28.5" x14ac:dyDescent="0.2">
      <c r="A136" s="49" t="str">
        <f>Source!E45</f>
        <v>12,2</v>
      </c>
      <c r="B136" s="50" t="str">
        <f>Source!F45</f>
        <v>62.1.01.09-0090</v>
      </c>
      <c r="C136" s="50" t="str">
        <f>Source!G45</f>
        <v>Выключатели автоматические «Legrand» серии LR 3Р 16А</v>
      </c>
      <c r="D136" s="36" t="str">
        <f>Source!H45</f>
        <v>шт.</v>
      </c>
      <c r="E136" s="37">
        <f>Source!I45</f>
        <v>4</v>
      </c>
      <c r="F136" s="38">
        <f>Source!AL45+Source!AM45+Source!AO45</f>
        <v>159.06</v>
      </c>
      <c r="G136" s="43" t="s">
        <v>3</v>
      </c>
      <c r="H136" s="38">
        <f>ROUND(Source!AC45*Source!I45, 2)+ROUND(Source!AD45*Source!I45, 2)+ROUND(Source!AF45*Source!I45, 2)</f>
        <v>636.24</v>
      </c>
      <c r="I136" s="39"/>
      <c r="J136" s="39">
        <f>IF(Source!BC45&lt;&gt; 0, Source!BC45, 1)</f>
        <v>4.88</v>
      </c>
      <c r="K136" s="38">
        <f>Source!O45</f>
        <v>3104.85</v>
      </c>
      <c r="L136" s="44"/>
      <c r="S136">
        <f>ROUND((Source!FX45/100)*((ROUND(Source!AF45*Source!I45, 2)+ROUND(Source!AE45*Source!I45, 2))), 2)</f>
        <v>0</v>
      </c>
      <c r="T136">
        <f>Source!X45</f>
        <v>0</v>
      </c>
      <c r="U136">
        <f>ROUND((Source!FY45/100)*((ROUND(Source!AF45*Source!I45, 2)+ROUND(Source!AE45*Source!I45, 2))), 2)</f>
        <v>0</v>
      </c>
      <c r="V136">
        <f>Source!Y45</f>
        <v>0</v>
      </c>
      <c r="W136">
        <f>IF(Source!BI45&lt;=1,H136, 0)</f>
        <v>0</v>
      </c>
      <c r="X136">
        <f>IF(Source!BI45=2,H136, 0)</f>
        <v>636.24</v>
      </c>
      <c r="Y136">
        <f>IF(Source!BI45=3,H136, 0)</f>
        <v>0</v>
      </c>
      <c r="Z136">
        <f>IF(Source!BI45=4,H136, 0)</f>
        <v>0</v>
      </c>
    </row>
    <row r="137" spans="1:26" ht="15" x14ac:dyDescent="0.25">
      <c r="G137" s="57">
        <f>H129+H130+H131+H132+H133+SUM(H135:H136)</f>
        <v>1750.27</v>
      </c>
      <c r="H137" s="57"/>
      <c r="J137" s="57">
        <f>K129+K130+K131+K132+K133+SUM(K135:K136)</f>
        <v>8541.31</v>
      </c>
      <c r="K137" s="57"/>
      <c r="L137" s="41">
        <f>Source!U43</f>
        <v>12.48</v>
      </c>
      <c r="O137" s="23">
        <f>G137</f>
        <v>1750.27</v>
      </c>
      <c r="P137" s="23">
        <f>J137</f>
        <v>8541.31</v>
      </c>
      <c r="Q137" s="23">
        <f>L137</f>
        <v>12.48</v>
      </c>
      <c r="W137">
        <f>IF(Source!BI43&lt;=1,H129+H130+H131+H132+H133, 0)</f>
        <v>0</v>
      </c>
      <c r="X137">
        <f>IF(Source!BI43=2,H129+H130+H131+H132+H133, 0)</f>
        <v>477.79</v>
      </c>
      <c r="Y137">
        <f>IF(Source!BI43=3,H129+H130+H131+H132+H133, 0)</f>
        <v>0</v>
      </c>
      <c r="Z137">
        <f>IF(Source!BI43=4,H129+H130+H131+H132+H133, 0)</f>
        <v>0</v>
      </c>
    </row>
    <row r="138" spans="1:26" ht="99.75" x14ac:dyDescent="0.2">
      <c r="A138" s="47" t="str">
        <f>Source!E46</f>
        <v>13</v>
      </c>
      <c r="B138" s="48" t="str">
        <f>Source!F46</f>
        <v>м08-03-544-01</v>
      </c>
      <c r="C138" s="48" t="str">
        <f>Source!G46</f>
        <v>Колонка распределительная с автоматическими выключателями или с рубильником и предохранителями на ток до 63 А, устанавливаемая на модульной коробке и присоединяемая к магистрали из проводов с жилами сечением до 35 мм2</v>
      </c>
      <c r="D138" s="30" t="str">
        <f>Source!H46</f>
        <v>ШТ</v>
      </c>
      <c r="E138" s="10">
        <f>Source!I46</f>
        <v>20</v>
      </c>
      <c r="F138" s="31">
        <f>Source!AL46+Source!AM46+Source!AO46</f>
        <v>25.8</v>
      </c>
      <c r="G138" s="32"/>
      <c r="H138" s="31"/>
      <c r="I138" s="32" t="str">
        <f>Source!BO46</f>
        <v/>
      </c>
      <c r="J138" s="32"/>
      <c r="K138" s="31"/>
      <c r="L138" s="33"/>
      <c r="S138">
        <f>ROUND((Source!FX46/100)*((ROUND(Source!AF46*Source!I46, 2)+ROUND(Source!AE46*Source!I46, 2))), 2)</f>
        <v>421.99</v>
      </c>
      <c r="T138">
        <f>Source!X46</f>
        <v>2059.3200000000002</v>
      </c>
      <c r="U138">
        <f>ROUND((Source!FY46/100)*((ROUND(Source!AF46*Source!I46, 2)+ROUND(Source!AE46*Source!I46, 2))), 2)</f>
        <v>288.73</v>
      </c>
      <c r="V138">
        <f>Source!Y46</f>
        <v>1409.01</v>
      </c>
    </row>
    <row r="139" spans="1:26" ht="14.25" x14ac:dyDescent="0.2">
      <c r="A139" s="47"/>
      <c r="B139" s="48"/>
      <c r="C139" s="48" t="s">
        <v>657</v>
      </c>
      <c r="D139" s="30"/>
      <c r="E139" s="10"/>
      <c r="F139" s="31">
        <f>Source!AO46</f>
        <v>21.71</v>
      </c>
      <c r="G139" s="32" t="str">
        <f>Source!DG46</f>
        <v/>
      </c>
      <c r="H139" s="31">
        <f>ROUND(Source!AF46*Source!I46, 2)</f>
        <v>434.2</v>
      </c>
      <c r="I139" s="32"/>
      <c r="J139" s="32">
        <f>IF(Source!BA46&lt;&gt; 0, Source!BA46, 1)</f>
        <v>4.88</v>
      </c>
      <c r="K139" s="31">
        <f>Source!S46</f>
        <v>2118.9</v>
      </c>
      <c r="L139" s="33"/>
      <c r="R139">
        <f>H139</f>
        <v>434.2</v>
      </c>
    </row>
    <row r="140" spans="1:26" ht="14.25" x14ac:dyDescent="0.2">
      <c r="A140" s="47"/>
      <c r="B140" s="48"/>
      <c r="C140" s="48" t="s">
        <v>303</v>
      </c>
      <c r="D140" s="30"/>
      <c r="E140" s="10"/>
      <c r="F140" s="31">
        <f>Source!AM46</f>
        <v>3.55</v>
      </c>
      <c r="G140" s="32" t="str">
        <f>Source!DE46</f>
        <v/>
      </c>
      <c r="H140" s="31">
        <f>ROUND(Source!AD46*Source!I46, 2)</f>
        <v>71</v>
      </c>
      <c r="I140" s="32"/>
      <c r="J140" s="32">
        <f>IF(Source!BB46&lt;&gt; 0, Source!BB46, 1)</f>
        <v>4.88</v>
      </c>
      <c r="K140" s="31">
        <f>Source!Q46</f>
        <v>346.48</v>
      </c>
      <c r="L140" s="33"/>
    </row>
    <row r="141" spans="1:26" ht="14.25" x14ac:dyDescent="0.2">
      <c r="A141" s="47"/>
      <c r="B141" s="48"/>
      <c r="C141" s="48" t="s">
        <v>658</v>
      </c>
      <c r="D141" s="30"/>
      <c r="E141" s="10"/>
      <c r="F141" s="31">
        <f>Source!AN46</f>
        <v>0.5</v>
      </c>
      <c r="G141" s="32" t="str">
        <f>Source!DF46</f>
        <v/>
      </c>
      <c r="H141" s="34">
        <f>ROUND(Source!AE46*Source!I46, 2)</f>
        <v>10</v>
      </c>
      <c r="I141" s="32"/>
      <c r="J141" s="32">
        <f>IF(Source!BS46&lt;&gt; 0, Source!BS46, 1)</f>
        <v>4.88</v>
      </c>
      <c r="K141" s="34">
        <f>Source!R46</f>
        <v>48.8</v>
      </c>
      <c r="L141" s="33"/>
      <c r="R141">
        <f>H141</f>
        <v>10</v>
      </c>
    </row>
    <row r="142" spans="1:26" ht="14.25" x14ac:dyDescent="0.2">
      <c r="A142" s="47"/>
      <c r="B142" s="48"/>
      <c r="C142" s="48" t="s">
        <v>664</v>
      </c>
      <c r="D142" s="30"/>
      <c r="E142" s="10"/>
      <c r="F142" s="31">
        <f>Source!AL46</f>
        <v>0.54</v>
      </c>
      <c r="G142" s="32" t="str">
        <f>Source!DD46</f>
        <v/>
      </c>
      <c r="H142" s="31">
        <f>ROUND(Source!AC46*Source!I46, 2)</f>
        <v>10.8</v>
      </c>
      <c r="I142" s="32"/>
      <c r="J142" s="32">
        <f>IF(Source!BC46&lt;&gt; 0, Source!BC46, 1)</f>
        <v>4.88</v>
      </c>
      <c r="K142" s="31">
        <f>Source!P46</f>
        <v>52.7</v>
      </c>
      <c r="L142" s="33"/>
    </row>
    <row r="143" spans="1:26" ht="14.25" x14ac:dyDescent="0.2">
      <c r="A143" s="47"/>
      <c r="B143" s="48"/>
      <c r="C143" s="48" t="s">
        <v>659</v>
      </c>
      <c r="D143" s="30" t="s">
        <v>660</v>
      </c>
      <c r="E143" s="10">
        <f>Source!BZ46</f>
        <v>95</v>
      </c>
      <c r="F143" s="51"/>
      <c r="G143" s="32"/>
      <c r="H143" s="31">
        <f>SUM(S138:S146)</f>
        <v>421.99</v>
      </c>
      <c r="I143" s="35"/>
      <c r="J143" s="28">
        <f>Source!AT46</f>
        <v>95</v>
      </c>
      <c r="K143" s="31">
        <f>SUM(T138:T146)</f>
        <v>2059.3200000000002</v>
      </c>
      <c r="L143" s="33"/>
    </row>
    <row r="144" spans="1:26" ht="14.25" x14ac:dyDescent="0.2">
      <c r="A144" s="47"/>
      <c r="B144" s="48"/>
      <c r="C144" s="48" t="s">
        <v>661</v>
      </c>
      <c r="D144" s="30" t="s">
        <v>660</v>
      </c>
      <c r="E144" s="10">
        <f>Source!CA46</f>
        <v>65</v>
      </c>
      <c r="F144" s="51"/>
      <c r="G144" s="32"/>
      <c r="H144" s="31">
        <f>SUM(U138:U146)</f>
        <v>288.73</v>
      </c>
      <c r="I144" s="35"/>
      <c r="J144" s="28">
        <f>Source!AU46</f>
        <v>65</v>
      </c>
      <c r="K144" s="31">
        <f>SUM(V138:V146)</f>
        <v>1409.01</v>
      </c>
      <c r="L144" s="33"/>
    </row>
    <row r="145" spans="1:26" ht="14.25" x14ac:dyDescent="0.2">
      <c r="A145" s="47"/>
      <c r="B145" s="48"/>
      <c r="C145" s="48" t="s">
        <v>662</v>
      </c>
      <c r="D145" s="30" t="s">
        <v>663</v>
      </c>
      <c r="E145" s="10">
        <f>Source!AQ46</f>
        <v>2.31</v>
      </c>
      <c r="F145" s="31"/>
      <c r="G145" s="32" t="str">
        <f>Source!DI46</f>
        <v/>
      </c>
      <c r="H145" s="31"/>
      <c r="I145" s="32"/>
      <c r="J145" s="32"/>
      <c r="K145" s="31"/>
      <c r="L145" s="42">
        <f>Source!U46</f>
        <v>46.2</v>
      </c>
    </row>
    <row r="146" spans="1:26" ht="42.75" x14ac:dyDescent="0.2">
      <c r="A146" s="49" t="str">
        <f>Source!E47</f>
        <v>13,1</v>
      </c>
      <c r="B146" s="50" t="str">
        <f>Source!F47</f>
        <v>62.1.01.09-0088</v>
      </c>
      <c r="C146" s="50" t="str">
        <f>Source!G47</f>
        <v>Выключатели автоматические «Legrand» серии LR 3Р 6А с колодкой распределиния</v>
      </c>
      <c r="D146" s="36" t="str">
        <f>Source!H47</f>
        <v>шт.</v>
      </c>
      <c r="E146" s="37">
        <f>Source!I47</f>
        <v>20</v>
      </c>
      <c r="F146" s="38">
        <f>Source!AL47+Source!AM47+Source!AO47</f>
        <v>186.58</v>
      </c>
      <c r="G146" s="43" t="s">
        <v>3</v>
      </c>
      <c r="H146" s="38">
        <f>ROUND(Source!AC47*Source!I47, 2)+ROUND(Source!AD47*Source!I47, 2)+ROUND(Source!AF47*Source!I47, 2)</f>
        <v>3731.6</v>
      </c>
      <c r="I146" s="39"/>
      <c r="J146" s="39">
        <f>IF(Source!BC47&lt;&gt; 0, Source!BC47, 1)</f>
        <v>4.88</v>
      </c>
      <c r="K146" s="38">
        <f>Source!O47</f>
        <v>18210.21</v>
      </c>
      <c r="L146" s="44"/>
      <c r="S146">
        <f>ROUND((Source!FX47/100)*((ROUND(Source!AF47*Source!I47, 2)+ROUND(Source!AE47*Source!I47, 2))), 2)</f>
        <v>0</v>
      </c>
      <c r="T146">
        <f>Source!X47</f>
        <v>0</v>
      </c>
      <c r="U146">
        <f>ROUND((Source!FY47/100)*((ROUND(Source!AF47*Source!I47, 2)+ROUND(Source!AE47*Source!I47, 2))), 2)</f>
        <v>0</v>
      </c>
      <c r="V146">
        <f>Source!Y47</f>
        <v>0</v>
      </c>
      <c r="W146">
        <f>IF(Source!BI47&lt;=1,H146, 0)</f>
        <v>0</v>
      </c>
      <c r="X146">
        <f>IF(Source!BI47=2,H146, 0)</f>
        <v>3731.6</v>
      </c>
      <c r="Y146">
        <f>IF(Source!BI47=3,H146, 0)</f>
        <v>0</v>
      </c>
      <c r="Z146">
        <f>IF(Source!BI47=4,H146, 0)</f>
        <v>0</v>
      </c>
    </row>
    <row r="147" spans="1:26" ht="15" x14ac:dyDescent="0.25">
      <c r="G147" s="57">
        <f>H139+H140+H142+H143+H144+SUM(H146:H146)</f>
        <v>4958.32</v>
      </c>
      <c r="H147" s="57"/>
      <c r="J147" s="57">
        <f>K139+K140+K142+K143+K144+SUM(K146:K146)</f>
        <v>24196.62</v>
      </c>
      <c r="K147" s="57"/>
      <c r="L147" s="41">
        <f>Source!U46</f>
        <v>46.2</v>
      </c>
      <c r="O147" s="23">
        <f>G147</f>
        <v>4958.32</v>
      </c>
      <c r="P147" s="23">
        <f>J147</f>
        <v>24196.62</v>
      </c>
      <c r="Q147" s="23">
        <f>L147</f>
        <v>46.2</v>
      </c>
      <c r="W147">
        <f>IF(Source!BI46&lt;=1,H139+H140+H142+H143+H144, 0)</f>
        <v>0</v>
      </c>
      <c r="X147">
        <f>IF(Source!BI46=2,H139+H140+H142+H143+H144, 0)</f>
        <v>1226.72</v>
      </c>
      <c r="Y147">
        <f>IF(Source!BI46=3,H139+H140+H142+H143+H144, 0)</f>
        <v>0</v>
      </c>
      <c r="Z147">
        <f>IF(Source!BI46=4,H139+H140+H142+H143+H144, 0)</f>
        <v>0</v>
      </c>
    </row>
    <row r="148" spans="1:26" ht="28.5" x14ac:dyDescent="0.2">
      <c r="A148" s="47" t="str">
        <f>Source!E48</f>
        <v>14</v>
      </c>
      <c r="B148" s="48" t="str">
        <f>Source!F48</f>
        <v>м08-03-591-08</v>
      </c>
      <c r="C148" s="48" t="str">
        <f>Source!G48</f>
        <v>Розетка штепсельная неутопленного типа при открытой проводке</v>
      </c>
      <c r="D148" s="30" t="str">
        <f>Source!H48</f>
        <v>100 ШТ</v>
      </c>
      <c r="E148" s="10">
        <f>Source!I48</f>
        <v>0.04</v>
      </c>
      <c r="F148" s="31">
        <f>Source!AL48+Source!AM48+Source!AO48</f>
        <v>453.92999999999995</v>
      </c>
      <c r="G148" s="32"/>
      <c r="H148" s="31"/>
      <c r="I148" s="32" t="str">
        <f>Source!BO48</f>
        <v/>
      </c>
      <c r="J148" s="32"/>
      <c r="K148" s="31"/>
      <c r="L148" s="33"/>
      <c r="S148">
        <f>ROUND((Source!FX48/100)*((ROUND(Source!AF48*Source!I48, 2)+ROUND(Source!AE48*Source!I48, 2))), 2)</f>
        <v>13.05</v>
      </c>
      <c r="T148">
        <f>Source!X48</f>
        <v>63.69</v>
      </c>
      <c r="U148">
        <f>ROUND((Source!FY48/100)*((ROUND(Source!AF48*Source!I48, 2)+ROUND(Source!AE48*Source!I48, 2))), 2)</f>
        <v>8.93</v>
      </c>
      <c r="V148">
        <f>Source!Y48</f>
        <v>43.58</v>
      </c>
    </row>
    <row r="149" spans="1:26" x14ac:dyDescent="0.2">
      <c r="C149" s="25" t="str">
        <f>"Объем: "&amp;Source!I48&amp;"=4/"&amp;"100"</f>
        <v>Объем: 0,04=4/100</v>
      </c>
    </row>
    <row r="150" spans="1:26" ht="14.25" x14ac:dyDescent="0.2">
      <c r="A150" s="47"/>
      <c r="B150" s="48"/>
      <c r="C150" s="48" t="s">
        <v>657</v>
      </c>
      <c r="D150" s="30"/>
      <c r="E150" s="10"/>
      <c r="F150" s="31">
        <f>Source!AO48</f>
        <v>342.84</v>
      </c>
      <c r="G150" s="32" t="str">
        <f>Source!DG48</f>
        <v/>
      </c>
      <c r="H150" s="31">
        <f>ROUND(Source!AF48*Source!I48, 2)</f>
        <v>13.71</v>
      </c>
      <c r="I150" s="32"/>
      <c r="J150" s="32">
        <f>IF(Source!BA48&lt;&gt; 0, Source!BA48, 1)</f>
        <v>4.88</v>
      </c>
      <c r="K150" s="31">
        <f>Source!S48</f>
        <v>66.92</v>
      </c>
      <c r="L150" s="33"/>
      <c r="R150">
        <f>H150</f>
        <v>13.71</v>
      </c>
    </row>
    <row r="151" spans="1:26" ht="14.25" x14ac:dyDescent="0.2">
      <c r="A151" s="47"/>
      <c r="B151" s="48"/>
      <c r="C151" s="48" t="s">
        <v>303</v>
      </c>
      <c r="D151" s="30"/>
      <c r="E151" s="10"/>
      <c r="F151" s="31">
        <f>Source!AM48</f>
        <v>4.67</v>
      </c>
      <c r="G151" s="32" t="str">
        <f>Source!DE48</f>
        <v/>
      </c>
      <c r="H151" s="31">
        <f>ROUND(Source!AD48*Source!I48, 2)</f>
        <v>0.19</v>
      </c>
      <c r="I151" s="32"/>
      <c r="J151" s="32">
        <f>IF(Source!BB48&lt;&gt; 0, Source!BB48, 1)</f>
        <v>4.88</v>
      </c>
      <c r="K151" s="31">
        <f>Source!Q48</f>
        <v>0.91</v>
      </c>
      <c r="L151" s="33"/>
    </row>
    <row r="152" spans="1:26" ht="14.25" x14ac:dyDescent="0.2">
      <c r="A152" s="47"/>
      <c r="B152" s="48"/>
      <c r="C152" s="48" t="s">
        <v>658</v>
      </c>
      <c r="D152" s="30"/>
      <c r="E152" s="10"/>
      <c r="F152" s="31">
        <f>Source!AN48</f>
        <v>0.64</v>
      </c>
      <c r="G152" s="32" t="str">
        <f>Source!DF48</f>
        <v/>
      </c>
      <c r="H152" s="34">
        <f>ROUND(Source!AE48*Source!I48, 2)</f>
        <v>0.03</v>
      </c>
      <c r="I152" s="32"/>
      <c r="J152" s="32">
        <f>IF(Source!BS48&lt;&gt; 0, Source!BS48, 1)</f>
        <v>4.88</v>
      </c>
      <c r="K152" s="34">
        <f>Source!R48</f>
        <v>0.12</v>
      </c>
      <c r="L152" s="33"/>
      <c r="R152">
        <f>H152</f>
        <v>0.03</v>
      </c>
    </row>
    <row r="153" spans="1:26" ht="14.25" x14ac:dyDescent="0.2">
      <c r="A153" s="47"/>
      <c r="B153" s="48"/>
      <c r="C153" s="48" t="s">
        <v>664</v>
      </c>
      <c r="D153" s="30"/>
      <c r="E153" s="10"/>
      <c r="F153" s="31">
        <f>Source!AL48</f>
        <v>106.42</v>
      </c>
      <c r="G153" s="32" t="str">
        <f>Source!DD48</f>
        <v/>
      </c>
      <c r="H153" s="31">
        <f>ROUND(Source!AC48*Source!I48, 2)</f>
        <v>4.26</v>
      </c>
      <c r="I153" s="32"/>
      <c r="J153" s="32">
        <f>IF(Source!BC48&lt;&gt; 0, Source!BC48, 1)</f>
        <v>4.88</v>
      </c>
      <c r="K153" s="31">
        <f>Source!P48</f>
        <v>20.77</v>
      </c>
      <c r="L153" s="33"/>
    </row>
    <row r="154" spans="1:26" ht="14.25" x14ac:dyDescent="0.2">
      <c r="A154" s="47"/>
      <c r="B154" s="48"/>
      <c r="C154" s="48" t="s">
        <v>659</v>
      </c>
      <c r="D154" s="30" t="s">
        <v>660</v>
      </c>
      <c r="E154" s="10">
        <f>Source!BZ48</f>
        <v>95</v>
      </c>
      <c r="F154" s="51"/>
      <c r="G154" s="32"/>
      <c r="H154" s="31">
        <f>SUM(S148:S158)</f>
        <v>13.05</v>
      </c>
      <c r="I154" s="35"/>
      <c r="J154" s="28">
        <f>Source!AT48</f>
        <v>95</v>
      </c>
      <c r="K154" s="31">
        <f>SUM(T148:T158)</f>
        <v>63.69</v>
      </c>
      <c r="L154" s="33"/>
    </row>
    <row r="155" spans="1:26" ht="14.25" x14ac:dyDescent="0.2">
      <c r="A155" s="47"/>
      <c r="B155" s="48"/>
      <c r="C155" s="48" t="s">
        <v>661</v>
      </c>
      <c r="D155" s="30" t="s">
        <v>660</v>
      </c>
      <c r="E155" s="10">
        <f>Source!CA48</f>
        <v>65</v>
      </c>
      <c r="F155" s="51"/>
      <c r="G155" s="32"/>
      <c r="H155" s="31">
        <f>SUM(U148:U158)</f>
        <v>8.93</v>
      </c>
      <c r="I155" s="35"/>
      <c r="J155" s="28">
        <f>Source!AU48</f>
        <v>65</v>
      </c>
      <c r="K155" s="31">
        <f>SUM(V148:V158)</f>
        <v>43.58</v>
      </c>
      <c r="L155" s="33"/>
    </row>
    <row r="156" spans="1:26" ht="14.25" x14ac:dyDescent="0.2">
      <c r="A156" s="47"/>
      <c r="B156" s="48"/>
      <c r="C156" s="48" t="s">
        <v>662</v>
      </c>
      <c r="D156" s="30" t="s">
        <v>663</v>
      </c>
      <c r="E156" s="10">
        <f>Source!AQ48</f>
        <v>34.56</v>
      </c>
      <c r="F156" s="31"/>
      <c r="G156" s="32" t="str">
        <f>Source!DI48</f>
        <v/>
      </c>
      <c r="H156" s="31"/>
      <c r="I156" s="32"/>
      <c r="J156" s="32"/>
      <c r="K156" s="31"/>
      <c r="L156" s="42">
        <f>Source!U48</f>
        <v>1.3824000000000001</v>
      </c>
    </row>
    <row r="157" spans="1:26" ht="28.5" x14ac:dyDescent="0.2">
      <c r="A157" s="47" t="str">
        <f>Source!E49</f>
        <v>14,1</v>
      </c>
      <c r="B157" s="48" t="str">
        <f>Source!F49</f>
        <v>20.4.03.05-0008</v>
      </c>
      <c r="C157" s="48" t="str">
        <f>Source!G49</f>
        <v>Розетка штепсельная для открытой проводки одногнездовая</v>
      </c>
      <c r="D157" s="30" t="str">
        <f>Source!H49</f>
        <v>100 шт.</v>
      </c>
      <c r="E157" s="10">
        <f>Source!I49</f>
        <v>2</v>
      </c>
      <c r="F157" s="31">
        <f>Source!AL49+Source!AM49+Source!AO49</f>
        <v>2008</v>
      </c>
      <c r="G157" s="45" t="s">
        <v>3</v>
      </c>
      <c r="H157" s="31">
        <f>ROUND(Source!AC49*Source!I49, 2)+ROUND(Source!AD49*Source!I49, 2)+ROUND(Source!AF49*Source!I49, 2)</f>
        <v>4016</v>
      </c>
      <c r="I157" s="32"/>
      <c r="J157" s="32">
        <f>IF(Source!BC49&lt;&gt; 0, Source!BC49, 1)</f>
        <v>4.88</v>
      </c>
      <c r="K157" s="31">
        <f>Source!O49</f>
        <v>19598.080000000002</v>
      </c>
      <c r="L157" s="33"/>
      <c r="S157">
        <f>ROUND((Source!FX49/100)*((ROUND(Source!AF49*Source!I49, 2)+ROUND(Source!AE49*Source!I49, 2))), 2)</f>
        <v>0</v>
      </c>
      <c r="T157">
        <f>Source!X49</f>
        <v>0</v>
      </c>
      <c r="U157">
        <f>ROUND((Source!FY49/100)*((ROUND(Source!AF49*Source!I49, 2)+ROUND(Source!AE49*Source!I49, 2))), 2)</f>
        <v>0</v>
      </c>
      <c r="V157">
        <f>Source!Y49</f>
        <v>0</v>
      </c>
      <c r="W157">
        <f>IF(Source!BI49&lt;=1,H157, 0)</f>
        <v>0</v>
      </c>
      <c r="X157">
        <f>IF(Source!BI49=2,H157, 0)</f>
        <v>4016</v>
      </c>
      <c r="Y157">
        <f>IF(Source!BI49=3,H157, 0)</f>
        <v>0</v>
      </c>
      <c r="Z157">
        <f>IF(Source!BI49=4,H157, 0)</f>
        <v>0</v>
      </c>
    </row>
    <row r="158" spans="1:26" ht="28.5" x14ac:dyDescent="0.2">
      <c r="A158" s="49" t="str">
        <f>Source!E50</f>
        <v>14,2</v>
      </c>
      <c r="B158" s="50" t="str">
        <f>Source!F50</f>
        <v>20.4.03.05-0002</v>
      </c>
      <c r="C158" s="50" t="str">
        <f>Source!G50</f>
        <v>Розетка открытой проводки трёхгнездная</v>
      </c>
      <c r="D158" s="36" t="str">
        <f>Source!H50</f>
        <v>100 шт.</v>
      </c>
      <c r="E158" s="37">
        <f>Source!I50</f>
        <v>2</v>
      </c>
      <c r="F158" s="38">
        <f>Source!AL50+Source!AM50+Source!AO50</f>
        <v>702</v>
      </c>
      <c r="G158" s="43" t="s">
        <v>3</v>
      </c>
      <c r="H158" s="38">
        <f>ROUND(Source!AC50*Source!I50, 2)+ROUND(Source!AD50*Source!I50, 2)+ROUND(Source!AF50*Source!I50, 2)</f>
        <v>1404</v>
      </c>
      <c r="I158" s="39"/>
      <c r="J158" s="39">
        <f>IF(Source!BC50&lt;&gt; 0, Source!BC50, 1)</f>
        <v>4.88</v>
      </c>
      <c r="K158" s="38">
        <f>Source!O50</f>
        <v>6851.52</v>
      </c>
      <c r="L158" s="44"/>
      <c r="S158">
        <f>ROUND((Source!FX50/100)*((ROUND(Source!AF50*Source!I50, 2)+ROUND(Source!AE50*Source!I50, 2))), 2)</f>
        <v>0</v>
      </c>
      <c r="T158">
        <f>Source!X50</f>
        <v>0</v>
      </c>
      <c r="U158">
        <f>ROUND((Source!FY50/100)*((ROUND(Source!AF50*Source!I50, 2)+ROUND(Source!AE50*Source!I50, 2))), 2)</f>
        <v>0</v>
      </c>
      <c r="V158">
        <f>Source!Y50</f>
        <v>0</v>
      </c>
      <c r="W158">
        <f>IF(Source!BI50&lt;=1,H158, 0)</f>
        <v>0</v>
      </c>
      <c r="X158">
        <f>IF(Source!BI50=2,H158, 0)</f>
        <v>1404</v>
      </c>
      <c r="Y158">
        <f>IF(Source!BI50=3,H158, 0)</f>
        <v>0</v>
      </c>
      <c r="Z158">
        <f>IF(Source!BI50=4,H158, 0)</f>
        <v>0</v>
      </c>
    </row>
    <row r="159" spans="1:26" ht="15" x14ac:dyDescent="0.25">
      <c r="G159" s="57">
        <f>H150+H151+H153+H154+H155+SUM(H157:H158)</f>
        <v>5460.14</v>
      </c>
      <c r="H159" s="57"/>
      <c r="J159" s="57">
        <f>K150+K151+K153+K154+K155+SUM(K157:K158)</f>
        <v>26645.47</v>
      </c>
      <c r="K159" s="57"/>
      <c r="L159" s="41">
        <f>Source!U48</f>
        <v>1.3824000000000001</v>
      </c>
      <c r="O159" s="23">
        <f>G159</f>
        <v>5460.14</v>
      </c>
      <c r="P159" s="23">
        <f>J159</f>
        <v>26645.47</v>
      </c>
      <c r="Q159" s="23">
        <f>L159</f>
        <v>1.3824000000000001</v>
      </c>
      <c r="W159">
        <f>IF(Source!BI48&lt;=1,H150+H151+H153+H154+H155, 0)</f>
        <v>0</v>
      </c>
      <c r="X159">
        <f>IF(Source!BI48=2,H150+H151+H153+H154+H155, 0)</f>
        <v>40.14</v>
      </c>
      <c r="Y159">
        <f>IF(Source!BI48=3,H150+H151+H153+H154+H155, 0)</f>
        <v>0</v>
      </c>
      <c r="Z159">
        <f>IF(Source!BI48=4,H150+H151+H153+H154+H155, 0)</f>
        <v>0</v>
      </c>
    </row>
    <row r="160" spans="1:26" ht="42.75" x14ac:dyDescent="0.2">
      <c r="A160" s="47" t="str">
        <f>Source!E51</f>
        <v>15</v>
      </c>
      <c r="B160" s="48" t="str">
        <f>Source!F51</f>
        <v>м08-03-593-02</v>
      </c>
      <c r="C160" s="48" t="str">
        <f>Source!G51</f>
        <v>Светильник с подвеской на крюк для помещений с повышенной влажностью и пыльностью</v>
      </c>
      <c r="D160" s="30" t="str">
        <f>Source!H51</f>
        <v>100 ШТ</v>
      </c>
      <c r="E160" s="10">
        <f>Source!I51</f>
        <v>0.04</v>
      </c>
      <c r="F160" s="31">
        <f>Source!AL51+Source!AM51+Source!AO51</f>
        <v>667.52</v>
      </c>
      <c r="G160" s="32"/>
      <c r="H160" s="31"/>
      <c r="I160" s="32" t="str">
        <f>Source!BO51</f>
        <v/>
      </c>
      <c r="J160" s="32"/>
      <c r="K160" s="31"/>
      <c r="L160" s="33"/>
      <c r="S160">
        <f>ROUND((Source!FX51/100)*((ROUND(Source!AF51*Source!I51, 2)+ROUND(Source!AE51*Source!I51, 2))), 2)</f>
        <v>18.93</v>
      </c>
      <c r="T160">
        <f>Source!X51</f>
        <v>92.4</v>
      </c>
      <c r="U160">
        <f>ROUND((Source!FY51/100)*((ROUND(Source!AF51*Source!I51, 2)+ROUND(Source!AE51*Source!I51, 2))), 2)</f>
        <v>12.95</v>
      </c>
      <c r="V160">
        <f>Source!Y51</f>
        <v>63.22</v>
      </c>
    </row>
    <row r="161" spans="1:26" x14ac:dyDescent="0.2">
      <c r="C161" s="25" t="str">
        <f>"Объем: "&amp;Source!I51&amp;"=4/"&amp;"100"</f>
        <v>Объем: 0,04=4/100</v>
      </c>
    </row>
    <row r="162" spans="1:26" ht="14.25" x14ac:dyDescent="0.2">
      <c r="A162" s="47"/>
      <c r="B162" s="48"/>
      <c r="C162" s="48" t="s">
        <v>657</v>
      </c>
      <c r="D162" s="30"/>
      <c r="E162" s="10"/>
      <c r="F162" s="31">
        <f>Source!AO51</f>
        <v>496.79</v>
      </c>
      <c r="G162" s="32" t="str">
        <f>Source!DG51</f>
        <v/>
      </c>
      <c r="H162" s="31">
        <f>ROUND(Source!AF51*Source!I51, 2)</f>
        <v>19.87</v>
      </c>
      <c r="I162" s="32"/>
      <c r="J162" s="32">
        <f>IF(Source!BA51&lt;&gt; 0, Source!BA51, 1)</f>
        <v>4.88</v>
      </c>
      <c r="K162" s="31">
        <f>Source!S51</f>
        <v>96.97</v>
      </c>
      <c r="L162" s="33"/>
      <c r="R162">
        <f>H162</f>
        <v>19.87</v>
      </c>
    </row>
    <row r="163" spans="1:26" ht="14.25" x14ac:dyDescent="0.2">
      <c r="A163" s="47"/>
      <c r="B163" s="48"/>
      <c r="C163" s="48" t="s">
        <v>303</v>
      </c>
      <c r="D163" s="30"/>
      <c r="E163" s="10"/>
      <c r="F163" s="31">
        <f>Source!AM51</f>
        <v>10.66</v>
      </c>
      <c r="G163" s="32" t="str">
        <f>Source!DE51</f>
        <v/>
      </c>
      <c r="H163" s="31">
        <f>ROUND(Source!AD51*Source!I51, 2)</f>
        <v>0.43</v>
      </c>
      <c r="I163" s="32"/>
      <c r="J163" s="32">
        <f>IF(Source!BB51&lt;&gt; 0, Source!BB51, 1)</f>
        <v>4.88</v>
      </c>
      <c r="K163" s="31">
        <f>Source!Q51</f>
        <v>2.08</v>
      </c>
      <c r="L163" s="33"/>
    </row>
    <row r="164" spans="1:26" ht="14.25" x14ac:dyDescent="0.2">
      <c r="A164" s="47"/>
      <c r="B164" s="48"/>
      <c r="C164" s="48" t="s">
        <v>658</v>
      </c>
      <c r="D164" s="30"/>
      <c r="E164" s="10"/>
      <c r="F164" s="31">
        <f>Source!AN51</f>
        <v>1.51</v>
      </c>
      <c r="G164" s="32" t="str">
        <f>Source!DF51</f>
        <v/>
      </c>
      <c r="H164" s="34">
        <f>ROUND(Source!AE51*Source!I51, 2)</f>
        <v>0.06</v>
      </c>
      <c r="I164" s="32"/>
      <c r="J164" s="32">
        <f>IF(Source!BS51&lt;&gt; 0, Source!BS51, 1)</f>
        <v>4.88</v>
      </c>
      <c r="K164" s="34">
        <f>Source!R51</f>
        <v>0.28999999999999998</v>
      </c>
      <c r="L164" s="33"/>
      <c r="R164">
        <f>H164</f>
        <v>0.06</v>
      </c>
    </row>
    <row r="165" spans="1:26" ht="14.25" x14ac:dyDescent="0.2">
      <c r="A165" s="47"/>
      <c r="B165" s="48"/>
      <c r="C165" s="48" t="s">
        <v>664</v>
      </c>
      <c r="D165" s="30"/>
      <c r="E165" s="10"/>
      <c r="F165" s="31">
        <f>Source!AL51</f>
        <v>160.07</v>
      </c>
      <c r="G165" s="32" t="str">
        <f>Source!DD51</f>
        <v/>
      </c>
      <c r="H165" s="31">
        <f>ROUND(Source!AC51*Source!I51, 2)</f>
        <v>6.4</v>
      </c>
      <c r="I165" s="32"/>
      <c r="J165" s="32">
        <f>IF(Source!BC51&lt;&gt; 0, Source!BC51, 1)</f>
        <v>4.88</v>
      </c>
      <c r="K165" s="31">
        <f>Source!P51</f>
        <v>31.25</v>
      </c>
      <c r="L165" s="33"/>
    </row>
    <row r="166" spans="1:26" ht="14.25" x14ac:dyDescent="0.2">
      <c r="A166" s="47"/>
      <c r="B166" s="48"/>
      <c r="C166" s="48" t="s">
        <v>659</v>
      </c>
      <c r="D166" s="30" t="s">
        <v>660</v>
      </c>
      <c r="E166" s="10">
        <f>Source!BZ51</f>
        <v>95</v>
      </c>
      <c r="F166" s="51"/>
      <c r="G166" s="32"/>
      <c r="H166" s="31">
        <f>SUM(S160:S169)</f>
        <v>18.93</v>
      </c>
      <c r="I166" s="35"/>
      <c r="J166" s="28">
        <f>Source!AT51</f>
        <v>95</v>
      </c>
      <c r="K166" s="31">
        <f>SUM(T160:T169)</f>
        <v>92.4</v>
      </c>
      <c r="L166" s="33"/>
    </row>
    <row r="167" spans="1:26" ht="14.25" x14ac:dyDescent="0.2">
      <c r="A167" s="47"/>
      <c r="B167" s="48"/>
      <c r="C167" s="48" t="s">
        <v>661</v>
      </c>
      <c r="D167" s="30" t="s">
        <v>660</v>
      </c>
      <c r="E167" s="10">
        <f>Source!CA51</f>
        <v>65</v>
      </c>
      <c r="F167" s="51"/>
      <c r="G167" s="32"/>
      <c r="H167" s="31">
        <f>SUM(U160:U169)</f>
        <v>12.95</v>
      </c>
      <c r="I167" s="35"/>
      <c r="J167" s="28">
        <f>Source!AU51</f>
        <v>65</v>
      </c>
      <c r="K167" s="31">
        <f>SUM(V160:V169)</f>
        <v>63.22</v>
      </c>
      <c r="L167" s="33"/>
    </row>
    <row r="168" spans="1:26" ht="14.25" x14ac:dyDescent="0.2">
      <c r="A168" s="47"/>
      <c r="B168" s="48"/>
      <c r="C168" s="48" t="s">
        <v>662</v>
      </c>
      <c r="D168" s="30" t="s">
        <v>663</v>
      </c>
      <c r="E168" s="10">
        <f>Source!AQ51</f>
        <v>50.08</v>
      </c>
      <c r="F168" s="31"/>
      <c r="G168" s="32" t="str">
        <f>Source!DI51</f>
        <v/>
      </c>
      <c r="H168" s="31"/>
      <c r="I168" s="32"/>
      <c r="J168" s="32"/>
      <c r="K168" s="31"/>
      <c r="L168" s="42">
        <f>Source!U51</f>
        <v>2.0032000000000001</v>
      </c>
    </row>
    <row r="169" spans="1:26" ht="71.25" x14ac:dyDescent="0.2">
      <c r="A169" s="49" t="str">
        <f>Source!E52</f>
        <v>15,1</v>
      </c>
      <c r="B169" s="50" t="str">
        <f>Source!F52</f>
        <v>20.3.03.04-0097</v>
      </c>
      <c r="C169" s="50" t="str">
        <f>Source!G52</f>
        <v>Светильник подвесной пылевлагозащищенный с диффузным отражателем с отверстиями, без экранирующей решетки ПВЛМ- ДО 2х40-21</v>
      </c>
      <c r="D169" s="36" t="str">
        <f>Source!H52</f>
        <v>шт.</v>
      </c>
      <c r="E169" s="37">
        <f>Source!I52</f>
        <v>4</v>
      </c>
      <c r="F169" s="38">
        <f>Source!AL52+Source!AM52+Source!AO52</f>
        <v>401.18</v>
      </c>
      <c r="G169" s="43" t="s">
        <v>3</v>
      </c>
      <c r="H169" s="38">
        <f>ROUND(Source!AC52*Source!I52, 2)+ROUND(Source!AD52*Source!I52, 2)+ROUND(Source!AF52*Source!I52, 2)</f>
        <v>1604.72</v>
      </c>
      <c r="I169" s="39"/>
      <c r="J169" s="39">
        <f>IF(Source!BC52&lt;&gt; 0, Source!BC52, 1)</f>
        <v>4.88</v>
      </c>
      <c r="K169" s="38">
        <f>Source!O52</f>
        <v>7831.03</v>
      </c>
      <c r="L169" s="44"/>
      <c r="S169">
        <f>ROUND((Source!FX52/100)*((ROUND(Source!AF52*Source!I52, 2)+ROUND(Source!AE52*Source!I52, 2))), 2)</f>
        <v>0</v>
      </c>
      <c r="T169">
        <f>Source!X52</f>
        <v>0</v>
      </c>
      <c r="U169">
        <f>ROUND((Source!FY52/100)*((ROUND(Source!AF52*Source!I52, 2)+ROUND(Source!AE52*Source!I52, 2))), 2)</f>
        <v>0</v>
      </c>
      <c r="V169">
        <f>Source!Y52</f>
        <v>0</v>
      </c>
      <c r="W169">
        <f>IF(Source!BI52&lt;=1,H169, 0)</f>
        <v>0</v>
      </c>
      <c r="X169">
        <f>IF(Source!BI52=2,H169, 0)</f>
        <v>1604.72</v>
      </c>
      <c r="Y169">
        <f>IF(Source!BI52=3,H169, 0)</f>
        <v>0</v>
      </c>
      <c r="Z169">
        <f>IF(Source!BI52=4,H169, 0)</f>
        <v>0</v>
      </c>
    </row>
    <row r="170" spans="1:26" ht="15" x14ac:dyDescent="0.25">
      <c r="G170" s="57">
        <f>H162+H163+H165+H166+H167+SUM(H169:H169)</f>
        <v>1663.3</v>
      </c>
      <c r="H170" s="57"/>
      <c r="J170" s="57">
        <f>K162+K163+K165+K166+K167+SUM(K169:K169)</f>
        <v>8116.95</v>
      </c>
      <c r="K170" s="57"/>
      <c r="L170" s="41">
        <f>Source!U51</f>
        <v>2.0032000000000001</v>
      </c>
      <c r="O170" s="23">
        <f>G170</f>
        <v>1663.3</v>
      </c>
      <c r="P170" s="23">
        <f>J170</f>
        <v>8116.95</v>
      </c>
      <c r="Q170" s="23">
        <f>L170</f>
        <v>2.0032000000000001</v>
      </c>
      <c r="W170">
        <f>IF(Source!BI51&lt;=1,H162+H163+H165+H166+H167, 0)</f>
        <v>0</v>
      </c>
      <c r="X170">
        <f>IF(Source!BI51=2,H162+H163+H165+H166+H167, 0)</f>
        <v>58.58</v>
      </c>
      <c r="Y170">
        <f>IF(Source!BI51=3,H162+H163+H165+H166+H167, 0)</f>
        <v>0</v>
      </c>
      <c r="Z170">
        <f>IF(Source!BI51=4,H162+H163+H165+H166+H167, 0)</f>
        <v>0</v>
      </c>
    </row>
    <row r="171" spans="1:26" ht="57" x14ac:dyDescent="0.2">
      <c r="A171" s="47" t="str">
        <f>Source!E53</f>
        <v>16</v>
      </c>
      <c r="B171" s="48" t="str">
        <f>Source!F53</f>
        <v>м08-03-530-05</v>
      </c>
      <c r="C171" s="48" t="str">
        <f>Source!G53</f>
        <v>Пускатель магнитный общего назначения отдельно стоящий, устанавливаемый на конструкции на стене или колонне, на ток до 100 А</v>
      </c>
      <c r="D171" s="30" t="str">
        <f>Source!H53</f>
        <v>ШТ</v>
      </c>
      <c r="E171" s="10">
        <f>Source!I53</f>
        <v>1</v>
      </c>
      <c r="F171" s="31">
        <f>Source!AL53+Source!AM53+Source!AO53</f>
        <v>104.50999999999999</v>
      </c>
      <c r="G171" s="32"/>
      <c r="H171" s="31"/>
      <c r="I171" s="32" t="str">
        <f>Source!BO53</f>
        <v/>
      </c>
      <c r="J171" s="32"/>
      <c r="K171" s="31"/>
      <c r="L171" s="33"/>
      <c r="S171">
        <f>ROUND((Source!FX53/100)*((ROUND(Source!AF53*Source!I53, 2)+ROUND(Source!AE53*Source!I53, 2))), 2)</f>
        <v>34.31</v>
      </c>
      <c r="T171">
        <f>Source!X53</f>
        <v>167.46</v>
      </c>
      <c r="U171">
        <f>ROUND((Source!FY53/100)*((ROUND(Source!AF53*Source!I53, 2)+ROUND(Source!AE53*Source!I53, 2))), 2)</f>
        <v>23.48</v>
      </c>
      <c r="V171">
        <f>Source!Y53</f>
        <v>114.58</v>
      </c>
    </row>
    <row r="172" spans="1:26" ht="14.25" x14ac:dyDescent="0.2">
      <c r="A172" s="47"/>
      <c r="B172" s="48"/>
      <c r="C172" s="48" t="s">
        <v>657</v>
      </c>
      <c r="D172" s="30"/>
      <c r="E172" s="10"/>
      <c r="F172" s="31">
        <f>Source!AO53</f>
        <v>35.86</v>
      </c>
      <c r="G172" s="32" t="str">
        <f>Source!DG53</f>
        <v/>
      </c>
      <c r="H172" s="31">
        <f>ROUND(Source!AF53*Source!I53, 2)</f>
        <v>35.86</v>
      </c>
      <c r="I172" s="32"/>
      <c r="J172" s="32">
        <f>IF(Source!BA53&lt;&gt; 0, Source!BA53, 1)</f>
        <v>4.88</v>
      </c>
      <c r="K172" s="31">
        <f>Source!S53</f>
        <v>175</v>
      </c>
      <c r="L172" s="33"/>
      <c r="R172">
        <f>H172</f>
        <v>35.86</v>
      </c>
    </row>
    <row r="173" spans="1:26" ht="14.25" x14ac:dyDescent="0.2">
      <c r="A173" s="47"/>
      <c r="B173" s="48"/>
      <c r="C173" s="48" t="s">
        <v>303</v>
      </c>
      <c r="D173" s="30"/>
      <c r="E173" s="10"/>
      <c r="F173" s="31">
        <f>Source!AM53</f>
        <v>3.05</v>
      </c>
      <c r="G173" s="32" t="str">
        <f>Source!DE53</f>
        <v/>
      </c>
      <c r="H173" s="31">
        <f>ROUND(Source!AD53*Source!I53, 2)</f>
        <v>3.05</v>
      </c>
      <c r="I173" s="32"/>
      <c r="J173" s="32">
        <f>IF(Source!BB53&lt;&gt; 0, Source!BB53, 1)</f>
        <v>4.88</v>
      </c>
      <c r="K173" s="31">
        <f>Source!Q53</f>
        <v>14.88</v>
      </c>
      <c r="L173" s="33"/>
    </row>
    <row r="174" spans="1:26" ht="14.25" x14ac:dyDescent="0.2">
      <c r="A174" s="47"/>
      <c r="B174" s="48"/>
      <c r="C174" s="48" t="s">
        <v>658</v>
      </c>
      <c r="D174" s="30"/>
      <c r="E174" s="10"/>
      <c r="F174" s="31">
        <f>Source!AN53</f>
        <v>0.26</v>
      </c>
      <c r="G174" s="32" t="str">
        <f>Source!DF53</f>
        <v/>
      </c>
      <c r="H174" s="34">
        <f>ROUND(Source!AE53*Source!I53, 2)</f>
        <v>0.26</v>
      </c>
      <c r="I174" s="32"/>
      <c r="J174" s="32">
        <f>IF(Source!BS53&lt;&gt; 0, Source!BS53, 1)</f>
        <v>4.88</v>
      </c>
      <c r="K174" s="34">
        <f>Source!R53</f>
        <v>1.27</v>
      </c>
      <c r="L174" s="33"/>
      <c r="R174">
        <f>H174</f>
        <v>0.26</v>
      </c>
    </row>
    <row r="175" spans="1:26" ht="14.25" x14ac:dyDescent="0.2">
      <c r="A175" s="47"/>
      <c r="B175" s="48"/>
      <c r="C175" s="48" t="s">
        <v>664</v>
      </c>
      <c r="D175" s="30"/>
      <c r="E175" s="10"/>
      <c r="F175" s="31">
        <f>Source!AL53</f>
        <v>65.599999999999994</v>
      </c>
      <c r="G175" s="32" t="str">
        <f>Source!DD53</f>
        <v/>
      </c>
      <c r="H175" s="31">
        <f>ROUND(Source!AC53*Source!I53, 2)</f>
        <v>65.599999999999994</v>
      </c>
      <c r="I175" s="32"/>
      <c r="J175" s="32">
        <f>IF(Source!BC53&lt;&gt; 0, Source!BC53, 1)</f>
        <v>4.88</v>
      </c>
      <c r="K175" s="31">
        <f>Source!P53</f>
        <v>320.13</v>
      </c>
      <c r="L175" s="33"/>
    </row>
    <row r="176" spans="1:26" ht="14.25" x14ac:dyDescent="0.2">
      <c r="A176" s="47"/>
      <c r="B176" s="48"/>
      <c r="C176" s="48" t="s">
        <v>659</v>
      </c>
      <c r="D176" s="30" t="s">
        <v>660</v>
      </c>
      <c r="E176" s="10">
        <f>Source!BZ53</f>
        <v>95</v>
      </c>
      <c r="F176" s="51"/>
      <c r="G176" s="32"/>
      <c r="H176" s="31">
        <f>SUM(S171:S179)</f>
        <v>34.31</v>
      </c>
      <c r="I176" s="35"/>
      <c r="J176" s="28">
        <f>Source!AT53</f>
        <v>95</v>
      </c>
      <c r="K176" s="31">
        <f>SUM(T171:T179)</f>
        <v>167.46</v>
      </c>
      <c r="L176" s="33"/>
    </row>
    <row r="177" spans="1:26" ht="14.25" x14ac:dyDescent="0.2">
      <c r="A177" s="47"/>
      <c r="B177" s="48"/>
      <c r="C177" s="48" t="s">
        <v>661</v>
      </c>
      <c r="D177" s="30" t="s">
        <v>660</v>
      </c>
      <c r="E177" s="10">
        <f>Source!CA53</f>
        <v>65</v>
      </c>
      <c r="F177" s="51"/>
      <c r="G177" s="32"/>
      <c r="H177" s="31">
        <f>SUM(U171:U179)</f>
        <v>23.48</v>
      </c>
      <c r="I177" s="35"/>
      <c r="J177" s="28">
        <f>Source!AU53</f>
        <v>65</v>
      </c>
      <c r="K177" s="31">
        <f>SUM(V171:V179)</f>
        <v>114.58</v>
      </c>
      <c r="L177" s="33"/>
    </row>
    <row r="178" spans="1:26" ht="14.25" x14ac:dyDescent="0.2">
      <c r="A178" s="47"/>
      <c r="B178" s="48"/>
      <c r="C178" s="48" t="s">
        <v>662</v>
      </c>
      <c r="D178" s="30" t="s">
        <v>663</v>
      </c>
      <c r="E178" s="10">
        <f>Source!AQ53</f>
        <v>3.86</v>
      </c>
      <c r="F178" s="31"/>
      <c r="G178" s="32" t="str">
        <f>Source!DI53</f>
        <v/>
      </c>
      <c r="H178" s="31"/>
      <c r="I178" s="32"/>
      <c r="J178" s="32"/>
      <c r="K178" s="31"/>
      <c r="L178" s="42">
        <f>Source!U53</f>
        <v>3.86</v>
      </c>
    </row>
    <row r="179" spans="1:26" ht="57" x14ac:dyDescent="0.2">
      <c r="A179" s="49" t="str">
        <f>Source!E54</f>
        <v>16,1</v>
      </c>
      <c r="B179" s="50" t="str">
        <f>Source!F54</f>
        <v>62.6.02.01-0123</v>
      </c>
      <c r="C179" s="50" t="str">
        <f>Source!G54</f>
        <v>Пускатели электромагнитные нереверсивные без теплового реле, с кнопками управления ПМ12-100120 100А</v>
      </c>
      <c r="D179" s="36" t="str">
        <f>Source!H54</f>
        <v>шт.</v>
      </c>
      <c r="E179" s="37">
        <f>Source!I54</f>
        <v>1</v>
      </c>
      <c r="F179" s="38">
        <f>Source!AL54+Source!AM54+Source!AO54</f>
        <v>1330.6</v>
      </c>
      <c r="G179" s="43" t="s">
        <v>3</v>
      </c>
      <c r="H179" s="38">
        <f>ROUND(Source!AC54*Source!I54, 2)+ROUND(Source!AD54*Source!I54, 2)+ROUND(Source!AF54*Source!I54, 2)</f>
        <v>1330.6</v>
      </c>
      <c r="I179" s="39"/>
      <c r="J179" s="39">
        <f>IF(Source!BC54&lt;&gt; 0, Source!BC54, 1)</f>
        <v>4.88</v>
      </c>
      <c r="K179" s="38">
        <f>Source!O54</f>
        <v>6493.33</v>
      </c>
      <c r="L179" s="44"/>
      <c r="S179">
        <f>ROUND((Source!FX54/100)*((ROUND(Source!AF54*Source!I54, 2)+ROUND(Source!AE54*Source!I54, 2))), 2)</f>
        <v>0</v>
      </c>
      <c r="T179">
        <f>Source!X54</f>
        <v>0</v>
      </c>
      <c r="U179">
        <f>ROUND((Source!FY54/100)*((ROUND(Source!AF54*Source!I54, 2)+ROUND(Source!AE54*Source!I54, 2))), 2)</f>
        <v>0</v>
      </c>
      <c r="V179">
        <f>Source!Y54</f>
        <v>0</v>
      </c>
      <c r="W179">
        <f>IF(Source!BI54&lt;=1,H179, 0)</f>
        <v>0</v>
      </c>
      <c r="X179">
        <f>IF(Source!BI54=2,H179, 0)</f>
        <v>1330.6</v>
      </c>
      <c r="Y179">
        <f>IF(Source!BI54=3,H179, 0)</f>
        <v>0</v>
      </c>
      <c r="Z179">
        <f>IF(Source!BI54=4,H179, 0)</f>
        <v>0</v>
      </c>
    </row>
    <row r="180" spans="1:26" ht="15" x14ac:dyDescent="0.25">
      <c r="G180" s="57">
        <f>H172+H173+H175+H176+H177+SUM(H179:H179)</f>
        <v>1492.8999999999999</v>
      </c>
      <c r="H180" s="57"/>
      <c r="J180" s="57">
        <f>K172+K173+K175+K176+K177+SUM(K179:K179)</f>
        <v>7285.38</v>
      </c>
      <c r="K180" s="57"/>
      <c r="L180" s="41">
        <f>Source!U53</f>
        <v>3.86</v>
      </c>
      <c r="O180" s="23">
        <f>G180</f>
        <v>1492.8999999999999</v>
      </c>
      <c r="P180" s="23">
        <f>J180</f>
        <v>7285.38</v>
      </c>
      <c r="Q180" s="23">
        <f>L180</f>
        <v>3.86</v>
      </c>
      <c r="W180">
        <f>IF(Source!BI53&lt;=1,H172+H173+H175+H176+H177, 0)</f>
        <v>0</v>
      </c>
      <c r="X180">
        <f>IF(Source!BI53=2,H172+H173+H175+H176+H177, 0)</f>
        <v>162.29999999999998</v>
      </c>
      <c r="Y180">
        <f>IF(Source!BI53=3,H172+H173+H175+H176+H177, 0)</f>
        <v>0</v>
      </c>
      <c r="Z180">
        <f>IF(Source!BI53=4,H172+H173+H175+H176+H177, 0)</f>
        <v>0</v>
      </c>
    </row>
    <row r="181" spans="1:26" ht="42.75" x14ac:dyDescent="0.2">
      <c r="A181" s="47" t="str">
        <f>Source!E55</f>
        <v>17</v>
      </c>
      <c r="B181" s="48" t="str">
        <f>Source!F55</f>
        <v>м08-02-369-01</v>
      </c>
      <c r="C181" s="48" t="str">
        <f>Source!G55</f>
        <v>Демонтаж: Светильник, устанавливаемый вне зданий с лампами накаливания</v>
      </c>
      <c r="D181" s="30" t="str">
        <f>Source!H55</f>
        <v>ШТ</v>
      </c>
      <c r="E181" s="10">
        <f>Source!I55</f>
        <v>40</v>
      </c>
      <c r="F181" s="31">
        <f>Source!AL55+Source!AM55+Source!AO55</f>
        <v>99.669999999999987</v>
      </c>
      <c r="G181" s="32"/>
      <c r="H181" s="31"/>
      <c r="I181" s="32" t="str">
        <f>Source!BO55</f>
        <v/>
      </c>
      <c r="J181" s="32"/>
      <c r="K181" s="31"/>
      <c r="L181" s="33"/>
      <c r="S181">
        <f>ROUND((Source!FX55/100)*((ROUND(Source!AF55*Source!I55, 2)+ROUND(Source!AE55*Source!I55, 2))), 2)</f>
        <v>155.80000000000001</v>
      </c>
      <c r="T181">
        <f>Source!X55</f>
        <v>760.3</v>
      </c>
      <c r="U181">
        <f>ROUND((Source!FY55/100)*((ROUND(Source!AF55*Source!I55, 2)+ROUND(Source!AE55*Source!I55, 2))), 2)</f>
        <v>106.6</v>
      </c>
      <c r="V181">
        <f>Source!Y55</f>
        <v>520.21</v>
      </c>
    </row>
    <row r="182" spans="1:26" ht="14.25" x14ac:dyDescent="0.2">
      <c r="A182" s="47"/>
      <c r="B182" s="48"/>
      <c r="C182" s="48" t="s">
        <v>657</v>
      </c>
      <c r="D182" s="30"/>
      <c r="E182" s="10"/>
      <c r="F182" s="31">
        <f>Source!AO55</f>
        <v>9.66</v>
      </c>
      <c r="G182" s="32" t="str">
        <f>Source!DG55</f>
        <v>)*0,3</v>
      </c>
      <c r="H182" s="31">
        <f>ROUND(Source!AF55*Source!I55, 2)</f>
        <v>116</v>
      </c>
      <c r="I182" s="32"/>
      <c r="J182" s="32">
        <f>IF(Source!BA55&lt;&gt; 0, Source!BA55, 1)</f>
        <v>4.88</v>
      </c>
      <c r="K182" s="31">
        <f>Source!S55</f>
        <v>566.08000000000004</v>
      </c>
      <c r="L182" s="33"/>
      <c r="R182">
        <f>H182</f>
        <v>116</v>
      </c>
    </row>
    <row r="183" spans="1:26" ht="14.25" x14ac:dyDescent="0.2">
      <c r="A183" s="47"/>
      <c r="B183" s="48"/>
      <c r="C183" s="48" t="s">
        <v>303</v>
      </c>
      <c r="D183" s="30"/>
      <c r="E183" s="10"/>
      <c r="F183" s="31">
        <f>Source!AM55</f>
        <v>40.65</v>
      </c>
      <c r="G183" s="32" t="str">
        <f>Source!DE55</f>
        <v>)*0,3</v>
      </c>
      <c r="H183" s="31">
        <f>ROUND(Source!AD55*Source!I55, 2)</f>
        <v>487.6</v>
      </c>
      <c r="I183" s="32"/>
      <c r="J183" s="32">
        <f>IF(Source!BB55&lt;&gt; 0, Source!BB55, 1)</f>
        <v>4.88</v>
      </c>
      <c r="K183" s="31">
        <f>Source!Q55</f>
        <v>2379.4899999999998</v>
      </c>
      <c r="L183" s="33"/>
    </row>
    <row r="184" spans="1:26" ht="14.25" x14ac:dyDescent="0.2">
      <c r="A184" s="47"/>
      <c r="B184" s="48"/>
      <c r="C184" s="48" t="s">
        <v>658</v>
      </c>
      <c r="D184" s="30"/>
      <c r="E184" s="10"/>
      <c r="F184" s="31">
        <f>Source!AN55</f>
        <v>4.01</v>
      </c>
      <c r="G184" s="32" t="str">
        <f>Source!DF55</f>
        <v>)*0,3</v>
      </c>
      <c r="H184" s="34">
        <f>ROUND(Source!AE55*Source!I55, 2)</f>
        <v>48</v>
      </c>
      <c r="I184" s="32"/>
      <c r="J184" s="32">
        <f>IF(Source!BS55&lt;&gt; 0, Source!BS55, 1)</f>
        <v>4.88</v>
      </c>
      <c r="K184" s="34">
        <f>Source!R55</f>
        <v>234.24</v>
      </c>
      <c r="L184" s="33"/>
      <c r="R184">
        <f>H184</f>
        <v>48</v>
      </c>
    </row>
    <row r="185" spans="1:26" ht="14.25" x14ac:dyDescent="0.2">
      <c r="A185" s="47"/>
      <c r="B185" s="48"/>
      <c r="C185" s="48" t="s">
        <v>659</v>
      </c>
      <c r="D185" s="30" t="s">
        <v>660</v>
      </c>
      <c r="E185" s="10">
        <f>Source!BZ55</f>
        <v>95</v>
      </c>
      <c r="F185" s="51"/>
      <c r="G185" s="32"/>
      <c r="H185" s="31">
        <f>SUM(S181:S187)</f>
        <v>155.80000000000001</v>
      </c>
      <c r="I185" s="35"/>
      <c r="J185" s="28">
        <f>Source!AT55</f>
        <v>95</v>
      </c>
      <c r="K185" s="31">
        <f>SUM(T181:T187)</f>
        <v>760.3</v>
      </c>
      <c r="L185" s="33"/>
    </row>
    <row r="186" spans="1:26" ht="14.25" x14ac:dyDescent="0.2">
      <c r="A186" s="47"/>
      <c r="B186" s="48"/>
      <c r="C186" s="48" t="s">
        <v>661</v>
      </c>
      <c r="D186" s="30" t="s">
        <v>660</v>
      </c>
      <c r="E186" s="10">
        <f>Source!CA55</f>
        <v>65</v>
      </c>
      <c r="F186" s="51"/>
      <c r="G186" s="32"/>
      <c r="H186" s="31">
        <f>SUM(U181:U187)</f>
        <v>106.6</v>
      </c>
      <c r="I186" s="35"/>
      <c r="J186" s="28">
        <f>Source!AU55</f>
        <v>65</v>
      </c>
      <c r="K186" s="31">
        <f>SUM(V181:V187)</f>
        <v>520.21</v>
      </c>
      <c r="L186" s="33"/>
    </row>
    <row r="187" spans="1:26" ht="14.25" x14ac:dyDescent="0.2">
      <c r="A187" s="49"/>
      <c r="B187" s="50"/>
      <c r="C187" s="50" t="s">
        <v>662</v>
      </c>
      <c r="D187" s="36" t="s">
        <v>663</v>
      </c>
      <c r="E187" s="37">
        <f>Source!AQ55</f>
        <v>0.92</v>
      </c>
      <c r="F187" s="38"/>
      <c r="G187" s="39" t="str">
        <f>Source!DI55</f>
        <v>)*0,3</v>
      </c>
      <c r="H187" s="38"/>
      <c r="I187" s="39"/>
      <c r="J187" s="39"/>
      <c r="K187" s="38"/>
      <c r="L187" s="40">
        <f>Source!U55</f>
        <v>11.040000000000001</v>
      </c>
    </row>
    <row r="188" spans="1:26" ht="15" x14ac:dyDescent="0.25">
      <c r="G188" s="57">
        <f>H182+H183+H185+H186</f>
        <v>866.00000000000011</v>
      </c>
      <c r="H188" s="57"/>
      <c r="J188" s="57">
        <f>K182+K183+K185+K186</f>
        <v>4226.08</v>
      </c>
      <c r="K188" s="57"/>
      <c r="L188" s="41">
        <f>Source!U55</f>
        <v>11.040000000000001</v>
      </c>
      <c r="O188" s="23">
        <f>G188</f>
        <v>866.00000000000011</v>
      </c>
      <c r="P188" s="23">
        <f>J188</f>
        <v>4226.08</v>
      </c>
      <c r="Q188" s="23">
        <f>L188</f>
        <v>11.040000000000001</v>
      </c>
      <c r="W188">
        <f>IF(Source!BI55&lt;=1,H182+H183+H185+H186, 0)</f>
        <v>0</v>
      </c>
      <c r="X188">
        <f>IF(Source!BI55=2,H182+H183+H185+H186, 0)</f>
        <v>866.00000000000011</v>
      </c>
      <c r="Y188">
        <f>IF(Source!BI55=3,H182+H183+H185+H186, 0)</f>
        <v>0</v>
      </c>
      <c r="Z188">
        <f>IF(Source!BI55=4,H182+H183+H185+H186, 0)</f>
        <v>0</v>
      </c>
    </row>
    <row r="189" spans="1:26" ht="57" x14ac:dyDescent="0.2">
      <c r="A189" s="47" t="str">
        <f>Source!E56</f>
        <v>18</v>
      </c>
      <c r="B189" s="48" t="str">
        <f>Source!F56</f>
        <v>м08-03-596-06</v>
      </c>
      <c r="C189" s="48" t="str">
        <f>Source!G56</f>
        <v>Прожектор, отдельно устанавливаемый на кронштейне, установленном на опоре, с лампой мощностью 1000 Вт</v>
      </c>
      <c r="D189" s="30" t="str">
        <f>Source!H56</f>
        <v>100 ШТ</v>
      </c>
      <c r="E189" s="10">
        <f>Source!I56</f>
        <v>0.4</v>
      </c>
      <c r="F189" s="31">
        <f>Source!AL56+Source!AM56+Source!AO56</f>
        <v>20261.260000000002</v>
      </c>
      <c r="G189" s="32"/>
      <c r="H189" s="31"/>
      <c r="I189" s="32" t="str">
        <f>Source!BO56</f>
        <v/>
      </c>
      <c r="J189" s="32"/>
      <c r="K189" s="31"/>
      <c r="L189" s="33"/>
      <c r="S189">
        <f>ROUND((Source!FX56/100)*((ROUND(Source!AF56*Source!I56, 2)+ROUND(Source!AE56*Source!I56, 2))), 2)</f>
        <v>1796.22</v>
      </c>
      <c r="T189">
        <f>Source!X56</f>
        <v>8765.58</v>
      </c>
      <c r="U189">
        <f>ROUND((Source!FY56/100)*((ROUND(Source!AF56*Source!I56, 2)+ROUND(Source!AE56*Source!I56, 2))), 2)</f>
        <v>1228.99</v>
      </c>
      <c r="V189">
        <f>Source!Y56</f>
        <v>5997.5</v>
      </c>
    </row>
    <row r="190" spans="1:26" x14ac:dyDescent="0.2">
      <c r="C190" s="25" t="str">
        <f>"Объем: "&amp;Source!I56&amp;"=40/"&amp;"100"</f>
        <v>Объем: 0,4=40/100</v>
      </c>
    </row>
    <row r="191" spans="1:26" ht="14.25" x14ac:dyDescent="0.2">
      <c r="A191" s="47"/>
      <c r="B191" s="48"/>
      <c r="C191" s="48" t="s">
        <v>657</v>
      </c>
      <c r="D191" s="30"/>
      <c r="E191" s="10"/>
      <c r="F191" s="31">
        <f>Source!AO56</f>
        <v>3229.95</v>
      </c>
      <c r="G191" s="32" t="str">
        <f>Source!DG56</f>
        <v/>
      </c>
      <c r="H191" s="31">
        <f>ROUND(Source!AF56*Source!I56, 2)</f>
        <v>1291.98</v>
      </c>
      <c r="I191" s="32"/>
      <c r="J191" s="32">
        <f>IF(Source!BA56&lt;&gt; 0, Source!BA56, 1)</f>
        <v>4.88</v>
      </c>
      <c r="K191" s="31">
        <f>Source!S56</f>
        <v>6304.86</v>
      </c>
      <c r="L191" s="33"/>
      <c r="R191">
        <f>H191</f>
        <v>1291.98</v>
      </c>
    </row>
    <row r="192" spans="1:26" ht="14.25" x14ac:dyDescent="0.2">
      <c r="A192" s="47"/>
      <c r="B192" s="48"/>
      <c r="C192" s="48" t="s">
        <v>303</v>
      </c>
      <c r="D192" s="30"/>
      <c r="E192" s="10"/>
      <c r="F192" s="31">
        <f>Source!AM56</f>
        <v>15733.67</v>
      </c>
      <c r="G192" s="32" t="str">
        <f>Source!DE56</f>
        <v/>
      </c>
      <c r="H192" s="31">
        <f>ROUND(Source!AD56*Source!I56, 2)</f>
        <v>6293.47</v>
      </c>
      <c r="I192" s="32"/>
      <c r="J192" s="32">
        <f>IF(Source!BB56&lt;&gt; 0, Source!BB56, 1)</f>
        <v>4.88</v>
      </c>
      <c r="K192" s="31">
        <f>Source!Q56</f>
        <v>30712.12</v>
      </c>
      <c r="L192" s="33"/>
    </row>
    <row r="193" spans="1:26" ht="14.25" x14ac:dyDescent="0.2">
      <c r="A193" s="47"/>
      <c r="B193" s="48"/>
      <c r="C193" s="48" t="s">
        <v>658</v>
      </c>
      <c r="D193" s="30"/>
      <c r="E193" s="10"/>
      <c r="F193" s="31">
        <f>Source!AN56</f>
        <v>1496.96</v>
      </c>
      <c r="G193" s="32" t="str">
        <f>Source!DF56</f>
        <v/>
      </c>
      <c r="H193" s="34">
        <f>ROUND(Source!AE56*Source!I56, 2)</f>
        <v>598.78</v>
      </c>
      <c r="I193" s="32"/>
      <c r="J193" s="32">
        <f>IF(Source!BS56&lt;&gt; 0, Source!BS56, 1)</f>
        <v>4.88</v>
      </c>
      <c r="K193" s="34">
        <f>Source!R56</f>
        <v>2922.07</v>
      </c>
      <c r="L193" s="33"/>
      <c r="R193">
        <f>H193</f>
        <v>598.78</v>
      </c>
    </row>
    <row r="194" spans="1:26" ht="14.25" x14ac:dyDescent="0.2">
      <c r="A194" s="47"/>
      <c r="B194" s="48"/>
      <c r="C194" s="48" t="s">
        <v>664</v>
      </c>
      <c r="D194" s="30"/>
      <c r="E194" s="10"/>
      <c r="F194" s="31">
        <f>Source!AL56</f>
        <v>1297.6400000000001</v>
      </c>
      <c r="G194" s="32" t="str">
        <f>Source!DD56</f>
        <v/>
      </c>
      <c r="H194" s="31">
        <f>ROUND(Source!AC56*Source!I56, 2)</f>
        <v>519.05999999999995</v>
      </c>
      <c r="I194" s="32"/>
      <c r="J194" s="32">
        <f>IF(Source!BC56&lt;&gt; 0, Source!BC56, 1)</f>
        <v>4.88</v>
      </c>
      <c r="K194" s="31">
        <f>Source!P56</f>
        <v>2532.9899999999998</v>
      </c>
      <c r="L194" s="33"/>
    </row>
    <row r="195" spans="1:26" ht="14.25" x14ac:dyDescent="0.2">
      <c r="A195" s="47"/>
      <c r="B195" s="48"/>
      <c r="C195" s="48" t="s">
        <v>659</v>
      </c>
      <c r="D195" s="30" t="s">
        <v>660</v>
      </c>
      <c r="E195" s="10">
        <f>Source!BZ56</f>
        <v>95</v>
      </c>
      <c r="F195" s="51"/>
      <c r="G195" s="32"/>
      <c r="H195" s="31">
        <f>SUM(S189:S198)</f>
        <v>1796.22</v>
      </c>
      <c r="I195" s="35"/>
      <c r="J195" s="28">
        <f>Source!AT56</f>
        <v>95</v>
      </c>
      <c r="K195" s="31">
        <f>SUM(T189:T198)</f>
        <v>8765.58</v>
      </c>
      <c r="L195" s="33"/>
    </row>
    <row r="196" spans="1:26" ht="14.25" x14ac:dyDescent="0.2">
      <c r="A196" s="47"/>
      <c r="B196" s="48"/>
      <c r="C196" s="48" t="s">
        <v>661</v>
      </c>
      <c r="D196" s="30" t="s">
        <v>660</v>
      </c>
      <c r="E196" s="10">
        <f>Source!CA56</f>
        <v>65</v>
      </c>
      <c r="F196" s="51"/>
      <c r="G196" s="32"/>
      <c r="H196" s="31">
        <f>SUM(U189:U198)</f>
        <v>1228.99</v>
      </c>
      <c r="I196" s="35"/>
      <c r="J196" s="28">
        <f>Source!AU56</f>
        <v>65</v>
      </c>
      <c r="K196" s="31">
        <f>SUM(V189:V198)</f>
        <v>5997.5</v>
      </c>
      <c r="L196" s="33"/>
    </row>
    <row r="197" spans="1:26" ht="14.25" x14ac:dyDescent="0.2">
      <c r="A197" s="47"/>
      <c r="B197" s="48"/>
      <c r="C197" s="48" t="s">
        <v>662</v>
      </c>
      <c r="D197" s="30" t="s">
        <v>663</v>
      </c>
      <c r="E197" s="10">
        <f>Source!AQ56</f>
        <v>325.60000000000002</v>
      </c>
      <c r="F197" s="31"/>
      <c r="G197" s="32" t="str">
        <f>Source!DI56</f>
        <v/>
      </c>
      <c r="H197" s="31"/>
      <c r="I197" s="32"/>
      <c r="J197" s="32"/>
      <c r="K197" s="31"/>
      <c r="L197" s="42">
        <f>Source!U56</f>
        <v>130.24</v>
      </c>
    </row>
    <row r="198" spans="1:26" ht="57" x14ac:dyDescent="0.2">
      <c r="A198" s="49" t="str">
        <f>Source!E57</f>
        <v>18,1</v>
      </c>
      <c r="B198" s="50" t="str">
        <f>Source!F57</f>
        <v>20.3.04.04-0012</v>
      </c>
      <c r="C198" s="50" t="str">
        <f>Source!G57</f>
        <v>Прожектор с отражателем алюминиевым альзакированным и защитным силикатным стеклом, тип ГО 07-250-001</v>
      </c>
      <c r="D198" s="36" t="str">
        <f>Source!H57</f>
        <v>шт.</v>
      </c>
      <c r="E198" s="37">
        <f>Source!I57</f>
        <v>40</v>
      </c>
      <c r="F198" s="38">
        <f>Source!AL57+Source!AM57+Source!AO57</f>
        <v>1529.5</v>
      </c>
      <c r="G198" s="43" t="s">
        <v>3</v>
      </c>
      <c r="H198" s="38">
        <f>ROUND(Source!AC57*Source!I57, 2)+ROUND(Source!AD57*Source!I57, 2)+ROUND(Source!AF57*Source!I57, 2)</f>
        <v>61180</v>
      </c>
      <c r="I198" s="39"/>
      <c r="J198" s="39">
        <f>IF(Source!BC57&lt;&gt; 0, Source!BC57, 1)</f>
        <v>4.88</v>
      </c>
      <c r="K198" s="38">
        <f>Source!O57</f>
        <v>298558.40000000002</v>
      </c>
      <c r="L198" s="44"/>
      <c r="S198">
        <f>ROUND((Source!FX57/100)*((ROUND(Source!AF57*Source!I57, 2)+ROUND(Source!AE57*Source!I57, 2))), 2)</f>
        <v>0</v>
      </c>
      <c r="T198">
        <f>Source!X57</f>
        <v>0</v>
      </c>
      <c r="U198">
        <f>ROUND((Source!FY57/100)*((ROUND(Source!AF57*Source!I57, 2)+ROUND(Source!AE57*Source!I57, 2))), 2)</f>
        <v>0</v>
      </c>
      <c r="V198">
        <f>Source!Y57</f>
        <v>0</v>
      </c>
      <c r="W198">
        <f>IF(Source!BI57&lt;=1,H198, 0)</f>
        <v>0</v>
      </c>
      <c r="X198">
        <f>IF(Source!BI57=2,H198, 0)</f>
        <v>61180</v>
      </c>
      <c r="Y198">
        <f>IF(Source!BI57=3,H198, 0)</f>
        <v>0</v>
      </c>
      <c r="Z198">
        <f>IF(Source!BI57=4,H198, 0)</f>
        <v>0</v>
      </c>
    </row>
    <row r="199" spans="1:26" ht="15" x14ac:dyDescent="0.25">
      <c r="G199" s="57">
        <f>H191+H192+H194+H195+H196+SUM(H198:H198)</f>
        <v>72309.72</v>
      </c>
      <c r="H199" s="57"/>
      <c r="J199" s="57">
        <f>K191+K192+K194+K195+K196+SUM(K198:K198)</f>
        <v>352871.45</v>
      </c>
      <c r="K199" s="57"/>
      <c r="L199" s="41">
        <f>Source!U56</f>
        <v>130.24</v>
      </c>
      <c r="O199" s="23">
        <f>G199</f>
        <v>72309.72</v>
      </c>
      <c r="P199" s="23">
        <f>J199</f>
        <v>352871.45</v>
      </c>
      <c r="Q199" s="23">
        <f>L199</f>
        <v>130.24</v>
      </c>
      <c r="W199">
        <f>IF(Source!BI56&lt;=1,H191+H192+H194+H195+H196, 0)</f>
        <v>0</v>
      </c>
      <c r="X199">
        <f>IF(Source!BI56=2,H191+H192+H194+H195+H196, 0)</f>
        <v>11129.72</v>
      </c>
      <c r="Y199">
        <f>IF(Source!BI56=3,H191+H192+H194+H195+H196, 0)</f>
        <v>0</v>
      </c>
      <c r="Z199">
        <f>IF(Source!BI56=4,H191+H192+H194+H195+H196, 0)</f>
        <v>0</v>
      </c>
    </row>
    <row r="200" spans="1:26" ht="28.5" x14ac:dyDescent="0.2">
      <c r="A200" s="47" t="str">
        <f>Source!E58</f>
        <v>19</v>
      </c>
      <c r="B200" s="48" t="str">
        <f>Source!F58</f>
        <v>м08-02-370-01</v>
      </c>
      <c r="C200" s="48" t="str">
        <f>Source!G58</f>
        <v>Щиток до трех групп, устанавливаемый в обхват колонн</v>
      </c>
      <c r="D200" s="30" t="str">
        <f>Source!H58</f>
        <v>ШТ</v>
      </c>
      <c r="E200" s="10">
        <f>Source!I58</f>
        <v>8</v>
      </c>
      <c r="F200" s="31">
        <f>Source!AL58+Source!AM58+Source!AO58</f>
        <v>32.99</v>
      </c>
      <c r="G200" s="32"/>
      <c r="H200" s="31"/>
      <c r="I200" s="32" t="str">
        <f>Source!BO58</f>
        <v/>
      </c>
      <c r="J200" s="32"/>
      <c r="K200" s="31"/>
      <c r="L200" s="33"/>
      <c r="S200">
        <f>ROUND((Source!FX58/100)*((ROUND(Source!AF58*Source!I58, 2)+ROUND(Source!AE58*Source!I58, 2))), 2)</f>
        <v>87.7</v>
      </c>
      <c r="T200">
        <f>Source!X58</f>
        <v>427.99</v>
      </c>
      <c r="U200">
        <f>ROUND((Source!FY58/100)*((ROUND(Source!AF58*Source!I58, 2)+ROUND(Source!AE58*Source!I58, 2))), 2)</f>
        <v>60.01</v>
      </c>
      <c r="V200">
        <f>Source!Y58</f>
        <v>292.83999999999997</v>
      </c>
    </row>
    <row r="201" spans="1:26" ht="14.25" x14ac:dyDescent="0.2">
      <c r="A201" s="47"/>
      <c r="B201" s="48"/>
      <c r="C201" s="48" t="s">
        <v>657</v>
      </c>
      <c r="D201" s="30"/>
      <c r="E201" s="10"/>
      <c r="F201" s="31">
        <f>Source!AO58</f>
        <v>9.0299999999999994</v>
      </c>
      <c r="G201" s="32" t="str">
        <f>Source!DG58</f>
        <v/>
      </c>
      <c r="H201" s="31">
        <f>ROUND(Source!AF58*Source!I58, 2)</f>
        <v>72.239999999999995</v>
      </c>
      <c r="I201" s="32"/>
      <c r="J201" s="32">
        <f>IF(Source!BA58&lt;&gt; 0, Source!BA58, 1)</f>
        <v>4.88</v>
      </c>
      <c r="K201" s="31">
        <f>Source!S58</f>
        <v>352.53</v>
      </c>
      <c r="L201" s="33"/>
      <c r="R201">
        <f>H201</f>
        <v>72.239999999999995</v>
      </c>
    </row>
    <row r="202" spans="1:26" ht="14.25" x14ac:dyDescent="0.2">
      <c r="A202" s="47"/>
      <c r="B202" s="48"/>
      <c r="C202" s="48" t="s">
        <v>303</v>
      </c>
      <c r="D202" s="30"/>
      <c r="E202" s="10"/>
      <c r="F202" s="31">
        <f>Source!AM58</f>
        <v>17.77</v>
      </c>
      <c r="G202" s="32" t="str">
        <f>Source!DE58</f>
        <v/>
      </c>
      <c r="H202" s="31">
        <f>ROUND(Source!AD58*Source!I58, 2)</f>
        <v>142.16</v>
      </c>
      <c r="I202" s="32"/>
      <c r="J202" s="32">
        <f>IF(Source!BB58&lt;&gt; 0, Source!BB58, 1)</f>
        <v>4.88</v>
      </c>
      <c r="K202" s="31">
        <f>Source!Q58</f>
        <v>693.74</v>
      </c>
      <c r="L202" s="33"/>
    </row>
    <row r="203" spans="1:26" ht="14.25" x14ac:dyDescent="0.2">
      <c r="A203" s="47"/>
      <c r="B203" s="48"/>
      <c r="C203" s="48" t="s">
        <v>658</v>
      </c>
      <c r="D203" s="30"/>
      <c r="E203" s="10"/>
      <c r="F203" s="31">
        <f>Source!AN58</f>
        <v>2.5099999999999998</v>
      </c>
      <c r="G203" s="32" t="str">
        <f>Source!DF58</f>
        <v/>
      </c>
      <c r="H203" s="34">
        <f>ROUND(Source!AE58*Source!I58, 2)</f>
        <v>20.079999999999998</v>
      </c>
      <c r="I203" s="32"/>
      <c r="J203" s="32">
        <f>IF(Source!BS58&lt;&gt; 0, Source!BS58, 1)</f>
        <v>4.88</v>
      </c>
      <c r="K203" s="34">
        <f>Source!R58</f>
        <v>97.99</v>
      </c>
      <c r="L203" s="33"/>
      <c r="R203">
        <f>H203</f>
        <v>20.079999999999998</v>
      </c>
    </row>
    <row r="204" spans="1:26" ht="14.25" x14ac:dyDescent="0.2">
      <c r="A204" s="47"/>
      <c r="B204" s="48"/>
      <c r="C204" s="48" t="s">
        <v>664</v>
      </c>
      <c r="D204" s="30"/>
      <c r="E204" s="10"/>
      <c r="F204" s="31">
        <f>Source!AL58</f>
        <v>6.19</v>
      </c>
      <c r="G204" s="32" t="str">
        <f>Source!DD58</f>
        <v/>
      </c>
      <c r="H204" s="31">
        <f>ROUND(Source!AC58*Source!I58, 2)</f>
        <v>49.52</v>
      </c>
      <c r="I204" s="32"/>
      <c r="J204" s="32">
        <f>IF(Source!BC58&lt;&gt; 0, Source!BC58, 1)</f>
        <v>4.88</v>
      </c>
      <c r="K204" s="31">
        <f>Source!P58</f>
        <v>241.66</v>
      </c>
      <c r="L204" s="33"/>
    </row>
    <row r="205" spans="1:26" ht="14.25" x14ac:dyDescent="0.2">
      <c r="A205" s="47"/>
      <c r="B205" s="48"/>
      <c r="C205" s="48" t="s">
        <v>659</v>
      </c>
      <c r="D205" s="30" t="s">
        <v>660</v>
      </c>
      <c r="E205" s="10">
        <f>Source!BZ58</f>
        <v>95</v>
      </c>
      <c r="F205" s="51"/>
      <c r="G205" s="32"/>
      <c r="H205" s="31">
        <f>SUM(S200:S208)</f>
        <v>87.7</v>
      </c>
      <c r="I205" s="35"/>
      <c r="J205" s="28">
        <f>Source!AT58</f>
        <v>95</v>
      </c>
      <c r="K205" s="31">
        <f>SUM(T200:T208)</f>
        <v>427.99</v>
      </c>
      <c r="L205" s="33"/>
    </row>
    <row r="206" spans="1:26" ht="14.25" x14ac:dyDescent="0.2">
      <c r="A206" s="47"/>
      <c r="B206" s="48"/>
      <c r="C206" s="48" t="s">
        <v>661</v>
      </c>
      <c r="D206" s="30" t="s">
        <v>660</v>
      </c>
      <c r="E206" s="10">
        <f>Source!CA58</f>
        <v>65</v>
      </c>
      <c r="F206" s="51"/>
      <c r="G206" s="32"/>
      <c r="H206" s="31">
        <f>SUM(U200:U208)</f>
        <v>60.01</v>
      </c>
      <c r="I206" s="35"/>
      <c r="J206" s="28">
        <f>Source!AU58</f>
        <v>65</v>
      </c>
      <c r="K206" s="31">
        <f>SUM(V200:V208)</f>
        <v>292.83999999999997</v>
      </c>
      <c r="L206" s="33"/>
    </row>
    <row r="207" spans="1:26" ht="14.25" x14ac:dyDescent="0.2">
      <c r="A207" s="47"/>
      <c r="B207" s="48"/>
      <c r="C207" s="48" t="s">
        <v>662</v>
      </c>
      <c r="D207" s="30" t="s">
        <v>663</v>
      </c>
      <c r="E207" s="10">
        <f>Source!AQ58</f>
        <v>0.86</v>
      </c>
      <c r="F207" s="31"/>
      <c r="G207" s="32" t="str">
        <f>Source!DI58</f>
        <v/>
      </c>
      <c r="H207" s="31"/>
      <c r="I207" s="32"/>
      <c r="J207" s="32"/>
      <c r="K207" s="31"/>
      <c r="L207" s="42">
        <f>Source!U58</f>
        <v>6.88</v>
      </c>
    </row>
    <row r="208" spans="1:26" ht="28.5" x14ac:dyDescent="0.2">
      <c r="A208" s="49" t="str">
        <f>Source!E59</f>
        <v>19,1</v>
      </c>
      <c r="B208" s="50" t="str">
        <f>Source!F59</f>
        <v>62.1.02.17-0047</v>
      </c>
      <c r="C208" s="50" t="str">
        <f>Source!G59</f>
        <v>Щитки  распределительные согласно тех.заданию</v>
      </c>
      <c r="D208" s="36" t="str">
        <f>Source!H59</f>
        <v>шт.</v>
      </c>
      <c r="E208" s="37">
        <f>Source!I59</f>
        <v>8</v>
      </c>
      <c r="F208" s="38">
        <f>Source!AL59+Source!AM59+Source!AO59</f>
        <v>3814.41</v>
      </c>
      <c r="G208" s="43" t="s">
        <v>3</v>
      </c>
      <c r="H208" s="38">
        <f>ROUND(Source!AC59*Source!I59, 2)+ROUND(Source!AD59*Source!I59, 2)+ROUND(Source!AF59*Source!I59, 2)</f>
        <v>30515.279999999999</v>
      </c>
      <c r="I208" s="39"/>
      <c r="J208" s="39">
        <f>IF(Source!BC59&lt;&gt; 0, Source!BC59, 1)</f>
        <v>4.88</v>
      </c>
      <c r="K208" s="38">
        <f>Source!O59</f>
        <v>148914.57</v>
      </c>
      <c r="L208" s="44"/>
      <c r="S208">
        <f>ROUND((Source!FX59/100)*((ROUND(Source!AF59*Source!I59, 2)+ROUND(Source!AE59*Source!I59, 2))), 2)</f>
        <v>0</v>
      </c>
      <c r="T208">
        <f>Source!X59</f>
        <v>0</v>
      </c>
      <c r="U208">
        <f>ROUND((Source!FY59/100)*((ROUND(Source!AF59*Source!I59, 2)+ROUND(Source!AE59*Source!I59, 2))), 2)</f>
        <v>0</v>
      </c>
      <c r="V208">
        <f>Source!Y59</f>
        <v>0</v>
      </c>
      <c r="W208">
        <f>IF(Source!BI59&lt;=1,H208, 0)</f>
        <v>0</v>
      </c>
      <c r="X208">
        <f>IF(Source!BI59=2,H208, 0)</f>
        <v>30515.279999999999</v>
      </c>
      <c r="Y208">
        <f>IF(Source!BI59=3,H208, 0)</f>
        <v>0</v>
      </c>
      <c r="Z208">
        <f>IF(Source!BI59=4,H208, 0)</f>
        <v>0</v>
      </c>
    </row>
    <row r="209" spans="1:26" ht="15" x14ac:dyDescent="0.25">
      <c r="G209" s="57">
        <f>H201+H202+H204+H205+H206+SUM(H208:H208)</f>
        <v>30926.91</v>
      </c>
      <c r="H209" s="57"/>
      <c r="J209" s="57">
        <f>K201+K202+K204+K205+K206+SUM(K208:K208)</f>
        <v>150923.33000000002</v>
      </c>
      <c r="K209" s="57"/>
      <c r="L209" s="41">
        <f>Source!U58</f>
        <v>6.88</v>
      </c>
      <c r="O209" s="23">
        <f>G209</f>
        <v>30926.91</v>
      </c>
      <c r="P209" s="23">
        <f>J209</f>
        <v>150923.33000000002</v>
      </c>
      <c r="Q209" s="23">
        <f>L209</f>
        <v>6.88</v>
      </c>
      <c r="W209">
        <f>IF(Source!BI58&lt;=1,H201+H202+H204+H205+H206, 0)</f>
        <v>0</v>
      </c>
      <c r="X209">
        <f>IF(Source!BI58=2,H201+H202+H204+H205+H206, 0)</f>
        <v>411.62999999999994</v>
      </c>
      <c r="Y209">
        <f>IF(Source!BI58=3,H201+H202+H204+H205+H206, 0)</f>
        <v>0</v>
      </c>
      <c r="Z209">
        <f>IF(Source!BI58=4,H201+H202+H204+H205+H206, 0)</f>
        <v>0</v>
      </c>
    </row>
    <row r="210" spans="1:26" ht="28.5" x14ac:dyDescent="0.2">
      <c r="A210" s="47" t="str">
        <f>Source!E60</f>
        <v>20</v>
      </c>
      <c r="B210" s="48" t="str">
        <f>Source!F60</f>
        <v>м08-02-142-01</v>
      </c>
      <c r="C210" s="48" t="str">
        <f>Source!G60</f>
        <v>Устройство постели при одном кабеле в траншее</v>
      </c>
      <c r="D210" s="30" t="str">
        <f>Source!H60</f>
        <v>100 м</v>
      </c>
      <c r="E210" s="10">
        <f>Source!I60</f>
        <v>13.5</v>
      </c>
      <c r="F210" s="31">
        <f>Source!AL60+Source!AM60+Source!AO60</f>
        <v>308.27999999999997</v>
      </c>
      <c r="G210" s="32"/>
      <c r="H210" s="31"/>
      <c r="I210" s="32" t="str">
        <f>Source!BO60</f>
        <v/>
      </c>
      <c r="J210" s="32"/>
      <c r="K210" s="31"/>
      <c r="L210" s="33"/>
      <c r="S210">
        <f>ROUND((Source!FX60/100)*((ROUND(Source!AF60*Source!I60, 2)+ROUND(Source!AE60*Source!I60, 2))), 2)</f>
        <v>1234.1500000000001</v>
      </c>
      <c r="T210">
        <f>Source!X60</f>
        <v>6022.65</v>
      </c>
      <c r="U210">
        <f>ROUND((Source!FY60/100)*((ROUND(Source!AF60*Source!I60, 2)+ROUND(Source!AE60*Source!I60, 2))), 2)</f>
        <v>844.42</v>
      </c>
      <c r="V210">
        <f>Source!Y60</f>
        <v>4120.76</v>
      </c>
    </row>
    <row r="211" spans="1:26" x14ac:dyDescent="0.2">
      <c r="C211" s="25" t="str">
        <f>"Объем: "&amp;Source!I60&amp;"=1550/"&amp;"100"</f>
        <v>Объем: 13,5=1550/100</v>
      </c>
    </row>
    <row r="212" spans="1:26" ht="14.25" x14ac:dyDescent="0.2">
      <c r="A212" s="47"/>
      <c r="B212" s="48"/>
      <c r="C212" s="48" t="s">
        <v>657</v>
      </c>
      <c r="D212" s="30"/>
      <c r="E212" s="10"/>
      <c r="F212" s="31">
        <f>Source!AO60</f>
        <v>50.99</v>
      </c>
      <c r="G212" s="32" t="str">
        <f>Source!DG60</f>
        <v/>
      </c>
      <c r="H212" s="31">
        <f>ROUND(Source!AF60*Source!I60, 2)</f>
        <v>688.37</v>
      </c>
      <c r="I212" s="32"/>
      <c r="J212" s="32">
        <f>IF(Source!BA60&lt;&gt; 0, Source!BA60, 1)</f>
        <v>4.88</v>
      </c>
      <c r="K212" s="31">
        <f>Source!S60</f>
        <v>3359.22</v>
      </c>
      <c r="L212" s="33"/>
      <c r="R212">
        <f>H212</f>
        <v>688.37</v>
      </c>
    </row>
    <row r="213" spans="1:26" ht="14.25" x14ac:dyDescent="0.2">
      <c r="A213" s="47"/>
      <c r="B213" s="48"/>
      <c r="C213" s="48" t="s">
        <v>303</v>
      </c>
      <c r="D213" s="30"/>
      <c r="E213" s="10"/>
      <c r="F213" s="31">
        <f>Source!AM60</f>
        <v>256.27</v>
      </c>
      <c r="G213" s="32" t="str">
        <f>Source!DE60</f>
        <v/>
      </c>
      <c r="H213" s="31">
        <f>ROUND(Source!AD60*Source!I60, 2)</f>
        <v>3459.65</v>
      </c>
      <c r="I213" s="32"/>
      <c r="J213" s="32">
        <f>IF(Source!BB60&lt;&gt; 0, Source!BB60, 1)</f>
        <v>4.88</v>
      </c>
      <c r="K213" s="31">
        <f>Source!Q60</f>
        <v>16883.07</v>
      </c>
      <c r="L213" s="33"/>
    </row>
    <row r="214" spans="1:26" ht="14.25" x14ac:dyDescent="0.2">
      <c r="A214" s="47"/>
      <c r="B214" s="48"/>
      <c r="C214" s="48" t="s">
        <v>658</v>
      </c>
      <c r="D214" s="30"/>
      <c r="E214" s="10"/>
      <c r="F214" s="31">
        <f>Source!AN60</f>
        <v>45.24</v>
      </c>
      <c r="G214" s="32" t="str">
        <f>Source!DF60</f>
        <v/>
      </c>
      <c r="H214" s="34">
        <f>ROUND(Source!AE60*Source!I60, 2)</f>
        <v>610.74</v>
      </c>
      <c r="I214" s="32"/>
      <c r="J214" s="32">
        <f>IF(Source!BS60&lt;&gt; 0, Source!BS60, 1)</f>
        <v>4.88</v>
      </c>
      <c r="K214" s="34">
        <f>Source!R60</f>
        <v>2980.41</v>
      </c>
      <c r="L214" s="33"/>
      <c r="R214">
        <f>H214</f>
        <v>610.74</v>
      </c>
    </row>
    <row r="215" spans="1:26" ht="14.25" x14ac:dyDescent="0.2">
      <c r="A215" s="47"/>
      <c r="B215" s="48"/>
      <c r="C215" s="48" t="s">
        <v>664</v>
      </c>
      <c r="D215" s="30"/>
      <c r="E215" s="10"/>
      <c r="F215" s="31">
        <f>Source!AL60</f>
        <v>1.02</v>
      </c>
      <c r="G215" s="32" t="str">
        <f>Source!DD60</f>
        <v/>
      </c>
      <c r="H215" s="31">
        <f>ROUND(Source!AC60*Source!I60, 2)</f>
        <v>13.77</v>
      </c>
      <c r="I215" s="32"/>
      <c r="J215" s="32">
        <f>IF(Source!BC60&lt;&gt; 0, Source!BC60, 1)</f>
        <v>4.88</v>
      </c>
      <c r="K215" s="31">
        <f>Source!P60</f>
        <v>67.2</v>
      </c>
      <c r="L215" s="33"/>
    </row>
    <row r="216" spans="1:26" ht="14.25" x14ac:dyDescent="0.2">
      <c r="A216" s="47"/>
      <c r="B216" s="48"/>
      <c r="C216" s="48" t="s">
        <v>659</v>
      </c>
      <c r="D216" s="30" t="s">
        <v>660</v>
      </c>
      <c r="E216" s="10">
        <f>Source!BZ60</f>
        <v>95</v>
      </c>
      <c r="F216" s="51"/>
      <c r="G216" s="32"/>
      <c r="H216" s="31">
        <f>SUM(S210:S219)</f>
        <v>1234.1500000000001</v>
      </c>
      <c r="I216" s="35"/>
      <c r="J216" s="28">
        <f>Source!AT60</f>
        <v>95</v>
      </c>
      <c r="K216" s="31">
        <f>SUM(T210:T219)</f>
        <v>6022.65</v>
      </c>
      <c r="L216" s="33"/>
    </row>
    <row r="217" spans="1:26" ht="14.25" x14ac:dyDescent="0.2">
      <c r="A217" s="47"/>
      <c r="B217" s="48"/>
      <c r="C217" s="48" t="s">
        <v>661</v>
      </c>
      <c r="D217" s="30" t="s">
        <v>660</v>
      </c>
      <c r="E217" s="10">
        <f>Source!CA60</f>
        <v>65</v>
      </c>
      <c r="F217" s="51"/>
      <c r="G217" s="32"/>
      <c r="H217" s="31">
        <f>SUM(U210:U219)</f>
        <v>844.42</v>
      </c>
      <c r="I217" s="35"/>
      <c r="J217" s="28">
        <f>Source!AU60</f>
        <v>65</v>
      </c>
      <c r="K217" s="31">
        <f>SUM(V210:V219)</f>
        <v>4120.76</v>
      </c>
      <c r="L217" s="33"/>
    </row>
    <row r="218" spans="1:26" ht="14.25" x14ac:dyDescent="0.2">
      <c r="A218" s="47"/>
      <c r="B218" s="48"/>
      <c r="C218" s="48" t="s">
        <v>662</v>
      </c>
      <c r="D218" s="30" t="s">
        <v>663</v>
      </c>
      <c r="E218" s="10">
        <f>Source!AQ60</f>
        <v>5.3</v>
      </c>
      <c r="F218" s="31"/>
      <c r="G218" s="32" t="str">
        <f>Source!DI60</f>
        <v/>
      </c>
      <c r="H218" s="31"/>
      <c r="I218" s="32"/>
      <c r="J218" s="32"/>
      <c r="K218" s="31"/>
      <c r="L218" s="42">
        <f>Source!U60</f>
        <v>71.55</v>
      </c>
    </row>
    <row r="219" spans="1:26" ht="28.5" x14ac:dyDescent="0.2">
      <c r="A219" s="49" t="str">
        <f>Source!E61</f>
        <v>20,1</v>
      </c>
      <c r="B219" s="50" t="str">
        <f>Source!F61</f>
        <v>02.3.01.02-0011</v>
      </c>
      <c r="C219" s="50" t="str">
        <f>Source!G61</f>
        <v>Песок природный для строительных работ мелкий</v>
      </c>
      <c r="D219" s="36" t="str">
        <f>Source!H61</f>
        <v>м3</v>
      </c>
      <c r="E219" s="37">
        <f>Source!I61</f>
        <v>100.16129032258064</v>
      </c>
      <c r="F219" s="38">
        <f>Source!AL61+Source!AM61+Source!AO61</f>
        <v>59.99</v>
      </c>
      <c r="G219" s="43" t="s">
        <v>3</v>
      </c>
      <c r="H219" s="38">
        <f>ROUND(Source!AC61*Source!I61, 2)+ROUND(Source!AD61*Source!I61, 2)+ROUND(Source!AF61*Source!I61, 2)</f>
        <v>6008.68</v>
      </c>
      <c r="I219" s="39"/>
      <c r="J219" s="39">
        <f>IF(Source!BC61&lt;&gt; 0, Source!BC61, 1)</f>
        <v>4.88</v>
      </c>
      <c r="K219" s="38">
        <f>Source!O61</f>
        <v>29322.34</v>
      </c>
      <c r="L219" s="44"/>
      <c r="S219">
        <f>ROUND((Source!FX61/100)*((ROUND(Source!AF61*Source!I61, 2)+ROUND(Source!AE61*Source!I61, 2))), 2)</f>
        <v>0</v>
      </c>
      <c r="T219">
        <f>Source!X61</f>
        <v>0</v>
      </c>
      <c r="U219">
        <f>ROUND((Source!FY61/100)*((ROUND(Source!AF61*Source!I61, 2)+ROUND(Source!AE61*Source!I61, 2))), 2)</f>
        <v>0</v>
      </c>
      <c r="V219">
        <f>Source!Y61</f>
        <v>0</v>
      </c>
      <c r="W219">
        <f>IF(Source!BI61&lt;=1,H219, 0)</f>
        <v>0</v>
      </c>
      <c r="X219">
        <f>IF(Source!BI61=2,H219, 0)</f>
        <v>6008.68</v>
      </c>
      <c r="Y219">
        <f>IF(Source!BI61=3,H219, 0)</f>
        <v>0</v>
      </c>
      <c r="Z219">
        <f>IF(Source!BI61=4,H219, 0)</f>
        <v>0</v>
      </c>
    </row>
    <row r="220" spans="1:26" ht="15" x14ac:dyDescent="0.25">
      <c r="G220" s="57">
        <f>H212+H213+H215+H216+H217+SUM(H219:H219)</f>
        <v>12249.04</v>
      </c>
      <c r="H220" s="57"/>
      <c r="J220" s="57">
        <f>K212+K213+K215+K216+K217+SUM(K219:K219)</f>
        <v>59775.240000000005</v>
      </c>
      <c r="K220" s="57"/>
      <c r="L220" s="41">
        <f>Source!U60</f>
        <v>71.55</v>
      </c>
      <c r="O220" s="23">
        <f>G220</f>
        <v>12249.04</v>
      </c>
      <c r="P220" s="23">
        <f>J220</f>
        <v>59775.240000000005</v>
      </c>
      <c r="Q220" s="23">
        <f>L220</f>
        <v>71.55</v>
      </c>
      <c r="W220">
        <f>IF(Source!BI60&lt;=1,H212+H213+H215+H216+H217, 0)</f>
        <v>0</v>
      </c>
      <c r="X220">
        <f>IF(Source!BI60=2,H212+H213+H215+H216+H217, 0)</f>
        <v>6240.3600000000006</v>
      </c>
      <c r="Y220">
        <f>IF(Source!BI60=3,H212+H213+H215+H216+H217, 0)</f>
        <v>0</v>
      </c>
      <c r="Z220">
        <f>IF(Source!BI60=4,H212+H213+H215+H216+H217, 0)</f>
        <v>0</v>
      </c>
    </row>
    <row r="221" spans="1:26" ht="28.5" x14ac:dyDescent="0.2">
      <c r="A221" s="47" t="str">
        <f>Source!E62</f>
        <v>21</v>
      </c>
      <c r="B221" s="48" t="str">
        <f>Source!F62</f>
        <v>м08-02-141-02</v>
      </c>
      <c r="C221" s="48" t="str">
        <f>Source!G62</f>
        <v>Кабель до 35 кВ в готовых траншеях без покрытий, масса 1 м до 2 кг</v>
      </c>
      <c r="D221" s="30" t="str">
        <f>Source!H62</f>
        <v>100 м</v>
      </c>
      <c r="E221" s="10">
        <f>Source!I62</f>
        <v>4.5</v>
      </c>
      <c r="F221" s="31">
        <f>Source!AL62+Source!AM62+Source!AO62</f>
        <v>270.58</v>
      </c>
      <c r="G221" s="32"/>
      <c r="H221" s="31"/>
      <c r="I221" s="32" t="str">
        <f>Source!BO62</f>
        <v/>
      </c>
      <c r="J221" s="32"/>
      <c r="K221" s="31"/>
      <c r="L221" s="33"/>
      <c r="S221">
        <f>ROUND((Source!FX62/100)*((ROUND(Source!AF62*Source!I62, 2)+ROUND(Source!AE62*Source!I62, 2))), 2)</f>
        <v>502.74</v>
      </c>
      <c r="T221">
        <f>Source!X62</f>
        <v>2453.38</v>
      </c>
      <c r="U221">
        <f>ROUND((Source!FY62/100)*((ROUND(Source!AF62*Source!I62, 2)+ROUND(Source!AE62*Source!I62, 2))), 2)</f>
        <v>343.98</v>
      </c>
      <c r="V221">
        <f>Source!Y62</f>
        <v>1678.63</v>
      </c>
    </row>
    <row r="222" spans="1:26" x14ac:dyDescent="0.2">
      <c r="C222" s="25" t="str">
        <f>"Объем: "&amp;Source!I62&amp;"=450/"&amp;"100"</f>
        <v>Объем: 4,5=450/100</v>
      </c>
    </row>
    <row r="223" spans="1:26" ht="14.25" x14ac:dyDescent="0.2">
      <c r="A223" s="47"/>
      <c r="B223" s="48"/>
      <c r="C223" s="48" t="s">
        <v>657</v>
      </c>
      <c r="D223" s="30"/>
      <c r="E223" s="10"/>
      <c r="F223" s="31">
        <f>Source!AO62</f>
        <v>106.3</v>
      </c>
      <c r="G223" s="32" t="str">
        <f>Source!DG62</f>
        <v/>
      </c>
      <c r="H223" s="31">
        <f>ROUND(Source!AF62*Source!I62, 2)</f>
        <v>478.35</v>
      </c>
      <c r="I223" s="32"/>
      <c r="J223" s="32">
        <f>IF(Source!BA62&lt;&gt; 0, Source!BA62, 1)</f>
        <v>4.88</v>
      </c>
      <c r="K223" s="31">
        <f>Source!S62</f>
        <v>2334.35</v>
      </c>
      <c r="L223" s="33"/>
      <c r="R223">
        <f>H223</f>
        <v>478.35</v>
      </c>
    </row>
    <row r="224" spans="1:26" ht="14.25" x14ac:dyDescent="0.2">
      <c r="A224" s="47"/>
      <c r="B224" s="48"/>
      <c r="C224" s="48" t="s">
        <v>303</v>
      </c>
      <c r="D224" s="30"/>
      <c r="E224" s="10"/>
      <c r="F224" s="31">
        <f>Source!AM62</f>
        <v>90.75</v>
      </c>
      <c r="G224" s="32" t="str">
        <f>Source!DE62</f>
        <v/>
      </c>
      <c r="H224" s="31">
        <f>ROUND(Source!AD62*Source!I62, 2)</f>
        <v>408.38</v>
      </c>
      <c r="I224" s="32"/>
      <c r="J224" s="32">
        <f>IF(Source!BB62&lt;&gt; 0, Source!BB62, 1)</f>
        <v>4.88</v>
      </c>
      <c r="K224" s="31">
        <f>Source!Q62</f>
        <v>1992.87</v>
      </c>
      <c r="L224" s="33"/>
    </row>
    <row r="225" spans="1:26" ht="14.25" x14ac:dyDescent="0.2">
      <c r="A225" s="47"/>
      <c r="B225" s="48"/>
      <c r="C225" s="48" t="s">
        <v>658</v>
      </c>
      <c r="D225" s="30"/>
      <c r="E225" s="10"/>
      <c r="F225" s="31">
        <f>Source!AN62</f>
        <v>11.3</v>
      </c>
      <c r="G225" s="32" t="str">
        <f>Source!DF62</f>
        <v/>
      </c>
      <c r="H225" s="34">
        <f>ROUND(Source!AE62*Source!I62, 2)</f>
        <v>50.85</v>
      </c>
      <c r="I225" s="32"/>
      <c r="J225" s="32">
        <f>IF(Source!BS62&lt;&gt; 0, Source!BS62, 1)</f>
        <v>4.88</v>
      </c>
      <c r="K225" s="34">
        <f>Source!R62</f>
        <v>248.15</v>
      </c>
      <c r="L225" s="33"/>
      <c r="R225">
        <f>H225</f>
        <v>50.85</v>
      </c>
    </row>
    <row r="226" spans="1:26" ht="14.25" x14ac:dyDescent="0.2">
      <c r="A226" s="47"/>
      <c r="B226" s="48"/>
      <c r="C226" s="48" t="s">
        <v>664</v>
      </c>
      <c r="D226" s="30"/>
      <c r="E226" s="10"/>
      <c r="F226" s="31">
        <f>Source!AL62</f>
        <v>73.53</v>
      </c>
      <c r="G226" s="32" t="str">
        <f>Source!DD62</f>
        <v/>
      </c>
      <c r="H226" s="31">
        <f>ROUND(Source!AC62*Source!I62, 2)</f>
        <v>330.89</v>
      </c>
      <c r="I226" s="32"/>
      <c r="J226" s="32">
        <f>IF(Source!BC62&lt;&gt; 0, Source!BC62, 1)</f>
        <v>4.88</v>
      </c>
      <c r="K226" s="31">
        <f>Source!P62</f>
        <v>1614.72</v>
      </c>
      <c r="L226" s="33"/>
    </row>
    <row r="227" spans="1:26" ht="14.25" x14ac:dyDescent="0.2">
      <c r="A227" s="47"/>
      <c r="B227" s="48"/>
      <c r="C227" s="48" t="s">
        <v>659</v>
      </c>
      <c r="D227" s="30" t="s">
        <v>660</v>
      </c>
      <c r="E227" s="10">
        <f>Source!BZ62</f>
        <v>95</v>
      </c>
      <c r="F227" s="51"/>
      <c r="G227" s="32"/>
      <c r="H227" s="31">
        <f>SUM(S221:S230)</f>
        <v>502.74</v>
      </c>
      <c r="I227" s="35"/>
      <c r="J227" s="28">
        <f>Source!AT62</f>
        <v>95</v>
      </c>
      <c r="K227" s="31">
        <f>SUM(T221:T230)</f>
        <v>2453.38</v>
      </c>
      <c r="L227" s="33"/>
    </row>
    <row r="228" spans="1:26" ht="14.25" x14ac:dyDescent="0.2">
      <c r="A228" s="47"/>
      <c r="B228" s="48"/>
      <c r="C228" s="48" t="s">
        <v>661</v>
      </c>
      <c r="D228" s="30" t="s">
        <v>660</v>
      </c>
      <c r="E228" s="10">
        <f>Source!CA62</f>
        <v>65</v>
      </c>
      <c r="F228" s="51"/>
      <c r="G228" s="32"/>
      <c r="H228" s="31">
        <f>SUM(U221:U230)</f>
        <v>343.98</v>
      </c>
      <c r="I228" s="35"/>
      <c r="J228" s="28">
        <f>Source!AU62</f>
        <v>65</v>
      </c>
      <c r="K228" s="31">
        <f>SUM(V221:V230)</f>
        <v>1678.63</v>
      </c>
      <c r="L228" s="33"/>
    </row>
    <row r="229" spans="1:26" ht="14.25" x14ac:dyDescent="0.2">
      <c r="A229" s="47"/>
      <c r="B229" s="48"/>
      <c r="C229" s="48" t="s">
        <v>662</v>
      </c>
      <c r="D229" s="30" t="s">
        <v>663</v>
      </c>
      <c r="E229" s="10">
        <f>Source!AQ62</f>
        <v>11.05</v>
      </c>
      <c r="F229" s="31"/>
      <c r="G229" s="32" t="str">
        <f>Source!DI62</f>
        <v/>
      </c>
      <c r="H229" s="31"/>
      <c r="I229" s="32"/>
      <c r="J229" s="32"/>
      <c r="K229" s="31"/>
      <c r="L229" s="42">
        <f>Source!U62</f>
        <v>49.725000000000001</v>
      </c>
    </row>
    <row r="230" spans="1:26" ht="99.75" x14ac:dyDescent="0.2">
      <c r="A230" s="49" t="str">
        <f>Source!E63</f>
        <v>21,1</v>
      </c>
      <c r="B230" s="50" t="str">
        <f>Source!F63</f>
        <v>21.1.06.09-0032</v>
      </c>
      <c r="C230" s="50" t="str">
        <f>Source!G63</f>
        <v>Кабель силовой с медными жилами с изоляцией и оболочкой из ПВХ, не распространяющий горение, с низким дымо- и газовыделением, бронированный, напряжением 0,66 кВ (ГОСТ Р 53769-2010), марки ВБбШвнг-LS-Т 5х25</v>
      </c>
      <c r="D230" s="36" t="str">
        <f>Source!H63</f>
        <v>1000 м</v>
      </c>
      <c r="E230" s="37">
        <f>Source!I63</f>
        <v>0.45</v>
      </c>
      <c r="F230" s="38">
        <f>Source!AL63+Source!AM63+Source!AO63</f>
        <v>387323.85</v>
      </c>
      <c r="G230" s="43" t="s">
        <v>3</v>
      </c>
      <c r="H230" s="38">
        <f>ROUND(Source!AC63*Source!I63, 2)+ROUND(Source!AD63*Source!I63, 2)+ROUND(Source!AF63*Source!I63, 2)</f>
        <v>174295.73</v>
      </c>
      <c r="I230" s="39"/>
      <c r="J230" s="39">
        <f>IF(Source!BC63&lt;&gt; 0, Source!BC63, 1)</f>
        <v>4.88</v>
      </c>
      <c r="K230" s="38">
        <f>Source!O63</f>
        <v>850563.17</v>
      </c>
      <c r="L230" s="44"/>
      <c r="S230">
        <f>ROUND((Source!FX63/100)*((ROUND(Source!AF63*Source!I63, 2)+ROUND(Source!AE63*Source!I63, 2))), 2)</f>
        <v>0</v>
      </c>
      <c r="T230">
        <f>Source!X63</f>
        <v>0</v>
      </c>
      <c r="U230">
        <f>ROUND((Source!FY63/100)*((ROUND(Source!AF63*Source!I63, 2)+ROUND(Source!AE63*Source!I63, 2))), 2)</f>
        <v>0</v>
      </c>
      <c r="V230">
        <f>Source!Y63</f>
        <v>0</v>
      </c>
      <c r="W230">
        <f>IF(Source!BI63&lt;=1,H230, 0)</f>
        <v>0</v>
      </c>
      <c r="X230">
        <f>IF(Source!BI63=2,H230, 0)</f>
        <v>174295.73</v>
      </c>
      <c r="Y230">
        <f>IF(Source!BI63=3,H230, 0)</f>
        <v>0</v>
      </c>
      <c r="Z230">
        <f>IF(Source!BI63=4,H230, 0)</f>
        <v>0</v>
      </c>
    </row>
    <row r="231" spans="1:26" ht="15" x14ac:dyDescent="0.25">
      <c r="G231" s="57">
        <f>H223+H224+H226+H227+H228+SUM(H230:H230)</f>
        <v>176360.07</v>
      </c>
      <c r="H231" s="57"/>
      <c r="J231" s="57">
        <f>K223+K224+K226+K227+K228+SUM(K230:K230)</f>
        <v>860637.12</v>
      </c>
      <c r="K231" s="57"/>
      <c r="L231" s="41">
        <f>Source!U62</f>
        <v>49.725000000000001</v>
      </c>
      <c r="O231" s="23">
        <f>G231</f>
        <v>176360.07</v>
      </c>
      <c r="P231" s="23">
        <f>J231</f>
        <v>860637.12</v>
      </c>
      <c r="Q231" s="23">
        <f>L231</f>
        <v>49.725000000000001</v>
      </c>
      <c r="W231">
        <f>IF(Source!BI62&lt;=1,H223+H224+H226+H227+H228, 0)</f>
        <v>0</v>
      </c>
      <c r="X231">
        <f>IF(Source!BI62=2,H223+H224+H226+H227+H228, 0)</f>
        <v>2064.34</v>
      </c>
      <c r="Y231">
        <f>IF(Source!BI62=3,H223+H224+H226+H227+H228, 0)</f>
        <v>0</v>
      </c>
      <c r="Z231">
        <f>IF(Source!BI62=4,H223+H224+H226+H227+H228, 0)</f>
        <v>0</v>
      </c>
    </row>
    <row r="232" spans="1:26" ht="28.5" x14ac:dyDescent="0.2">
      <c r="A232" s="47" t="str">
        <f>Source!E64</f>
        <v>22</v>
      </c>
      <c r="B232" s="48" t="str">
        <f>Source!F64</f>
        <v>м08-02-141-01</v>
      </c>
      <c r="C232" s="48" t="str">
        <f>Source!G64</f>
        <v>Кабель до 35 кВ в готовых траншеях без покрытий, масса 1 м до 1 кг</v>
      </c>
      <c r="D232" s="30" t="str">
        <f>Source!H64</f>
        <v>100 м</v>
      </c>
      <c r="E232" s="10">
        <f>Source!I64</f>
        <v>9</v>
      </c>
      <c r="F232" s="31">
        <f>Source!AL64+Source!AM64+Source!AO64</f>
        <v>245.31</v>
      </c>
      <c r="G232" s="32"/>
      <c r="H232" s="31"/>
      <c r="I232" s="32" t="str">
        <f>Source!BO64</f>
        <v/>
      </c>
      <c r="J232" s="32"/>
      <c r="K232" s="31"/>
      <c r="L232" s="33"/>
      <c r="S232">
        <f>ROUND((Source!FX64/100)*((ROUND(Source!AF64*Source!I64, 2)+ROUND(Source!AE64*Source!I64, 2))), 2)</f>
        <v>972.22</v>
      </c>
      <c r="T232">
        <f>Source!X64</f>
        <v>4744.4399999999996</v>
      </c>
      <c r="U232">
        <f>ROUND((Source!FY64/100)*((ROUND(Source!AF64*Source!I64, 2)+ROUND(Source!AE64*Source!I64, 2))), 2)</f>
        <v>665.2</v>
      </c>
      <c r="V232">
        <f>Source!Y64</f>
        <v>3246.2</v>
      </c>
    </row>
    <row r="233" spans="1:26" x14ac:dyDescent="0.2">
      <c r="C233" s="25" t="str">
        <f>"Объем: "&amp;Source!I64&amp;"=900/"&amp;"100"</f>
        <v>Объем: 9=900/100</v>
      </c>
    </row>
    <row r="234" spans="1:26" ht="14.25" x14ac:dyDescent="0.2">
      <c r="A234" s="47"/>
      <c r="B234" s="48"/>
      <c r="C234" s="48" t="s">
        <v>657</v>
      </c>
      <c r="D234" s="30"/>
      <c r="E234" s="10"/>
      <c r="F234" s="31">
        <f>Source!AO64</f>
        <v>105.92</v>
      </c>
      <c r="G234" s="32" t="str">
        <f>Source!DG64</f>
        <v/>
      </c>
      <c r="H234" s="31">
        <f>ROUND(Source!AF64*Source!I64, 2)</f>
        <v>953.28</v>
      </c>
      <c r="I234" s="32"/>
      <c r="J234" s="32">
        <f>IF(Source!BA64&lt;&gt; 0, Source!BA64, 1)</f>
        <v>4.88</v>
      </c>
      <c r="K234" s="31">
        <f>Source!S64</f>
        <v>4652.01</v>
      </c>
      <c r="L234" s="33"/>
      <c r="R234">
        <f>H234</f>
        <v>953.28</v>
      </c>
    </row>
    <row r="235" spans="1:26" ht="14.25" x14ac:dyDescent="0.2">
      <c r="A235" s="47"/>
      <c r="B235" s="48"/>
      <c r="C235" s="48" t="s">
        <v>303</v>
      </c>
      <c r="D235" s="30"/>
      <c r="E235" s="10"/>
      <c r="F235" s="31">
        <f>Source!AM64</f>
        <v>65.87</v>
      </c>
      <c r="G235" s="32" t="str">
        <f>Source!DE64</f>
        <v/>
      </c>
      <c r="H235" s="31">
        <f>ROUND(Source!AD64*Source!I64, 2)</f>
        <v>592.83000000000004</v>
      </c>
      <c r="I235" s="32"/>
      <c r="J235" s="32">
        <f>IF(Source!BB64&lt;&gt; 0, Source!BB64, 1)</f>
        <v>4.88</v>
      </c>
      <c r="K235" s="31">
        <f>Source!Q64</f>
        <v>2893.01</v>
      </c>
      <c r="L235" s="33"/>
    </row>
    <row r="236" spans="1:26" ht="14.25" x14ac:dyDescent="0.2">
      <c r="A236" s="47"/>
      <c r="B236" s="48"/>
      <c r="C236" s="48" t="s">
        <v>658</v>
      </c>
      <c r="D236" s="30"/>
      <c r="E236" s="10"/>
      <c r="F236" s="31">
        <f>Source!AN64</f>
        <v>7.79</v>
      </c>
      <c r="G236" s="32" t="str">
        <f>Source!DF64</f>
        <v/>
      </c>
      <c r="H236" s="34">
        <f>ROUND(Source!AE64*Source!I64, 2)</f>
        <v>70.11</v>
      </c>
      <c r="I236" s="32"/>
      <c r="J236" s="32">
        <f>IF(Source!BS64&lt;&gt; 0, Source!BS64, 1)</f>
        <v>4.88</v>
      </c>
      <c r="K236" s="34">
        <f>Source!R64</f>
        <v>342.14</v>
      </c>
      <c r="L236" s="33"/>
      <c r="R236">
        <f>H236</f>
        <v>70.11</v>
      </c>
    </row>
    <row r="237" spans="1:26" ht="14.25" x14ac:dyDescent="0.2">
      <c r="A237" s="47"/>
      <c r="B237" s="48"/>
      <c r="C237" s="48" t="s">
        <v>664</v>
      </c>
      <c r="D237" s="30"/>
      <c r="E237" s="10"/>
      <c r="F237" s="31">
        <f>Source!AL64</f>
        <v>73.52</v>
      </c>
      <c r="G237" s="32" t="str">
        <f>Source!DD64</f>
        <v/>
      </c>
      <c r="H237" s="31">
        <f>ROUND(Source!AC64*Source!I64, 2)</f>
        <v>661.68</v>
      </c>
      <c r="I237" s="32"/>
      <c r="J237" s="32">
        <f>IF(Source!BC64&lt;&gt; 0, Source!BC64, 1)</f>
        <v>4.88</v>
      </c>
      <c r="K237" s="31">
        <f>Source!P64</f>
        <v>3229</v>
      </c>
      <c r="L237" s="33"/>
    </row>
    <row r="238" spans="1:26" ht="14.25" x14ac:dyDescent="0.2">
      <c r="A238" s="47"/>
      <c r="B238" s="48"/>
      <c r="C238" s="48" t="s">
        <v>659</v>
      </c>
      <c r="D238" s="30" t="s">
        <v>660</v>
      </c>
      <c r="E238" s="10">
        <f>Source!BZ64</f>
        <v>95</v>
      </c>
      <c r="F238" s="51"/>
      <c r="G238" s="32"/>
      <c r="H238" s="31">
        <f>SUM(S232:S243)</f>
        <v>972.22</v>
      </c>
      <c r="I238" s="35"/>
      <c r="J238" s="28">
        <f>Source!AT64</f>
        <v>95</v>
      </c>
      <c r="K238" s="31">
        <f>SUM(T232:T243)</f>
        <v>4744.4399999999996</v>
      </c>
      <c r="L238" s="33"/>
    </row>
    <row r="239" spans="1:26" ht="14.25" x14ac:dyDescent="0.2">
      <c r="A239" s="47"/>
      <c r="B239" s="48"/>
      <c r="C239" s="48" t="s">
        <v>661</v>
      </c>
      <c r="D239" s="30" t="s">
        <v>660</v>
      </c>
      <c r="E239" s="10">
        <f>Source!CA64</f>
        <v>65</v>
      </c>
      <c r="F239" s="51"/>
      <c r="G239" s="32"/>
      <c r="H239" s="31">
        <f>SUM(U232:U243)</f>
        <v>665.2</v>
      </c>
      <c r="I239" s="35"/>
      <c r="J239" s="28">
        <f>Source!AU64</f>
        <v>65</v>
      </c>
      <c r="K239" s="31">
        <f>SUM(V232:V243)</f>
        <v>3246.2</v>
      </c>
      <c r="L239" s="33"/>
    </row>
    <row r="240" spans="1:26" ht="14.25" x14ac:dyDescent="0.2">
      <c r="A240" s="47"/>
      <c r="B240" s="48"/>
      <c r="C240" s="48" t="s">
        <v>662</v>
      </c>
      <c r="D240" s="30" t="s">
        <v>663</v>
      </c>
      <c r="E240" s="10">
        <f>Source!AQ64</f>
        <v>11.01</v>
      </c>
      <c r="F240" s="31"/>
      <c r="G240" s="32" t="str">
        <f>Source!DI64</f>
        <v/>
      </c>
      <c r="H240" s="31"/>
      <c r="I240" s="32"/>
      <c r="J240" s="32"/>
      <c r="K240" s="31"/>
      <c r="L240" s="42">
        <f>Source!U64</f>
        <v>99.09</v>
      </c>
    </row>
    <row r="241" spans="1:26" ht="42.75" x14ac:dyDescent="0.2">
      <c r="A241" s="47" t="str">
        <f>Source!E65</f>
        <v>22,1</v>
      </c>
      <c r="B241" s="48" t="str">
        <f>Source!F65</f>
        <v>21.1.06.10-0203</v>
      </c>
      <c r="C241" s="48" t="str">
        <f>Source!G65</f>
        <v>Кабель силовой огнестойкий с медными жилами 5х16 бронированый прим.</v>
      </c>
      <c r="D241" s="30" t="str">
        <f>Source!H65</f>
        <v>1000 м</v>
      </c>
      <c r="E241" s="10">
        <f>Source!I65</f>
        <v>0.3</v>
      </c>
      <c r="F241" s="31">
        <f>Source!AL65+Source!AM65+Source!AO65</f>
        <v>138894.95000000001</v>
      </c>
      <c r="G241" s="45" t="s">
        <v>3</v>
      </c>
      <c r="H241" s="31">
        <f>ROUND(Source!AC65*Source!I65, 2)+ROUND(Source!AD65*Source!I65, 2)+ROUND(Source!AF65*Source!I65, 2)</f>
        <v>41668.49</v>
      </c>
      <c r="I241" s="32"/>
      <c r="J241" s="32">
        <f>IF(Source!BC65&lt;&gt; 0, Source!BC65, 1)</f>
        <v>4.88</v>
      </c>
      <c r="K241" s="31">
        <f>Source!O65</f>
        <v>203342.21</v>
      </c>
      <c r="L241" s="33"/>
      <c r="S241">
        <f>ROUND((Source!FX65/100)*((ROUND(Source!AF65*Source!I65, 2)+ROUND(Source!AE65*Source!I65, 2))), 2)</f>
        <v>0</v>
      </c>
      <c r="T241">
        <f>Source!X65</f>
        <v>0</v>
      </c>
      <c r="U241">
        <f>ROUND((Source!FY65/100)*((ROUND(Source!AF65*Source!I65, 2)+ROUND(Source!AE65*Source!I65, 2))), 2)</f>
        <v>0</v>
      </c>
      <c r="V241">
        <f>Source!Y65</f>
        <v>0</v>
      </c>
      <c r="W241">
        <f>IF(Source!BI65&lt;=1,H241, 0)</f>
        <v>0</v>
      </c>
      <c r="X241">
        <f>IF(Source!BI65=2,H241, 0)</f>
        <v>41668.49</v>
      </c>
      <c r="Y241">
        <f>IF(Source!BI65=3,H241, 0)</f>
        <v>0</v>
      </c>
      <c r="Z241">
        <f>IF(Source!BI65=4,H241, 0)</f>
        <v>0</v>
      </c>
    </row>
    <row r="242" spans="1:26" ht="42.75" x14ac:dyDescent="0.2">
      <c r="A242" s="47" t="str">
        <f>Source!E66</f>
        <v>22,2</v>
      </c>
      <c r="B242" s="48" t="str">
        <f>Source!F66</f>
        <v>21.1.06.10-0202</v>
      </c>
      <c r="C242" s="48" t="str">
        <f>Source!G66</f>
        <v>Кабель силовой огнестойкий с медными жилами  5х10 бронированый прим.</v>
      </c>
      <c r="D242" s="30" t="str">
        <f>Source!H66</f>
        <v>1000 м</v>
      </c>
      <c r="E242" s="10">
        <f>Source!I66</f>
        <v>0.3</v>
      </c>
      <c r="F242" s="31">
        <f>Source!AL66+Source!AM66+Source!AO66</f>
        <v>102514.88</v>
      </c>
      <c r="G242" s="45" t="s">
        <v>3</v>
      </c>
      <c r="H242" s="31">
        <f>ROUND(Source!AC66*Source!I66, 2)+ROUND(Source!AD66*Source!I66, 2)+ROUND(Source!AF66*Source!I66, 2)</f>
        <v>30754.46</v>
      </c>
      <c r="I242" s="32"/>
      <c r="J242" s="32">
        <f>IF(Source!BC66&lt;&gt; 0, Source!BC66, 1)</f>
        <v>4.88</v>
      </c>
      <c r="K242" s="31">
        <f>Source!O66</f>
        <v>150081.78</v>
      </c>
      <c r="L242" s="33"/>
      <c r="S242">
        <f>ROUND((Source!FX66/100)*((ROUND(Source!AF66*Source!I66, 2)+ROUND(Source!AE66*Source!I66, 2))), 2)</f>
        <v>0</v>
      </c>
      <c r="T242">
        <f>Source!X66</f>
        <v>0</v>
      </c>
      <c r="U242">
        <f>ROUND((Source!FY66/100)*((ROUND(Source!AF66*Source!I66, 2)+ROUND(Source!AE66*Source!I66, 2))), 2)</f>
        <v>0</v>
      </c>
      <c r="V242">
        <f>Source!Y66</f>
        <v>0</v>
      </c>
      <c r="W242">
        <f>IF(Source!BI66&lt;=1,H242, 0)</f>
        <v>0</v>
      </c>
      <c r="X242">
        <f>IF(Source!BI66=2,H242, 0)</f>
        <v>30754.46</v>
      </c>
      <c r="Y242">
        <f>IF(Source!BI66=3,H242, 0)</f>
        <v>0</v>
      </c>
      <c r="Z242">
        <f>IF(Source!BI66=4,H242, 0)</f>
        <v>0</v>
      </c>
    </row>
    <row r="243" spans="1:26" ht="28.5" x14ac:dyDescent="0.2">
      <c r="A243" s="49" t="str">
        <f>Source!E67</f>
        <v>22,3</v>
      </c>
      <c r="B243" s="50" t="str">
        <f>Source!F67</f>
        <v>21.1.06.10-0185</v>
      </c>
      <c r="C243" s="50" t="str">
        <f>Source!G67</f>
        <v>Кабель силовой  с медными жилами  4х4 бронированый прим.</v>
      </c>
      <c r="D243" s="36" t="str">
        <f>Source!H67</f>
        <v>1000 м</v>
      </c>
      <c r="E243" s="37">
        <f>Source!I67</f>
        <v>0.3</v>
      </c>
      <c r="F243" s="38">
        <f>Source!AL67+Source!AM67+Source!AO67</f>
        <v>88380.62</v>
      </c>
      <c r="G243" s="43" t="s">
        <v>3</v>
      </c>
      <c r="H243" s="38">
        <f>ROUND(Source!AC67*Source!I67, 2)+ROUND(Source!AD67*Source!I67, 2)+ROUND(Source!AF67*Source!I67, 2)</f>
        <v>26514.19</v>
      </c>
      <c r="I243" s="39"/>
      <c r="J243" s="39">
        <f>IF(Source!BC67&lt;&gt; 0, Source!BC67, 1)</f>
        <v>4.88</v>
      </c>
      <c r="K243" s="38">
        <f>Source!O67</f>
        <v>129389.23</v>
      </c>
      <c r="L243" s="44"/>
      <c r="S243">
        <f>ROUND((Source!FX67/100)*((ROUND(Source!AF67*Source!I67, 2)+ROUND(Source!AE67*Source!I67, 2))), 2)</f>
        <v>0</v>
      </c>
      <c r="T243">
        <f>Source!X67</f>
        <v>0</v>
      </c>
      <c r="U243">
        <f>ROUND((Source!FY67/100)*((ROUND(Source!AF67*Source!I67, 2)+ROUND(Source!AE67*Source!I67, 2))), 2)</f>
        <v>0</v>
      </c>
      <c r="V243">
        <f>Source!Y67</f>
        <v>0</v>
      </c>
      <c r="W243">
        <f>IF(Source!BI67&lt;=1,H243, 0)</f>
        <v>0</v>
      </c>
      <c r="X243">
        <f>IF(Source!BI67=2,H243, 0)</f>
        <v>26514.19</v>
      </c>
      <c r="Y243">
        <f>IF(Source!BI67=3,H243, 0)</f>
        <v>0</v>
      </c>
      <c r="Z243">
        <f>IF(Source!BI67=4,H243, 0)</f>
        <v>0</v>
      </c>
    </row>
    <row r="244" spans="1:26" ht="15" x14ac:dyDescent="0.25">
      <c r="G244" s="57">
        <f>H234+H235+H237+H238+H239+SUM(H241:H243)</f>
        <v>102782.35</v>
      </c>
      <c r="H244" s="57"/>
      <c r="J244" s="57">
        <f>K234+K235+K237+K238+K239+SUM(K241:K243)</f>
        <v>501577.87999999995</v>
      </c>
      <c r="K244" s="57"/>
      <c r="L244" s="41">
        <f>Source!U64</f>
        <v>99.09</v>
      </c>
      <c r="O244" s="23">
        <f>G244</f>
        <v>102782.35</v>
      </c>
      <c r="P244" s="23">
        <f>J244</f>
        <v>501577.87999999995</v>
      </c>
      <c r="Q244" s="23">
        <f>L244</f>
        <v>99.09</v>
      </c>
      <c r="W244">
        <f>IF(Source!BI64&lt;=1,H234+H235+H237+H238+H239, 0)</f>
        <v>0</v>
      </c>
      <c r="X244">
        <f>IF(Source!BI64=2,H234+H235+H237+H238+H239, 0)</f>
        <v>3845.21</v>
      </c>
      <c r="Y244">
        <f>IF(Source!BI64=3,H234+H235+H237+H238+H239, 0)</f>
        <v>0</v>
      </c>
      <c r="Z244">
        <f>IF(Source!BI64=4,H234+H235+H237+H238+H239, 0)</f>
        <v>0</v>
      </c>
    </row>
    <row r="245" spans="1:26" ht="28.5" x14ac:dyDescent="0.2">
      <c r="A245" s="47" t="str">
        <f>Source!E68</f>
        <v>23</v>
      </c>
      <c r="B245" s="48" t="str">
        <f>Source!F68</f>
        <v>м08-10-010-01</v>
      </c>
      <c r="C245" s="48" t="str">
        <f>Source!G68</f>
        <v>Прокладка труб гофрированных ПВХ для защиты проводов и кабелей</v>
      </c>
      <c r="D245" s="30" t="str">
        <f>Source!H68</f>
        <v>100 м</v>
      </c>
      <c r="E245" s="10">
        <f>Source!I68</f>
        <v>2</v>
      </c>
      <c r="F245" s="31">
        <f>Source!AL68+Source!AM68+Source!AO68</f>
        <v>156.32999999999998</v>
      </c>
      <c r="G245" s="32"/>
      <c r="H245" s="31"/>
      <c r="I245" s="32" t="str">
        <f>Source!BO68</f>
        <v/>
      </c>
      <c r="J245" s="32"/>
      <c r="K245" s="31"/>
      <c r="L245" s="33"/>
      <c r="S245">
        <f>ROUND((Source!FX68/100)*((ROUND(Source!AF68*Source!I68, 2)+ROUND(Source!AE68*Source!I68, 2))), 2)</f>
        <v>265.13</v>
      </c>
      <c r="T245">
        <f>Source!X68</f>
        <v>1293.81</v>
      </c>
      <c r="U245">
        <f>ROUND((Source!FY68/100)*((ROUND(Source!AF68*Source!I68, 2)+ROUND(Source!AE68*Source!I68, 2))), 2)</f>
        <v>181.4</v>
      </c>
      <c r="V245">
        <f>Source!Y68</f>
        <v>885.24</v>
      </c>
    </row>
    <row r="246" spans="1:26" x14ac:dyDescent="0.2">
      <c r="C246" s="25" t="str">
        <f>"Объем: "&amp;Source!I68&amp;"=200/"&amp;"100"</f>
        <v>Объем: 2=200/100</v>
      </c>
    </row>
    <row r="247" spans="1:26" ht="14.25" x14ac:dyDescent="0.2">
      <c r="A247" s="47"/>
      <c r="B247" s="48"/>
      <c r="C247" s="48" t="s">
        <v>657</v>
      </c>
      <c r="D247" s="30"/>
      <c r="E247" s="10"/>
      <c r="F247" s="31">
        <f>Source!AO68</f>
        <v>139.54</v>
      </c>
      <c r="G247" s="32" t="str">
        <f>Source!DG68</f>
        <v/>
      </c>
      <c r="H247" s="31">
        <f>ROUND(Source!AF68*Source!I68, 2)</f>
        <v>279.08</v>
      </c>
      <c r="I247" s="32"/>
      <c r="J247" s="32">
        <f>IF(Source!BA68&lt;&gt; 0, Source!BA68, 1)</f>
        <v>4.88</v>
      </c>
      <c r="K247" s="31">
        <f>Source!S68</f>
        <v>1361.91</v>
      </c>
      <c r="L247" s="33"/>
      <c r="R247">
        <f>H247</f>
        <v>279.08</v>
      </c>
    </row>
    <row r="248" spans="1:26" ht="14.25" x14ac:dyDescent="0.2">
      <c r="A248" s="47"/>
      <c r="B248" s="48"/>
      <c r="C248" s="48" t="s">
        <v>664</v>
      </c>
      <c r="D248" s="30"/>
      <c r="E248" s="10"/>
      <c r="F248" s="31">
        <f>Source!AL68</f>
        <v>16.79</v>
      </c>
      <c r="G248" s="32" t="str">
        <f>Source!DD68</f>
        <v/>
      </c>
      <c r="H248" s="31">
        <f>ROUND(Source!AC68*Source!I68, 2)</f>
        <v>33.58</v>
      </c>
      <c r="I248" s="32"/>
      <c r="J248" s="32">
        <f>IF(Source!BC68&lt;&gt; 0, Source!BC68, 1)</f>
        <v>4.88</v>
      </c>
      <c r="K248" s="31">
        <f>Source!P68</f>
        <v>163.87</v>
      </c>
      <c r="L248" s="33"/>
    </row>
    <row r="249" spans="1:26" ht="14.25" x14ac:dyDescent="0.2">
      <c r="A249" s="47"/>
      <c r="B249" s="48"/>
      <c r="C249" s="48" t="s">
        <v>659</v>
      </c>
      <c r="D249" s="30" t="s">
        <v>660</v>
      </c>
      <c r="E249" s="10">
        <f>Source!BZ68</f>
        <v>95</v>
      </c>
      <c r="F249" s="51"/>
      <c r="G249" s="32"/>
      <c r="H249" s="31">
        <f>SUM(S245:S252)</f>
        <v>265.13</v>
      </c>
      <c r="I249" s="35"/>
      <c r="J249" s="28">
        <f>Source!AT68</f>
        <v>95</v>
      </c>
      <c r="K249" s="31">
        <f>SUM(T245:T252)</f>
        <v>1293.81</v>
      </c>
      <c r="L249" s="33"/>
    </row>
    <row r="250" spans="1:26" ht="14.25" x14ac:dyDescent="0.2">
      <c r="A250" s="47"/>
      <c r="B250" s="48"/>
      <c r="C250" s="48" t="s">
        <v>661</v>
      </c>
      <c r="D250" s="30" t="s">
        <v>660</v>
      </c>
      <c r="E250" s="10">
        <f>Source!CA68</f>
        <v>65</v>
      </c>
      <c r="F250" s="51"/>
      <c r="G250" s="32"/>
      <c r="H250" s="31">
        <f>SUM(U245:U252)</f>
        <v>181.4</v>
      </c>
      <c r="I250" s="35"/>
      <c r="J250" s="28">
        <f>Source!AU68</f>
        <v>65</v>
      </c>
      <c r="K250" s="31">
        <f>SUM(V245:V252)</f>
        <v>885.24</v>
      </c>
      <c r="L250" s="33"/>
    </row>
    <row r="251" spans="1:26" ht="14.25" x14ac:dyDescent="0.2">
      <c r="A251" s="47"/>
      <c r="B251" s="48"/>
      <c r="C251" s="48" t="s">
        <v>662</v>
      </c>
      <c r="D251" s="30" t="s">
        <v>663</v>
      </c>
      <c r="E251" s="10">
        <f>Source!AQ68</f>
        <v>15.2</v>
      </c>
      <c r="F251" s="31"/>
      <c r="G251" s="32" t="str">
        <f>Source!DI68</f>
        <v/>
      </c>
      <c r="H251" s="31"/>
      <c r="I251" s="32"/>
      <c r="J251" s="32"/>
      <c r="K251" s="31"/>
      <c r="L251" s="42">
        <f>Source!U68</f>
        <v>30.4</v>
      </c>
    </row>
    <row r="252" spans="1:26" ht="42.75" x14ac:dyDescent="0.2">
      <c r="A252" s="49" t="str">
        <f>Source!E69</f>
        <v>23,1</v>
      </c>
      <c r="B252" s="50" t="str">
        <f>Source!F69</f>
        <v>24.3.01.02-0012</v>
      </c>
      <c r="C252" s="50" t="str">
        <f>Source!G69</f>
        <v>Трубы гибкие гофрированные легкие из самозатухающего ПВХ (IP55) серии FL, диаметром 20 мм</v>
      </c>
      <c r="D252" s="36" t="str">
        <f>Source!H69</f>
        <v>10 м</v>
      </c>
      <c r="E252" s="37">
        <f>Source!I69</f>
        <v>20</v>
      </c>
      <c r="F252" s="38">
        <f>Source!AL69+Source!AM69+Source!AO69</f>
        <v>39.700000000000003</v>
      </c>
      <c r="G252" s="43" t="s">
        <v>3</v>
      </c>
      <c r="H252" s="38">
        <f>ROUND(Source!AC69*Source!I69, 2)+ROUND(Source!AD69*Source!I69, 2)+ROUND(Source!AF69*Source!I69, 2)</f>
        <v>794</v>
      </c>
      <c r="I252" s="39"/>
      <c r="J252" s="39">
        <f>IF(Source!BC69&lt;&gt; 0, Source!BC69, 1)</f>
        <v>4.88</v>
      </c>
      <c r="K252" s="38">
        <f>Source!O69</f>
        <v>3874.72</v>
      </c>
      <c r="L252" s="44"/>
      <c r="S252">
        <f>ROUND((Source!FX69/100)*((ROUND(Source!AF69*Source!I69, 2)+ROUND(Source!AE69*Source!I69, 2))), 2)</f>
        <v>0</v>
      </c>
      <c r="T252">
        <f>Source!X69</f>
        <v>0</v>
      </c>
      <c r="U252">
        <f>ROUND((Source!FY69/100)*((ROUND(Source!AF69*Source!I69, 2)+ROUND(Source!AE69*Source!I69, 2))), 2)</f>
        <v>0</v>
      </c>
      <c r="V252">
        <f>Source!Y69</f>
        <v>0</v>
      </c>
      <c r="W252">
        <f>IF(Source!BI69&lt;=1,H252, 0)</f>
        <v>0</v>
      </c>
      <c r="X252">
        <f>IF(Source!BI69=2,H252, 0)</f>
        <v>794</v>
      </c>
      <c r="Y252">
        <f>IF(Source!BI69=3,H252, 0)</f>
        <v>0</v>
      </c>
      <c r="Z252">
        <f>IF(Source!BI69=4,H252, 0)</f>
        <v>0</v>
      </c>
    </row>
    <row r="253" spans="1:26" ht="15" x14ac:dyDescent="0.25">
      <c r="G253" s="57">
        <f>H247+H248+H249+H250+SUM(H252:H252)</f>
        <v>1553.19</v>
      </c>
      <c r="H253" s="57"/>
      <c r="J253" s="57">
        <f>K247+K248+K249+K250+SUM(K252:K252)</f>
        <v>7579.5499999999993</v>
      </c>
      <c r="K253" s="57"/>
      <c r="L253" s="41">
        <f>Source!U68</f>
        <v>30.4</v>
      </c>
      <c r="O253" s="23">
        <f>G253</f>
        <v>1553.19</v>
      </c>
      <c r="P253" s="23">
        <f>J253</f>
        <v>7579.5499999999993</v>
      </c>
      <c r="Q253" s="23">
        <f>L253</f>
        <v>30.4</v>
      </c>
      <c r="W253">
        <f>IF(Source!BI68&lt;=1,H247+H248+H249+H250, 0)</f>
        <v>0</v>
      </c>
      <c r="X253">
        <f>IF(Source!BI68=2,H247+H248+H249+H250, 0)</f>
        <v>759.18999999999994</v>
      </c>
      <c r="Y253">
        <f>IF(Source!BI68=3,H247+H248+H249+H250, 0)</f>
        <v>0</v>
      </c>
      <c r="Z253">
        <f>IF(Source!BI68=4,H247+H248+H249+H250, 0)</f>
        <v>0</v>
      </c>
    </row>
    <row r="254" spans="1:26" ht="28.5" x14ac:dyDescent="0.2">
      <c r="A254" s="47" t="str">
        <f>Source!E70</f>
        <v>24</v>
      </c>
      <c r="B254" s="48" t="str">
        <f>Source!F70</f>
        <v>м08-02-472-02</v>
      </c>
      <c r="C254" s="48" t="str">
        <f>Source!G70</f>
        <v>Заземлитель горизонтальный из стали полосовой сечением 160 мм2</v>
      </c>
      <c r="D254" s="30" t="str">
        <f>Source!H70</f>
        <v>100 м</v>
      </c>
      <c r="E254" s="10">
        <f>Source!I70</f>
        <v>0.2</v>
      </c>
      <c r="F254" s="31">
        <f>Source!AL70+Source!AM70+Source!AO70</f>
        <v>1115.5</v>
      </c>
      <c r="G254" s="32"/>
      <c r="H254" s="31"/>
      <c r="I254" s="32" t="str">
        <f>Source!BO70</f>
        <v/>
      </c>
      <c r="J254" s="32"/>
      <c r="K254" s="31"/>
      <c r="L254" s="33"/>
      <c r="S254">
        <f>ROUND((Source!FX70/100)*((ROUND(Source!AF70*Source!I70, 2)+ROUND(Source!AE70*Source!I70, 2))), 2)</f>
        <v>30.69</v>
      </c>
      <c r="T254">
        <f>Source!X70</f>
        <v>149.81</v>
      </c>
      <c r="U254">
        <f>ROUND((Source!FY70/100)*((ROUND(Source!AF70*Source!I70, 2)+ROUND(Source!AE70*Source!I70, 2))), 2)</f>
        <v>21</v>
      </c>
      <c r="V254">
        <f>Source!Y70</f>
        <v>102.5</v>
      </c>
    </row>
    <row r="255" spans="1:26" x14ac:dyDescent="0.2">
      <c r="C255" s="25" t="str">
        <f>"Объем: "&amp;Source!I70&amp;"=20/"&amp;"100"</f>
        <v>Объем: 0,2=20/100</v>
      </c>
    </row>
    <row r="256" spans="1:26" ht="14.25" x14ac:dyDescent="0.2">
      <c r="A256" s="47"/>
      <c r="B256" s="48"/>
      <c r="C256" s="48" t="s">
        <v>657</v>
      </c>
      <c r="D256" s="30"/>
      <c r="E256" s="10"/>
      <c r="F256" s="31">
        <f>Source!AO70</f>
        <v>156.04</v>
      </c>
      <c r="G256" s="32" t="str">
        <f>Source!DG70</f>
        <v/>
      </c>
      <c r="H256" s="31">
        <f>ROUND(Source!AF70*Source!I70, 2)</f>
        <v>31.21</v>
      </c>
      <c r="I256" s="32"/>
      <c r="J256" s="32">
        <f>IF(Source!BA70&lt;&gt; 0, Source!BA70, 1)</f>
        <v>4.88</v>
      </c>
      <c r="K256" s="31">
        <f>Source!S70</f>
        <v>152.30000000000001</v>
      </c>
      <c r="L256" s="33"/>
      <c r="R256">
        <f>H256</f>
        <v>31.21</v>
      </c>
    </row>
    <row r="257" spans="1:26" ht="14.25" x14ac:dyDescent="0.2">
      <c r="A257" s="47"/>
      <c r="B257" s="48"/>
      <c r="C257" s="48" t="s">
        <v>303</v>
      </c>
      <c r="D257" s="30"/>
      <c r="E257" s="10"/>
      <c r="F257" s="31">
        <f>Source!AM70</f>
        <v>64.45</v>
      </c>
      <c r="G257" s="32" t="str">
        <f>Source!DE70</f>
        <v/>
      </c>
      <c r="H257" s="31">
        <f>ROUND(Source!AD70*Source!I70, 2)</f>
        <v>12.89</v>
      </c>
      <c r="I257" s="32"/>
      <c r="J257" s="32">
        <f>IF(Source!BB70&lt;&gt; 0, Source!BB70, 1)</f>
        <v>4.88</v>
      </c>
      <c r="K257" s="31">
        <f>Source!Q70</f>
        <v>62.9</v>
      </c>
      <c r="L257" s="33"/>
    </row>
    <row r="258" spans="1:26" ht="14.25" x14ac:dyDescent="0.2">
      <c r="A258" s="47"/>
      <c r="B258" s="48"/>
      <c r="C258" s="48" t="s">
        <v>658</v>
      </c>
      <c r="D258" s="30"/>
      <c r="E258" s="10"/>
      <c r="F258" s="31">
        <f>Source!AN70</f>
        <v>5.52</v>
      </c>
      <c r="G258" s="32" t="str">
        <f>Source!DF70</f>
        <v/>
      </c>
      <c r="H258" s="34">
        <f>ROUND(Source!AE70*Source!I70, 2)</f>
        <v>1.1000000000000001</v>
      </c>
      <c r="I258" s="32"/>
      <c r="J258" s="32">
        <f>IF(Source!BS70&lt;&gt; 0, Source!BS70, 1)</f>
        <v>4.88</v>
      </c>
      <c r="K258" s="34">
        <f>Source!R70</f>
        <v>5.39</v>
      </c>
      <c r="L258" s="33"/>
      <c r="R258">
        <f>H258</f>
        <v>1.1000000000000001</v>
      </c>
    </row>
    <row r="259" spans="1:26" ht="14.25" x14ac:dyDescent="0.2">
      <c r="A259" s="47"/>
      <c r="B259" s="48"/>
      <c r="C259" s="48" t="s">
        <v>664</v>
      </c>
      <c r="D259" s="30"/>
      <c r="E259" s="10"/>
      <c r="F259" s="31">
        <f>Source!AL70</f>
        <v>895.01</v>
      </c>
      <c r="G259" s="32" t="str">
        <f>Source!DD70</f>
        <v/>
      </c>
      <c r="H259" s="31">
        <f>ROUND(Source!AC70*Source!I70, 2)</f>
        <v>179</v>
      </c>
      <c r="I259" s="32"/>
      <c r="J259" s="32">
        <f>IF(Source!BC70&lt;&gt; 0, Source!BC70, 1)</f>
        <v>4.88</v>
      </c>
      <c r="K259" s="31">
        <f>Source!P70</f>
        <v>873.53</v>
      </c>
      <c r="L259" s="33"/>
    </row>
    <row r="260" spans="1:26" ht="14.25" x14ac:dyDescent="0.2">
      <c r="A260" s="47"/>
      <c r="B260" s="48"/>
      <c r="C260" s="48" t="s">
        <v>659</v>
      </c>
      <c r="D260" s="30" t="s">
        <v>660</v>
      </c>
      <c r="E260" s="10">
        <f>Source!BZ70</f>
        <v>95</v>
      </c>
      <c r="F260" s="51"/>
      <c r="G260" s="32"/>
      <c r="H260" s="31">
        <f>SUM(S254:S263)</f>
        <v>30.69</v>
      </c>
      <c r="I260" s="35"/>
      <c r="J260" s="28">
        <f>Source!AT70</f>
        <v>95</v>
      </c>
      <c r="K260" s="31">
        <f>SUM(T254:T263)</f>
        <v>149.81</v>
      </c>
      <c r="L260" s="33"/>
    </row>
    <row r="261" spans="1:26" ht="14.25" x14ac:dyDescent="0.2">
      <c r="A261" s="47"/>
      <c r="B261" s="48"/>
      <c r="C261" s="48" t="s">
        <v>661</v>
      </c>
      <c r="D261" s="30" t="s">
        <v>660</v>
      </c>
      <c r="E261" s="10">
        <f>Source!CA70</f>
        <v>65</v>
      </c>
      <c r="F261" s="51"/>
      <c r="G261" s="32"/>
      <c r="H261" s="31">
        <f>SUM(U254:U263)</f>
        <v>21</v>
      </c>
      <c r="I261" s="35"/>
      <c r="J261" s="28">
        <f>Source!AU70</f>
        <v>65</v>
      </c>
      <c r="K261" s="31">
        <f>SUM(V254:V263)</f>
        <v>102.5</v>
      </c>
      <c r="L261" s="33"/>
    </row>
    <row r="262" spans="1:26" ht="14.25" x14ac:dyDescent="0.2">
      <c r="A262" s="47"/>
      <c r="B262" s="48"/>
      <c r="C262" s="48" t="s">
        <v>662</v>
      </c>
      <c r="D262" s="30" t="s">
        <v>663</v>
      </c>
      <c r="E262" s="10">
        <f>Source!AQ70</f>
        <v>16.600000000000001</v>
      </c>
      <c r="F262" s="31"/>
      <c r="G262" s="32" t="str">
        <f>Source!DI70</f>
        <v/>
      </c>
      <c r="H262" s="31"/>
      <c r="I262" s="32"/>
      <c r="J262" s="32"/>
      <c r="K262" s="31"/>
      <c r="L262" s="42">
        <f>Source!U70</f>
        <v>3.3200000000000003</v>
      </c>
    </row>
    <row r="263" spans="1:26" ht="14.25" x14ac:dyDescent="0.2">
      <c r="A263" s="49" t="str">
        <f>Source!E71</f>
        <v>24,1</v>
      </c>
      <c r="B263" s="50" t="str">
        <f>Source!F71</f>
        <v>08.3.07.01-0041</v>
      </c>
      <c r="C263" s="50" t="str">
        <f>Source!G71</f>
        <v>Сталь полосовая 40х4 мм</v>
      </c>
      <c r="D263" s="36" t="str">
        <f>Source!H71</f>
        <v>т</v>
      </c>
      <c r="E263" s="37">
        <f>Source!I71</f>
        <v>9.8000000000000004E-2</v>
      </c>
      <c r="F263" s="38">
        <f>Source!AL71+Source!AM71+Source!AO71</f>
        <v>6100</v>
      </c>
      <c r="G263" s="43" t="s">
        <v>3</v>
      </c>
      <c r="H263" s="38">
        <f>ROUND(Source!AC71*Source!I71, 2)+ROUND(Source!AD71*Source!I71, 2)+ROUND(Source!AF71*Source!I71, 2)</f>
        <v>597.79999999999995</v>
      </c>
      <c r="I263" s="39"/>
      <c r="J263" s="39">
        <f>IF(Source!BC71&lt;&gt; 0, Source!BC71, 1)</f>
        <v>4.88</v>
      </c>
      <c r="K263" s="38">
        <f>Source!O71</f>
        <v>2917.26</v>
      </c>
      <c r="L263" s="44"/>
      <c r="S263">
        <f>ROUND((Source!FX71/100)*((ROUND(Source!AF71*Source!I71, 2)+ROUND(Source!AE71*Source!I71, 2))), 2)</f>
        <v>0</v>
      </c>
      <c r="T263">
        <f>Source!X71</f>
        <v>0</v>
      </c>
      <c r="U263">
        <f>ROUND((Source!FY71/100)*((ROUND(Source!AF71*Source!I71, 2)+ROUND(Source!AE71*Source!I71, 2))), 2)</f>
        <v>0</v>
      </c>
      <c r="V263">
        <f>Source!Y71</f>
        <v>0</v>
      </c>
      <c r="W263">
        <f>IF(Source!BI71&lt;=1,H263, 0)</f>
        <v>0</v>
      </c>
      <c r="X263">
        <f>IF(Source!BI71=2,H263, 0)</f>
        <v>597.79999999999995</v>
      </c>
      <c r="Y263">
        <f>IF(Source!BI71=3,H263, 0)</f>
        <v>0</v>
      </c>
      <c r="Z263">
        <f>IF(Source!BI71=4,H263, 0)</f>
        <v>0</v>
      </c>
    </row>
    <row r="264" spans="1:26" ht="15" x14ac:dyDescent="0.25">
      <c r="G264" s="57">
        <f>H256+H257+H259+H260+H261+SUM(H263:H263)</f>
        <v>872.58999999999992</v>
      </c>
      <c r="H264" s="57"/>
      <c r="J264" s="57">
        <f>K256+K257+K259+K260+K261+SUM(K263:K263)</f>
        <v>4258.3</v>
      </c>
      <c r="K264" s="57"/>
      <c r="L264" s="41">
        <f>Source!U70</f>
        <v>3.3200000000000003</v>
      </c>
      <c r="O264" s="23">
        <f>G264</f>
        <v>872.58999999999992</v>
      </c>
      <c r="P264" s="23">
        <f>J264</f>
        <v>4258.3</v>
      </c>
      <c r="Q264" s="23">
        <f>L264</f>
        <v>3.3200000000000003</v>
      </c>
      <c r="W264">
        <f>IF(Source!BI70&lt;=1,H256+H257+H259+H260+H261, 0)</f>
        <v>0</v>
      </c>
      <c r="X264">
        <f>IF(Source!BI70=2,H256+H257+H259+H260+H261, 0)</f>
        <v>274.78999999999996</v>
      </c>
      <c r="Y264">
        <f>IF(Source!BI70=3,H256+H257+H259+H260+H261, 0)</f>
        <v>0</v>
      </c>
      <c r="Z264">
        <f>IF(Source!BI70=4,H256+H257+H259+H260+H261, 0)</f>
        <v>0</v>
      </c>
    </row>
    <row r="265" spans="1:26" ht="71.25" x14ac:dyDescent="0.2">
      <c r="A265" s="47" t="str">
        <f>Source!E72</f>
        <v>25</v>
      </c>
      <c r="B265" s="48" t="str">
        <f>Source!F72</f>
        <v>м08-02-412-02</v>
      </c>
      <c r="C265" s="48" t="str">
        <f>Source!G72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265" s="30" t="str">
        <f>Source!H72</f>
        <v>100 м</v>
      </c>
      <c r="E265" s="10">
        <f>Source!I72</f>
        <v>2</v>
      </c>
      <c r="F265" s="31">
        <f>Source!AL72+Source!AM72+Source!AO72</f>
        <v>68.7</v>
      </c>
      <c r="G265" s="32"/>
      <c r="H265" s="31"/>
      <c r="I265" s="32" t="str">
        <f>Source!BO72</f>
        <v/>
      </c>
      <c r="J265" s="32"/>
      <c r="K265" s="31"/>
      <c r="L265" s="33"/>
      <c r="S265">
        <f>ROUND((Source!FX72/100)*((ROUND(Source!AF72*Source!I72, 2)+ROUND(Source!AE72*Source!I72, 2))), 2)</f>
        <v>97.22</v>
      </c>
      <c r="T265">
        <f>Source!X72</f>
        <v>474.45</v>
      </c>
      <c r="U265">
        <f>ROUND((Source!FY72/100)*((ROUND(Source!AF72*Source!I72, 2)+ROUND(Source!AE72*Source!I72, 2))), 2)</f>
        <v>66.52</v>
      </c>
      <c r="V265">
        <f>Source!Y72</f>
        <v>324.62</v>
      </c>
    </row>
    <row r="266" spans="1:26" x14ac:dyDescent="0.2">
      <c r="C266" s="25" t="str">
        <f>"Объем: "&amp;Source!I72&amp;"=200/"&amp;"100"</f>
        <v>Объем: 2=200/100</v>
      </c>
    </row>
    <row r="267" spans="1:26" ht="14.25" x14ac:dyDescent="0.2">
      <c r="A267" s="47"/>
      <c r="B267" s="48"/>
      <c r="C267" s="48" t="s">
        <v>657</v>
      </c>
      <c r="D267" s="30"/>
      <c r="E267" s="10"/>
      <c r="F267" s="31">
        <f>Source!AO72</f>
        <v>50.67</v>
      </c>
      <c r="G267" s="32" t="str">
        <f>Source!DG72</f>
        <v/>
      </c>
      <c r="H267" s="31">
        <f>ROUND(Source!AF72*Source!I72, 2)</f>
        <v>101.34</v>
      </c>
      <c r="I267" s="32"/>
      <c r="J267" s="32">
        <f>IF(Source!BA72&lt;&gt; 0, Source!BA72, 1)</f>
        <v>4.88</v>
      </c>
      <c r="K267" s="31">
        <f>Source!S72</f>
        <v>494.54</v>
      </c>
      <c r="L267" s="33"/>
      <c r="R267">
        <f>H267</f>
        <v>101.34</v>
      </c>
    </row>
    <row r="268" spans="1:26" ht="14.25" x14ac:dyDescent="0.2">
      <c r="A268" s="47"/>
      <c r="B268" s="48"/>
      <c r="C268" s="48" t="s">
        <v>303</v>
      </c>
      <c r="D268" s="30"/>
      <c r="E268" s="10"/>
      <c r="F268" s="31">
        <f>Source!AM72</f>
        <v>3.55</v>
      </c>
      <c r="G268" s="32" t="str">
        <f>Source!DE72</f>
        <v/>
      </c>
      <c r="H268" s="31">
        <f>ROUND(Source!AD72*Source!I72, 2)</f>
        <v>7.1</v>
      </c>
      <c r="I268" s="32"/>
      <c r="J268" s="32">
        <f>IF(Source!BB72&lt;&gt; 0, Source!BB72, 1)</f>
        <v>4.88</v>
      </c>
      <c r="K268" s="31">
        <f>Source!Q72</f>
        <v>34.65</v>
      </c>
      <c r="L268" s="33"/>
    </row>
    <row r="269" spans="1:26" ht="14.25" x14ac:dyDescent="0.2">
      <c r="A269" s="47"/>
      <c r="B269" s="48"/>
      <c r="C269" s="48" t="s">
        <v>658</v>
      </c>
      <c r="D269" s="30"/>
      <c r="E269" s="10"/>
      <c r="F269" s="31">
        <f>Source!AN72</f>
        <v>0.5</v>
      </c>
      <c r="G269" s="32" t="str">
        <f>Source!DF72</f>
        <v/>
      </c>
      <c r="H269" s="34">
        <f>ROUND(Source!AE72*Source!I72, 2)</f>
        <v>1</v>
      </c>
      <c r="I269" s="32"/>
      <c r="J269" s="32">
        <f>IF(Source!BS72&lt;&gt; 0, Source!BS72, 1)</f>
        <v>4.88</v>
      </c>
      <c r="K269" s="34">
        <f>Source!R72</f>
        <v>4.88</v>
      </c>
      <c r="L269" s="33"/>
      <c r="R269">
        <f>H269</f>
        <v>1</v>
      </c>
    </row>
    <row r="270" spans="1:26" ht="14.25" x14ac:dyDescent="0.2">
      <c r="A270" s="47"/>
      <c r="B270" s="48"/>
      <c r="C270" s="48" t="s">
        <v>664</v>
      </c>
      <c r="D270" s="30"/>
      <c r="E270" s="10"/>
      <c r="F270" s="31">
        <f>Source!AL72</f>
        <v>14.48</v>
      </c>
      <c r="G270" s="32" t="str">
        <f>Source!DD72</f>
        <v/>
      </c>
      <c r="H270" s="31">
        <f>ROUND(Source!AC72*Source!I72, 2)</f>
        <v>28.96</v>
      </c>
      <c r="I270" s="32"/>
      <c r="J270" s="32">
        <f>IF(Source!BC72&lt;&gt; 0, Source!BC72, 1)</f>
        <v>4.88</v>
      </c>
      <c r="K270" s="31">
        <f>Source!P72</f>
        <v>141.32</v>
      </c>
      <c r="L270" s="33"/>
    </row>
    <row r="271" spans="1:26" ht="14.25" x14ac:dyDescent="0.2">
      <c r="A271" s="47"/>
      <c r="B271" s="48"/>
      <c r="C271" s="48" t="s">
        <v>659</v>
      </c>
      <c r="D271" s="30" t="s">
        <v>660</v>
      </c>
      <c r="E271" s="10">
        <f>Source!BZ72</f>
        <v>95</v>
      </c>
      <c r="F271" s="51"/>
      <c r="G271" s="32"/>
      <c r="H271" s="31">
        <f>SUM(S265:S274)</f>
        <v>97.22</v>
      </c>
      <c r="I271" s="35"/>
      <c r="J271" s="28">
        <f>Source!AT72</f>
        <v>95</v>
      </c>
      <c r="K271" s="31">
        <f>SUM(T265:T274)</f>
        <v>474.45</v>
      </c>
      <c r="L271" s="33"/>
    </row>
    <row r="272" spans="1:26" ht="14.25" x14ac:dyDescent="0.2">
      <c r="A272" s="47"/>
      <c r="B272" s="48"/>
      <c r="C272" s="48" t="s">
        <v>661</v>
      </c>
      <c r="D272" s="30" t="s">
        <v>660</v>
      </c>
      <c r="E272" s="10">
        <f>Source!CA72</f>
        <v>65</v>
      </c>
      <c r="F272" s="51"/>
      <c r="G272" s="32"/>
      <c r="H272" s="31">
        <f>SUM(U265:U274)</f>
        <v>66.52</v>
      </c>
      <c r="I272" s="35"/>
      <c r="J272" s="28">
        <f>Source!AU72</f>
        <v>65</v>
      </c>
      <c r="K272" s="31">
        <f>SUM(V265:V274)</f>
        <v>324.62</v>
      </c>
      <c r="L272" s="33"/>
    </row>
    <row r="273" spans="1:26" ht="14.25" x14ac:dyDescent="0.2">
      <c r="A273" s="47"/>
      <c r="B273" s="48"/>
      <c r="C273" s="48" t="s">
        <v>662</v>
      </c>
      <c r="D273" s="30" t="s">
        <v>663</v>
      </c>
      <c r="E273" s="10">
        <f>Source!AQ72</f>
        <v>5.39</v>
      </c>
      <c r="F273" s="31"/>
      <c r="G273" s="32" t="str">
        <f>Source!DI72</f>
        <v/>
      </c>
      <c r="H273" s="31"/>
      <c r="I273" s="32"/>
      <c r="J273" s="32"/>
      <c r="K273" s="31"/>
      <c r="L273" s="42">
        <f>Source!U72</f>
        <v>10.78</v>
      </c>
    </row>
    <row r="274" spans="1:26" ht="85.5" x14ac:dyDescent="0.2">
      <c r="A274" s="49" t="str">
        <f>Source!E73</f>
        <v>25,1</v>
      </c>
      <c r="B274" s="50" t="str">
        <f>Source!F73</f>
        <v>21.1.06.09-0151</v>
      </c>
      <c r="C274" s="50" t="str">
        <f>Source!G73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274" s="36" t="str">
        <f>Source!H73</f>
        <v>1000 м</v>
      </c>
      <c r="E274" s="37">
        <f>Source!I73</f>
        <v>0.2</v>
      </c>
      <c r="F274" s="38">
        <f>Source!AL73+Source!AM73+Source!AO73</f>
        <v>4832.12</v>
      </c>
      <c r="G274" s="43" t="s">
        <v>3</v>
      </c>
      <c r="H274" s="38">
        <f>ROUND(Source!AC73*Source!I73, 2)+ROUND(Source!AD73*Source!I73, 2)+ROUND(Source!AF73*Source!I73, 2)</f>
        <v>966.42</v>
      </c>
      <c r="I274" s="39"/>
      <c r="J274" s="39">
        <f>IF(Source!BC73&lt;&gt; 0, Source!BC73, 1)</f>
        <v>4.88</v>
      </c>
      <c r="K274" s="38">
        <f>Source!O73</f>
        <v>4716.1499999999996</v>
      </c>
      <c r="L274" s="44"/>
      <c r="S274">
        <f>ROUND((Source!FX73/100)*((ROUND(Source!AF73*Source!I73, 2)+ROUND(Source!AE73*Source!I73, 2))), 2)</f>
        <v>0</v>
      </c>
      <c r="T274">
        <f>Source!X73</f>
        <v>0</v>
      </c>
      <c r="U274">
        <f>ROUND((Source!FY73/100)*((ROUND(Source!AF73*Source!I73, 2)+ROUND(Source!AE73*Source!I73, 2))), 2)</f>
        <v>0</v>
      </c>
      <c r="V274">
        <f>Source!Y73</f>
        <v>0</v>
      </c>
      <c r="W274">
        <f>IF(Source!BI73&lt;=1,H274, 0)</f>
        <v>0</v>
      </c>
      <c r="X274">
        <f>IF(Source!BI73=2,H274, 0)</f>
        <v>966.42</v>
      </c>
      <c r="Y274">
        <f>IF(Source!BI73=3,H274, 0)</f>
        <v>0</v>
      </c>
      <c r="Z274">
        <f>IF(Source!BI73=4,H274, 0)</f>
        <v>0</v>
      </c>
    </row>
    <row r="275" spans="1:26" ht="15" x14ac:dyDescent="0.25">
      <c r="G275" s="57">
        <f>H267+H268+H270+H271+H272+SUM(H274:H274)</f>
        <v>1267.56</v>
      </c>
      <c r="H275" s="57"/>
      <c r="J275" s="57">
        <f>K267+K268+K270+K271+K272+SUM(K274:K274)</f>
        <v>6185.73</v>
      </c>
      <c r="K275" s="57"/>
      <c r="L275" s="41">
        <f>Source!U72</f>
        <v>10.78</v>
      </c>
      <c r="O275" s="23">
        <f>G275</f>
        <v>1267.56</v>
      </c>
      <c r="P275" s="23">
        <f>J275</f>
        <v>6185.73</v>
      </c>
      <c r="Q275" s="23">
        <f>L275</f>
        <v>10.78</v>
      </c>
      <c r="W275">
        <f>IF(Source!BI72&lt;=1,H267+H268+H270+H271+H272, 0)</f>
        <v>0</v>
      </c>
      <c r="X275">
        <f>IF(Source!BI72=2,H267+H268+H270+H271+H272, 0)</f>
        <v>301.14</v>
      </c>
      <c r="Y275">
        <f>IF(Source!BI72=3,H267+H268+H270+H271+H272, 0)</f>
        <v>0</v>
      </c>
      <c r="Z275">
        <f>IF(Source!BI72=4,H267+H268+H270+H271+H272, 0)</f>
        <v>0</v>
      </c>
    </row>
    <row r="276" spans="1:26" ht="28.5" x14ac:dyDescent="0.2">
      <c r="A276" s="47" t="str">
        <f>Source!E74</f>
        <v>26</v>
      </c>
      <c r="B276" s="48" t="str">
        <f>Source!F74</f>
        <v>м08-02-143-01</v>
      </c>
      <c r="C276" s="48" t="str">
        <f>Source!G74</f>
        <v>Покрытие кабеля, проложенного в траншее кирпичом одного кабеля</v>
      </c>
      <c r="D276" s="30" t="str">
        <f>Source!H74</f>
        <v>100 м</v>
      </c>
      <c r="E276" s="10">
        <f>Source!I74</f>
        <v>13.5</v>
      </c>
      <c r="F276" s="31">
        <f>Source!AL74+Source!AM74+Source!AO74</f>
        <v>358.54</v>
      </c>
      <c r="G276" s="32"/>
      <c r="H276" s="31"/>
      <c r="I276" s="32" t="str">
        <f>Source!BO74</f>
        <v/>
      </c>
      <c r="J276" s="32"/>
      <c r="K276" s="31"/>
      <c r="L276" s="33"/>
      <c r="S276">
        <f>ROUND((Source!FX74/100)*((ROUND(Source!AF74*Source!I74, 2)+ROUND(Source!AE74*Source!I74, 2))), 2)</f>
        <v>1199.78</v>
      </c>
      <c r="T276">
        <f>Source!X74</f>
        <v>5854.93</v>
      </c>
      <c r="U276">
        <f>ROUND((Source!FY74/100)*((ROUND(Source!AF74*Source!I74, 2)+ROUND(Source!AE74*Source!I74, 2))), 2)</f>
        <v>820.9</v>
      </c>
      <c r="V276">
        <f>Source!Y74</f>
        <v>4006</v>
      </c>
    </row>
    <row r="277" spans="1:26" x14ac:dyDescent="0.2">
      <c r="C277" s="25" t="str">
        <f>"Объем: "&amp;Source!I74&amp;"=1550/"&amp;"100"</f>
        <v>Объем: 13,5=1550/100</v>
      </c>
    </row>
    <row r="278" spans="1:26" ht="14.25" x14ac:dyDescent="0.2">
      <c r="A278" s="47"/>
      <c r="B278" s="48"/>
      <c r="C278" s="48" t="s">
        <v>657</v>
      </c>
      <c r="D278" s="30"/>
      <c r="E278" s="10"/>
      <c r="F278" s="31">
        <f>Source!AO74</f>
        <v>50.12</v>
      </c>
      <c r="G278" s="32" t="str">
        <f>Source!DG74</f>
        <v/>
      </c>
      <c r="H278" s="31">
        <f>ROUND(Source!AF74*Source!I74, 2)</f>
        <v>676.62</v>
      </c>
      <c r="I278" s="32"/>
      <c r="J278" s="32">
        <f>IF(Source!BA74&lt;&gt; 0, Source!BA74, 1)</f>
        <v>4.88</v>
      </c>
      <c r="K278" s="31">
        <f>Source!S74</f>
        <v>3301.91</v>
      </c>
      <c r="L278" s="33"/>
      <c r="R278">
        <f>H278</f>
        <v>676.62</v>
      </c>
    </row>
    <row r="279" spans="1:26" ht="14.25" x14ac:dyDescent="0.2">
      <c r="A279" s="47"/>
      <c r="B279" s="48"/>
      <c r="C279" s="48" t="s">
        <v>303</v>
      </c>
      <c r="D279" s="30"/>
      <c r="E279" s="10"/>
      <c r="F279" s="31">
        <f>Source!AM74</f>
        <v>307.42</v>
      </c>
      <c r="G279" s="32" t="str">
        <f>Source!DE74</f>
        <v/>
      </c>
      <c r="H279" s="31">
        <f>ROUND(Source!AD74*Source!I74, 2)</f>
        <v>4150.17</v>
      </c>
      <c r="I279" s="32"/>
      <c r="J279" s="32">
        <f>IF(Source!BB74&lt;&gt; 0, Source!BB74, 1)</f>
        <v>4.88</v>
      </c>
      <c r="K279" s="31">
        <f>Source!Q74</f>
        <v>20252.830000000002</v>
      </c>
      <c r="L279" s="33"/>
    </row>
    <row r="280" spans="1:26" ht="14.25" x14ac:dyDescent="0.2">
      <c r="A280" s="47"/>
      <c r="B280" s="48"/>
      <c r="C280" s="48" t="s">
        <v>658</v>
      </c>
      <c r="D280" s="30"/>
      <c r="E280" s="10"/>
      <c r="F280" s="31">
        <f>Source!AN74</f>
        <v>43.43</v>
      </c>
      <c r="G280" s="32" t="str">
        <f>Source!DF74</f>
        <v/>
      </c>
      <c r="H280" s="34">
        <f>ROUND(Source!AE74*Source!I74, 2)</f>
        <v>586.30999999999995</v>
      </c>
      <c r="I280" s="32"/>
      <c r="J280" s="32">
        <f>IF(Source!BS74&lt;&gt; 0, Source!BS74, 1)</f>
        <v>4.88</v>
      </c>
      <c r="K280" s="34">
        <f>Source!R74</f>
        <v>2861.17</v>
      </c>
      <c r="L280" s="33"/>
      <c r="R280">
        <f>H280</f>
        <v>586.30999999999995</v>
      </c>
    </row>
    <row r="281" spans="1:26" ht="14.25" x14ac:dyDescent="0.2">
      <c r="A281" s="47"/>
      <c r="B281" s="48"/>
      <c r="C281" s="48" t="s">
        <v>664</v>
      </c>
      <c r="D281" s="30"/>
      <c r="E281" s="10"/>
      <c r="F281" s="31">
        <f>Source!AL74</f>
        <v>1</v>
      </c>
      <c r="G281" s="32" t="str">
        <f>Source!DD74</f>
        <v/>
      </c>
      <c r="H281" s="31">
        <f>ROUND(Source!AC74*Source!I74, 2)</f>
        <v>13.5</v>
      </c>
      <c r="I281" s="32"/>
      <c r="J281" s="32">
        <f>IF(Source!BC74&lt;&gt; 0, Source!BC74, 1)</f>
        <v>4.88</v>
      </c>
      <c r="K281" s="31">
        <f>Source!P74</f>
        <v>65.88</v>
      </c>
      <c r="L281" s="33"/>
    </row>
    <row r="282" spans="1:26" ht="14.25" x14ac:dyDescent="0.2">
      <c r="A282" s="47"/>
      <c r="B282" s="48"/>
      <c r="C282" s="48" t="s">
        <v>659</v>
      </c>
      <c r="D282" s="30" t="s">
        <v>660</v>
      </c>
      <c r="E282" s="10">
        <f>Source!BZ74</f>
        <v>95</v>
      </c>
      <c r="F282" s="51"/>
      <c r="G282" s="32"/>
      <c r="H282" s="31">
        <f>SUM(S276:S284)</f>
        <v>1199.78</v>
      </c>
      <c r="I282" s="35"/>
      <c r="J282" s="28">
        <f>Source!AT74</f>
        <v>95</v>
      </c>
      <c r="K282" s="31">
        <f>SUM(T276:T284)</f>
        <v>5854.93</v>
      </c>
      <c r="L282" s="33"/>
    </row>
    <row r="283" spans="1:26" ht="14.25" x14ac:dyDescent="0.2">
      <c r="A283" s="47"/>
      <c r="B283" s="48"/>
      <c r="C283" s="48" t="s">
        <v>661</v>
      </c>
      <c r="D283" s="30" t="s">
        <v>660</v>
      </c>
      <c r="E283" s="10">
        <f>Source!CA74</f>
        <v>65</v>
      </c>
      <c r="F283" s="51"/>
      <c r="G283" s="32"/>
      <c r="H283" s="31">
        <f>SUM(U276:U284)</f>
        <v>820.9</v>
      </c>
      <c r="I283" s="35"/>
      <c r="J283" s="28">
        <f>Source!AU74</f>
        <v>65</v>
      </c>
      <c r="K283" s="31">
        <f>SUM(V276:V284)</f>
        <v>4006</v>
      </c>
      <c r="L283" s="33"/>
    </row>
    <row r="284" spans="1:26" ht="14.25" x14ac:dyDescent="0.2">
      <c r="A284" s="49"/>
      <c r="B284" s="50"/>
      <c r="C284" s="50" t="s">
        <v>662</v>
      </c>
      <c r="D284" s="36" t="s">
        <v>663</v>
      </c>
      <c r="E284" s="37">
        <f>Source!AQ74</f>
        <v>5.21</v>
      </c>
      <c r="F284" s="38"/>
      <c r="G284" s="39" t="str">
        <f>Source!DI74</f>
        <v/>
      </c>
      <c r="H284" s="38"/>
      <c r="I284" s="39"/>
      <c r="J284" s="39"/>
      <c r="K284" s="38"/>
      <c r="L284" s="40">
        <f>Source!U74</f>
        <v>70.334999999999994</v>
      </c>
    </row>
    <row r="285" spans="1:26" ht="15" x14ac:dyDescent="0.25">
      <c r="G285" s="57">
        <f>H278+H279+H281+H282+H283</f>
        <v>6860.9699999999993</v>
      </c>
      <c r="H285" s="57"/>
      <c r="J285" s="57">
        <f>K278+K279+K281+K282+K283</f>
        <v>33481.550000000003</v>
      </c>
      <c r="K285" s="57"/>
      <c r="L285" s="41">
        <f>Source!U74</f>
        <v>70.334999999999994</v>
      </c>
      <c r="O285" s="23">
        <f>G285</f>
        <v>6860.9699999999993</v>
      </c>
      <c r="P285" s="23">
        <f>J285</f>
        <v>33481.550000000003</v>
      </c>
      <c r="Q285" s="23">
        <f>L285</f>
        <v>70.334999999999994</v>
      </c>
      <c r="W285">
        <f>IF(Source!BI74&lt;=1,H278+H279+H281+H282+H283, 0)</f>
        <v>0</v>
      </c>
      <c r="X285">
        <f>IF(Source!BI74=2,H278+H279+H281+H282+H283, 0)</f>
        <v>6860.9699999999993</v>
      </c>
      <c r="Y285">
        <f>IF(Source!BI74=3,H278+H279+H281+H282+H283, 0)</f>
        <v>0</v>
      </c>
      <c r="Z285">
        <f>IF(Source!BI74=4,H278+H279+H281+H282+H283, 0)</f>
        <v>0</v>
      </c>
    </row>
    <row r="286" spans="1:26" ht="57" x14ac:dyDescent="0.2">
      <c r="A286" s="47" t="str">
        <f>Source!E75</f>
        <v>27</v>
      </c>
      <c r="B286" s="48" t="str">
        <f>Source!F75</f>
        <v>01-01-033-02</v>
      </c>
      <c r="C286" s="48" t="str">
        <f>Source!G75</f>
        <v>Засыпка траншей и котлованов с перемещением грунта до 5 м бульдозерами мощностью 59 кВт (80 л.с.), группа грунтов 2</v>
      </c>
      <c r="D286" s="30" t="str">
        <f>Source!H75</f>
        <v>1000 м3</v>
      </c>
      <c r="E286" s="10">
        <f>Source!I75</f>
        <v>0.92</v>
      </c>
      <c r="F286" s="31">
        <f>Source!AL75+Source!AM75+Source!AO75</f>
        <v>527.5</v>
      </c>
      <c r="G286" s="32"/>
      <c r="H286" s="31"/>
      <c r="I286" s="32" t="str">
        <f>Source!BO75</f>
        <v/>
      </c>
      <c r="J286" s="32"/>
      <c r="K286" s="31"/>
      <c r="L286" s="33"/>
      <c r="S286">
        <f>ROUND((Source!FX75/100)*((ROUND(Source!AF75*Source!I75, 2)+ROUND(Source!AE75*Source!I75, 2))), 2)</f>
        <v>80.930000000000007</v>
      </c>
      <c r="T286">
        <f>Source!X75</f>
        <v>397.26</v>
      </c>
      <c r="U286">
        <f>ROUND((Source!FY75/100)*((ROUND(Source!AF75*Source!I75, 2)+ROUND(Source!AE75*Source!I75, 2))), 2)</f>
        <v>40.229999999999997</v>
      </c>
      <c r="V286">
        <f>Source!Y75</f>
        <v>198.63</v>
      </c>
    </row>
    <row r="287" spans="1:26" x14ac:dyDescent="0.2">
      <c r="C287" s="25" t="str">
        <f>"Объем: "&amp;Source!I75&amp;"=920/"&amp;"1000"</f>
        <v>Объем: 0,92=920/1000</v>
      </c>
    </row>
    <row r="288" spans="1:26" ht="14.25" x14ac:dyDescent="0.2">
      <c r="A288" s="47"/>
      <c r="B288" s="48"/>
      <c r="C288" s="48" t="s">
        <v>303</v>
      </c>
      <c r="D288" s="30"/>
      <c r="E288" s="10"/>
      <c r="F288" s="31">
        <f>Source!AM75</f>
        <v>527.5</v>
      </c>
      <c r="G288" s="32" t="str">
        <f>Source!DE75</f>
        <v/>
      </c>
      <c r="H288" s="31">
        <f>ROUND(Source!AD75*Source!I75, 2)</f>
        <v>485.3</v>
      </c>
      <c r="I288" s="32"/>
      <c r="J288" s="32">
        <f>IF(Source!BB75&lt;&gt; 0, Source!BB75, 1)</f>
        <v>4.88</v>
      </c>
      <c r="K288" s="31">
        <f>Source!Q75</f>
        <v>2368.2600000000002</v>
      </c>
      <c r="L288" s="33"/>
    </row>
    <row r="289" spans="1:26" ht="14.25" x14ac:dyDescent="0.2">
      <c r="A289" s="47"/>
      <c r="B289" s="48"/>
      <c r="C289" s="48" t="s">
        <v>658</v>
      </c>
      <c r="D289" s="30"/>
      <c r="E289" s="10"/>
      <c r="F289" s="31">
        <f>Source!AN75</f>
        <v>102.89</v>
      </c>
      <c r="G289" s="32" t="str">
        <f>Source!DF75</f>
        <v/>
      </c>
      <c r="H289" s="34">
        <f>ROUND(Source!AE75*Source!I75, 2)</f>
        <v>94.66</v>
      </c>
      <c r="I289" s="32"/>
      <c r="J289" s="32">
        <f>IF(Source!BS75&lt;&gt; 0, Source!BS75, 1)</f>
        <v>4.88</v>
      </c>
      <c r="K289" s="34">
        <f>Source!R75</f>
        <v>461.93</v>
      </c>
      <c r="L289" s="33"/>
      <c r="R289">
        <f>H289</f>
        <v>94.66</v>
      </c>
    </row>
    <row r="290" spans="1:26" ht="14.25" x14ac:dyDescent="0.2">
      <c r="A290" s="47"/>
      <c r="B290" s="48"/>
      <c r="C290" s="48" t="s">
        <v>659</v>
      </c>
      <c r="D290" s="30" t="s">
        <v>660</v>
      </c>
      <c r="E290" s="10">
        <f>Source!BZ75</f>
        <v>95</v>
      </c>
      <c r="F290" s="53" t="str">
        <f>CONCATENATE(" )", Source!DL75, Source!FT75, "=", Source!FX75)</f>
        <v xml:space="preserve"> )*0,9=85,5</v>
      </c>
      <c r="G290" s="54"/>
      <c r="H290" s="31">
        <f>SUM(S286:S291)</f>
        <v>80.930000000000007</v>
      </c>
      <c r="I290" s="35"/>
      <c r="J290" s="28">
        <f>Source!AT75</f>
        <v>86</v>
      </c>
      <c r="K290" s="31">
        <f>SUM(T286:T291)</f>
        <v>397.26</v>
      </c>
      <c r="L290" s="33"/>
    </row>
    <row r="291" spans="1:26" ht="14.25" x14ac:dyDescent="0.2">
      <c r="A291" s="49"/>
      <c r="B291" s="50"/>
      <c r="C291" s="50" t="s">
        <v>661</v>
      </c>
      <c r="D291" s="36" t="s">
        <v>660</v>
      </c>
      <c r="E291" s="37">
        <f>Source!CA75</f>
        <v>50</v>
      </c>
      <c r="F291" s="58" t="str">
        <f>CONCATENATE(" )", Source!DM75, Source!FU75, "=", Source!FY75)</f>
        <v xml:space="preserve"> )*0,85=42,5</v>
      </c>
      <c r="G291" s="59"/>
      <c r="H291" s="38">
        <f>SUM(U286:U291)</f>
        <v>40.229999999999997</v>
      </c>
      <c r="I291" s="46"/>
      <c r="J291" s="29">
        <f>Source!AU75</f>
        <v>43</v>
      </c>
      <c r="K291" s="38">
        <f>SUM(V286:V291)</f>
        <v>198.63</v>
      </c>
      <c r="L291" s="44"/>
    </row>
    <row r="292" spans="1:26" ht="15" x14ac:dyDescent="0.25">
      <c r="G292" s="57">
        <f>H288+H290+H291</f>
        <v>606.46</v>
      </c>
      <c r="H292" s="57"/>
      <c r="J292" s="57">
        <f>K288+K290+K291</f>
        <v>2964.1500000000005</v>
      </c>
      <c r="K292" s="57"/>
      <c r="L292" s="41">
        <f>Source!U75</f>
        <v>0</v>
      </c>
      <c r="O292" s="23">
        <f>G292</f>
        <v>606.46</v>
      </c>
      <c r="P292" s="23">
        <f>J292</f>
        <v>2964.1500000000005</v>
      </c>
      <c r="Q292" s="23">
        <f>L292</f>
        <v>0</v>
      </c>
      <c r="W292">
        <f>IF(Source!BI75&lt;=1,H288+H290+H291, 0)</f>
        <v>606.46</v>
      </c>
      <c r="X292">
        <f>IF(Source!BI75=2,H288+H290+H291, 0)</f>
        <v>0</v>
      </c>
      <c r="Y292">
        <f>IF(Source!BI75=3,H288+H290+H291, 0)</f>
        <v>0</v>
      </c>
      <c r="Z292">
        <f>IF(Source!BI75=4,H288+H290+H291, 0)</f>
        <v>0</v>
      </c>
    </row>
    <row r="293" spans="1:26" ht="42.75" x14ac:dyDescent="0.2">
      <c r="A293" s="47" t="str">
        <f>Source!E76</f>
        <v>28</v>
      </c>
      <c r="B293" s="48" t="str">
        <f>Source!F76</f>
        <v>01-02-119-03</v>
      </c>
      <c r="C293" s="48" t="str">
        <f>Source!G76</f>
        <v>Расчистка площадей от кустарника и мелколесья вручную при густой поросли</v>
      </c>
      <c r="D293" s="30" t="str">
        <f>Source!H76</f>
        <v>100 м2</v>
      </c>
      <c r="E293" s="10">
        <f>Source!I76</f>
        <v>4.3</v>
      </c>
      <c r="F293" s="31">
        <f>Source!AL76+Source!AM76+Source!AO76</f>
        <v>77.28</v>
      </c>
      <c r="G293" s="32"/>
      <c r="H293" s="31"/>
      <c r="I293" s="32" t="str">
        <f>Source!BO76</f>
        <v/>
      </c>
      <c r="J293" s="32"/>
      <c r="K293" s="31"/>
      <c r="L293" s="33"/>
      <c r="S293">
        <f>ROUND((Source!FX76/100)*((ROUND(Source!AF76*Source!I76, 2)+ROUND(Source!AE76*Source!I76, 2))), 2)</f>
        <v>239.26</v>
      </c>
      <c r="T293">
        <f>Source!X76</f>
        <v>1167.58</v>
      </c>
      <c r="U293">
        <f>ROUND((Source!FY76/100)*((ROUND(Source!AF76*Source!I76, 2)+ROUND(Source!AE76*Source!I76, 2))), 2)</f>
        <v>127.1</v>
      </c>
      <c r="V293">
        <f>Source!Y76</f>
        <v>616.22</v>
      </c>
    </row>
    <row r="294" spans="1:26" x14ac:dyDescent="0.2">
      <c r="C294" s="25" t="str">
        <f>"Объем: "&amp;Source!I76&amp;"=430/"&amp;"100"</f>
        <v>Объем: 4,3=430/100</v>
      </c>
    </row>
    <row r="295" spans="1:26" ht="14.25" x14ac:dyDescent="0.2">
      <c r="A295" s="47"/>
      <c r="B295" s="48"/>
      <c r="C295" s="48" t="s">
        <v>657</v>
      </c>
      <c r="D295" s="30"/>
      <c r="E295" s="10"/>
      <c r="F295" s="31">
        <f>Source!AO76</f>
        <v>77.28</v>
      </c>
      <c r="G295" s="32" t="str">
        <f>Source!DG76</f>
        <v/>
      </c>
      <c r="H295" s="31">
        <f>ROUND(Source!AF76*Source!I76, 2)</f>
        <v>332.3</v>
      </c>
      <c r="I295" s="32"/>
      <c r="J295" s="32">
        <f>IF(Source!BA76&lt;&gt; 0, Source!BA76, 1)</f>
        <v>4.88</v>
      </c>
      <c r="K295" s="31">
        <f>Source!S76</f>
        <v>1621.64</v>
      </c>
      <c r="L295" s="33"/>
      <c r="R295">
        <f>H295</f>
        <v>332.3</v>
      </c>
    </row>
    <row r="296" spans="1:26" ht="14.25" x14ac:dyDescent="0.2">
      <c r="A296" s="47"/>
      <c r="B296" s="48"/>
      <c r="C296" s="48" t="s">
        <v>659</v>
      </c>
      <c r="D296" s="30" t="s">
        <v>660</v>
      </c>
      <c r="E296" s="10">
        <f>Source!BZ76</f>
        <v>80</v>
      </c>
      <c r="F296" s="53" t="str">
        <f>CONCATENATE(" )", Source!DL76, Source!FT76, "=", Source!FX76)</f>
        <v xml:space="preserve"> )*0,9=72</v>
      </c>
      <c r="G296" s="54"/>
      <c r="H296" s="31">
        <f>SUM(S293:S298)</f>
        <v>239.26</v>
      </c>
      <c r="I296" s="35"/>
      <c r="J296" s="28">
        <f>Source!AT76</f>
        <v>72</v>
      </c>
      <c r="K296" s="31">
        <f>SUM(T293:T298)</f>
        <v>1167.58</v>
      </c>
      <c r="L296" s="33"/>
    </row>
    <row r="297" spans="1:26" ht="14.25" x14ac:dyDescent="0.2">
      <c r="A297" s="47"/>
      <c r="B297" s="48"/>
      <c r="C297" s="48" t="s">
        <v>661</v>
      </c>
      <c r="D297" s="30" t="s">
        <v>660</v>
      </c>
      <c r="E297" s="10">
        <f>Source!CA76</f>
        <v>45</v>
      </c>
      <c r="F297" s="53" t="str">
        <f>CONCATENATE(" )", Source!DM76, Source!FU76, "=", Source!FY76)</f>
        <v xml:space="preserve"> )*0,85=38,25</v>
      </c>
      <c r="G297" s="54"/>
      <c r="H297" s="31">
        <f>SUM(U293:U298)</f>
        <v>127.1</v>
      </c>
      <c r="I297" s="35"/>
      <c r="J297" s="28">
        <f>Source!AU76</f>
        <v>38</v>
      </c>
      <c r="K297" s="31">
        <f>SUM(V293:V298)</f>
        <v>616.22</v>
      </c>
      <c r="L297" s="33"/>
    </row>
    <row r="298" spans="1:26" ht="14.25" x14ac:dyDescent="0.2">
      <c r="A298" s="49"/>
      <c r="B298" s="50"/>
      <c r="C298" s="50" t="s">
        <v>662</v>
      </c>
      <c r="D298" s="36" t="s">
        <v>663</v>
      </c>
      <c r="E298" s="37">
        <f>Source!AQ76</f>
        <v>9.06</v>
      </c>
      <c r="F298" s="38"/>
      <c r="G298" s="39" t="str">
        <f>Source!DI76</f>
        <v/>
      </c>
      <c r="H298" s="38"/>
      <c r="I298" s="39"/>
      <c r="J298" s="39"/>
      <c r="K298" s="38"/>
      <c r="L298" s="40">
        <f>Source!U76</f>
        <v>38.957999999999998</v>
      </c>
    </row>
    <row r="299" spans="1:26" ht="15" x14ac:dyDescent="0.25">
      <c r="G299" s="57">
        <f>H295+H296+H297</f>
        <v>698.66</v>
      </c>
      <c r="H299" s="57"/>
      <c r="J299" s="57">
        <f>K295+K296+K297</f>
        <v>3405.4400000000005</v>
      </c>
      <c r="K299" s="57"/>
      <c r="L299" s="41">
        <f>Source!U76</f>
        <v>38.957999999999998</v>
      </c>
      <c r="O299" s="23">
        <f>G299</f>
        <v>698.66</v>
      </c>
      <c r="P299" s="23">
        <f>J299</f>
        <v>3405.4400000000005</v>
      </c>
      <c r="Q299" s="23">
        <f>L299</f>
        <v>38.957999999999998</v>
      </c>
      <c r="W299">
        <f>IF(Source!BI76&lt;=1,H295+H296+H297, 0)</f>
        <v>698.66</v>
      </c>
      <c r="X299">
        <f>IF(Source!BI76=2,H295+H296+H297, 0)</f>
        <v>0</v>
      </c>
      <c r="Y299">
        <f>IF(Source!BI76=3,H295+H296+H297, 0)</f>
        <v>0</v>
      </c>
      <c r="Z299">
        <f>IF(Source!BI76=4,H295+H296+H297, 0)</f>
        <v>0</v>
      </c>
    </row>
    <row r="300" spans="1:26" ht="114" x14ac:dyDescent="0.2">
      <c r="A300" s="47" t="str">
        <f>Source!E77</f>
        <v>29</v>
      </c>
      <c r="B300" s="48" t="str">
        <f>Source!F77</f>
        <v>п01-11-028-01</v>
      </c>
      <c r="C300" s="48" t="str">
        <f>Source!G77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300" s="30" t="str">
        <f>Source!H77</f>
        <v>ШТ</v>
      </c>
      <c r="E300" s="10">
        <f>Source!I77</f>
        <v>90</v>
      </c>
      <c r="F300" s="31">
        <f>Source!AL77+Source!AM77+Source!AO77</f>
        <v>4.0999999999999996</v>
      </c>
      <c r="G300" s="32"/>
      <c r="H300" s="31"/>
      <c r="I300" s="32" t="str">
        <f>Source!BO77</f>
        <v/>
      </c>
      <c r="J300" s="32"/>
      <c r="K300" s="31"/>
      <c r="L300" s="33"/>
      <c r="S300">
        <f>ROUND((Source!FX77/100)*((ROUND(Source!AF77*Source!I77, 2)+ROUND(Source!AE77*Source!I77, 2))), 2)</f>
        <v>191.88</v>
      </c>
      <c r="T300">
        <f>Source!X77</f>
        <v>2726.61</v>
      </c>
      <c r="U300">
        <f>ROUND((Source!FY77/100)*((ROUND(Source!AF77*Source!I77, 2)+ROUND(Source!AE77*Source!I77, 2))), 2)</f>
        <v>118.08</v>
      </c>
      <c r="V300">
        <f>Source!Y77</f>
        <v>1677.92</v>
      </c>
    </row>
    <row r="301" spans="1:26" ht="14.25" x14ac:dyDescent="0.2">
      <c r="A301" s="47"/>
      <c r="B301" s="48"/>
      <c r="C301" s="48" t="s">
        <v>657</v>
      </c>
      <c r="D301" s="30"/>
      <c r="E301" s="10"/>
      <c r="F301" s="31">
        <f>Source!AO77</f>
        <v>4.0999999999999996</v>
      </c>
      <c r="G301" s="32" t="str">
        <f>Source!DG77</f>
        <v>)*0,8</v>
      </c>
      <c r="H301" s="31">
        <f>ROUND(Source!AF77*Source!I77, 2)</f>
        <v>295.2</v>
      </c>
      <c r="I301" s="32"/>
      <c r="J301" s="32">
        <f>IF(Source!BA77&lt;&gt; 0, Source!BA77, 1)</f>
        <v>14.21</v>
      </c>
      <c r="K301" s="31">
        <f>Source!S77</f>
        <v>4194.79</v>
      </c>
      <c r="L301" s="33"/>
      <c r="R301">
        <f>H301</f>
        <v>295.2</v>
      </c>
    </row>
    <row r="302" spans="1:26" ht="14.25" x14ac:dyDescent="0.2">
      <c r="A302" s="47"/>
      <c r="B302" s="48"/>
      <c r="C302" s="48" t="s">
        <v>659</v>
      </c>
      <c r="D302" s="30" t="s">
        <v>660</v>
      </c>
      <c r="E302" s="10">
        <f>Source!BZ77</f>
        <v>65</v>
      </c>
      <c r="F302" s="51"/>
      <c r="G302" s="32"/>
      <c r="H302" s="31">
        <f>SUM(S300:S304)</f>
        <v>191.88</v>
      </c>
      <c r="I302" s="35"/>
      <c r="J302" s="28">
        <f>Source!AT77</f>
        <v>65</v>
      </c>
      <c r="K302" s="31">
        <f>SUM(T300:T304)</f>
        <v>2726.61</v>
      </c>
      <c r="L302" s="33"/>
    </row>
    <row r="303" spans="1:26" ht="14.25" x14ac:dyDescent="0.2">
      <c r="A303" s="47"/>
      <c r="B303" s="48"/>
      <c r="C303" s="48" t="s">
        <v>661</v>
      </c>
      <c r="D303" s="30" t="s">
        <v>660</v>
      </c>
      <c r="E303" s="10">
        <f>Source!CA77</f>
        <v>40</v>
      </c>
      <c r="F303" s="51"/>
      <c r="G303" s="32"/>
      <c r="H303" s="31">
        <f>SUM(U300:U304)</f>
        <v>118.08</v>
      </c>
      <c r="I303" s="35"/>
      <c r="J303" s="28">
        <f>Source!AU77</f>
        <v>40</v>
      </c>
      <c r="K303" s="31">
        <f>SUM(V300:V304)</f>
        <v>1677.92</v>
      </c>
      <c r="L303" s="33"/>
    </row>
    <row r="304" spans="1:26" ht="14.25" x14ac:dyDescent="0.2">
      <c r="A304" s="49"/>
      <c r="B304" s="50"/>
      <c r="C304" s="50" t="s">
        <v>662</v>
      </c>
      <c r="D304" s="36" t="s">
        <v>663</v>
      </c>
      <c r="E304" s="37">
        <f>Source!AQ77</f>
        <v>0.32</v>
      </c>
      <c r="F304" s="38"/>
      <c r="G304" s="39" t="str">
        <f>Source!DI77</f>
        <v>)*0,8</v>
      </c>
      <c r="H304" s="38"/>
      <c r="I304" s="39"/>
      <c r="J304" s="39"/>
      <c r="K304" s="38"/>
      <c r="L304" s="40">
        <f>Source!U77</f>
        <v>23.04</v>
      </c>
    </row>
    <row r="305" spans="1:26" ht="15" x14ac:dyDescent="0.25">
      <c r="G305" s="57">
        <f>H301+H302+H303</f>
        <v>605.16</v>
      </c>
      <c r="H305" s="57"/>
      <c r="J305" s="57">
        <f>K301+K302+K303</f>
        <v>8599.32</v>
      </c>
      <c r="K305" s="57"/>
      <c r="L305" s="41">
        <f>Source!U77</f>
        <v>23.04</v>
      </c>
      <c r="O305" s="23">
        <f>G305</f>
        <v>605.16</v>
      </c>
      <c r="P305" s="23">
        <f>J305</f>
        <v>8599.32</v>
      </c>
      <c r="Q305" s="23">
        <f>L305</f>
        <v>23.04</v>
      </c>
      <c r="W305">
        <f>IF(Source!BI77&lt;=1,H301+H302+H303, 0)</f>
        <v>0</v>
      </c>
      <c r="X305">
        <f>IF(Source!BI77=2,H301+H302+H303, 0)</f>
        <v>0</v>
      </c>
      <c r="Y305">
        <f>IF(Source!BI77=3,H301+H302+H303, 0)</f>
        <v>0</v>
      </c>
      <c r="Z305">
        <f>IF(Source!BI77=4,H301+H302+H303, 0)</f>
        <v>605.16</v>
      </c>
    </row>
    <row r="306" spans="1:26" ht="28.5" x14ac:dyDescent="0.2">
      <c r="A306" s="47" t="str">
        <f>Source!E78</f>
        <v>30</v>
      </c>
      <c r="B306" s="48" t="str">
        <f>Source!F78</f>
        <v>п01-12-021-01</v>
      </c>
      <c r="C306" s="48" t="str">
        <f>Source!G78</f>
        <v>Испытание аппарата коммутационного напряжением до 1 кВ (силовых цепей)</v>
      </c>
      <c r="D306" s="30" t="str">
        <f>Source!H78</f>
        <v>испытание</v>
      </c>
      <c r="E306" s="10">
        <f>Source!I78</f>
        <v>85</v>
      </c>
      <c r="F306" s="31">
        <f>Source!AL78+Source!AM78+Source!AO78</f>
        <v>19.63</v>
      </c>
      <c r="G306" s="32"/>
      <c r="H306" s="31"/>
      <c r="I306" s="32" t="str">
        <f>Source!BO78</f>
        <v/>
      </c>
      <c r="J306" s="32"/>
      <c r="K306" s="31"/>
      <c r="L306" s="33"/>
      <c r="S306">
        <f>ROUND((Source!FX78/100)*((ROUND(Source!AF78*Source!I78, 2)+ROUND(Source!AE78*Source!I78, 2))), 2)</f>
        <v>867.43</v>
      </c>
      <c r="T306">
        <f>Source!X78</f>
        <v>12326.11</v>
      </c>
      <c r="U306">
        <f>ROUND((Source!FY78/100)*((ROUND(Source!AF78*Source!I78, 2)+ROUND(Source!AE78*Source!I78, 2))), 2)</f>
        <v>533.79999999999995</v>
      </c>
      <c r="V306">
        <f>Source!Y78</f>
        <v>7585.3</v>
      </c>
    </row>
    <row r="307" spans="1:26" ht="14.25" x14ac:dyDescent="0.2">
      <c r="A307" s="47"/>
      <c r="B307" s="48"/>
      <c r="C307" s="48" t="s">
        <v>657</v>
      </c>
      <c r="D307" s="30"/>
      <c r="E307" s="10"/>
      <c r="F307" s="31">
        <f>Source!AO78</f>
        <v>19.63</v>
      </c>
      <c r="G307" s="32" t="str">
        <f>Source!DG78</f>
        <v>)*0,8</v>
      </c>
      <c r="H307" s="31">
        <f>ROUND(Source!AF78*Source!I78, 2)</f>
        <v>1334.5</v>
      </c>
      <c r="I307" s="32"/>
      <c r="J307" s="32">
        <f>IF(Source!BA78&lt;&gt; 0, Source!BA78, 1)</f>
        <v>14.21</v>
      </c>
      <c r="K307" s="31">
        <f>Source!S78</f>
        <v>18963.25</v>
      </c>
      <c r="L307" s="33"/>
      <c r="R307">
        <f>H307</f>
        <v>1334.5</v>
      </c>
    </row>
    <row r="308" spans="1:26" ht="14.25" x14ac:dyDescent="0.2">
      <c r="A308" s="47"/>
      <c r="B308" s="48"/>
      <c r="C308" s="48" t="s">
        <v>659</v>
      </c>
      <c r="D308" s="30" t="s">
        <v>660</v>
      </c>
      <c r="E308" s="10">
        <f>Source!BZ78</f>
        <v>65</v>
      </c>
      <c r="F308" s="51"/>
      <c r="G308" s="32"/>
      <c r="H308" s="31">
        <f>SUM(S306:S310)</f>
        <v>867.43</v>
      </c>
      <c r="I308" s="35"/>
      <c r="J308" s="28">
        <f>Source!AT78</f>
        <v>65</v>
      </c>
      <c r="K308" s="31">
        <f>SUM(T306:T310)</f>
        <v>12326.11</v>
      </c>
      <c r="L308" s="33"/>
    </row>
    <row r="309" spans="1:26" ht="14.25" x14ac:dyDescent="0.2">
      <c r="A309" s="47"/>
      <c r="B309" s="48"/>
      <c r="C309" s="48" t="s">
        <v>661</v>
      </c>
      <c r="D309" s="30" t="s">
        <v>660</v>
      </c>
      <c r="E309" s="10">
        <f>Source!CA78</f>
        <v>40</v>
      </c>
      <c r="F309" s="51"/>
      <c r="G309" s="32"/>
      <c r="H309" s="31">
        <f>SUM(U306:U310)</f>
        <v>533.79999999999995</v>
      </c>
      <c r="I309" s="35"/>
      <c r="J309" s="28">
        <f>Source!AU78</f>
        <v>40</v>
      </c>
      <c r="K309" s="31">
        <f>SUM(V306:V310)</f>
        <v>7585.3</v>
      </c>
      <c r="L309" s="33"/>
    </row>
    <row r="310" spans="1:26" ht="14.25" x14ac:dyDescent="0.2">
      <c r="A310" s="49"/>
      <c r="B310" s="50"/>
      <c r="C310" s="50" t="s">
        <v>662</v>
      </c>
      <c r="D310" s="36" t="s">
        <v>663</v>
      </c>
      <c r="E310" s="37">
        <f>Source!AQ78</f>
        <v>1.62</v>
      </c>
      <c r="F310" s="38"/>
      <c r="G310" s="39" t="str">
        <f>Source!DI78</f>
        <v>)*0,8</v>
      </c>
      <c r="H310" s="38"/>
      <c r="I310" s="39"/>
      <c r="J310" s="39"/>
      <c r="K310" s="38"/>
      <c r="L310" s="40">
        <f>Source!U78</f>
        <v>110.16000000000003</v>
      </c>
    </row>
    <row r="311" spans="1:26" ht="15" x14ac:dyDescent="0.25">
      <c r="G311" s="57">
        <f>H307+H308+H309</f>
        <v>2735.7299999999996</v>
      </c>
      <c r="H311" s="57"/>
      <c r="J311" s="57">
        <f>K307+K308+K309</f>
        <v>38874.660000000003</v>
      </c>
      <c r="K311" s="57"/>
      <c r="L311" s="41">
        <f>Source!U78</f>
        <v>110.16000000000003</v>
      </c>
      <c r="O311" s="23">
        <f>G311</f>
        <v>2735.7299999999996</v>
      </c>
      <c r="P311" s="23">
        <f>J311</f>
        <v>38874.660000000003</v>
      </c>
      <c r="Q311" s="23">
        <f>L311</f>
        <v>110.16000000000003</v>
      </c>
      <c r="W311">
        <f>IF(Source!BI78&lt;=1,H307+H308+H309, 0)</f>
        <v>0</v>
      </c>
      <c r="X311">
        <f>IF(Source!BI78=2,H307+H308+H309, 0)</f>
        <v>0</v>
      </c>
      <c r="Y311">
        <f>IF(Source!BI78=3,H307+H308+H309, 0)</f>
        <v>0</v>
      </c>
      <c r="Z311">
        <f>IF(Source!BI78=4,H307+H308+H309, 0)</f>
        <v>2735.7299999999996</v>
      </c>
    </row>
    <row r="312" spans="1:26" ht="28.5" x14ac:dyDescent="0.2">
      <c r="A312" s="47" t="str">
        <f>Source!E79</f>
        <v>31</v>
      </c>
      <c r="B312" s="48" t="str">
        <f>Source!F79</f>
        <v>п01-11-013-01</v>
      </c>
      <c r="C312" s="48" t="str">
        <f>Source!G79</f>
        <v>Замер полного сопротивления цепи "фаза-нуль"</v>
      </c>
      <c r="D312" s="30" t="str">
        <f>Source!H79</f>
        <v>ШТ</v>
      </c>
      <c r="E312" s="10">
        <f>Source!I79</f>
        <v>60</v>
      </c>
      <c r="F312" s="31">
        <f>Source!AL79+Source!AM79+Source!AO79</f>
        <v>15.62</v>
      </c>
      <c r="G312" s="32"/>
      <c r="H312" s="31"/>
      <c r="I312" s="32" t="str">
        <f>Source!BO79</f>
        <v/>
      </c>
      <c r="J312" s="32"/>
      <c r="K312" s="31"/>
      <c r="L312" s="33"/>
      <c r="S312">
        <f>ROUND((Source!FX79/100)*((ROUND(Source!AF79*Source!I79, 2)+ROUND(Source!AE79*Source!I79, 2))), 2)</f>
        <v>487.5</v>
      </c>
      <c r="T312">
        <f>Source!X79</f>
        <v>6927.38</v>
      </c>
      <c r="U312">
        <f>ROUND((Source!FY79/100)*((ROUND(Source!AF79*Source!I79, 2)+ROUND(Source!AE79*Source!I79, 2))), 2)</f>
        <v>300</v>
      </c>
      <c r="V312">
        <f>Source!Y79</f>
        <v>4263</v>
      </c>
    </row>
    <row r="313" spans="1:26" ht="14.25" x14ac:dyDescent="0.2">
      <c r="A313" s="47"/>
      <c r="B313" s="48"/>
      <c r="C313" s="48" t="s">
        <v>657</v>
      </c>
      <c r="D313" s="30"/>
      <c r="E313" s="10"/>
      <c r="F313" s="31">
        <f>Source!AO79</f>
        <v>15.62</v>
      </c>
      <c r="G313" s="32" t="str">
        <f>Source!DG79</f>
        <v>)*0,8</v>
      </c>
      <c r="H313" s="31">
        <f>ROUND(Source!AF79*Source!I79, 2)</f>
        <v>750</v>
      </c>
      <c r="I313" s="32"/>
      <c r="J313" s="32">
        <f>IF(Source!BA79&lt;&gt; 0, Source!BA79, 1)</f>
        <v>14.21</v>
      </c>
      <c r="K313" s="31">
        <f>Source!S79</f>
        <v>10657.5</v>
      </c>
      <c r="L313" s="33"/>
      <c r="R313">
        <f>H313</f>
        <v>750</v>
      </c>
    </row>
    <row r="314" spans="1:26" ht="14.25" x14ac:dyDescent="0.2">
      <c r="A314" s="47"/>
      <c r="B314" s="48"/>
      <c r="C314" s="48" t="s">
        <v>659</v>
      </c>
      <c r="D314" s="30" t="s">
        <v>660</v>
      </c>
      <c r="E314" s="10">
        <f>Source!BZ79</f>
        <v>65</v>
      </c>
      <c r="F314" s="51"/>
      <c r="G314" s="32"/>
      <c r="H314" s="31">
        <f>SUM(S312:S316)</f>
        <v>487.5</v>
      </c>
      <c r="I314" s="35"/>
      <c r="J314" s="28">
        <f>Source!AT79</f>
        <v>65</v>
      </c>
      <c r="K314" s="31">
        <f>SUM(T312:T316)</f>
        <v>6927.38</v>
      </c>
      <c r="L314" s="33"/>
    </row>
    <row r="315" spans="1:26" ht="14.25" x14ac:dyDescent="0.2">
      <c r="A315" s="47"/>
      <c r="B315" s="48"/>
      <c r="C315" s="48" t="s">
        <v>661</v>
      </c>
      <c r="D315" s="30" t="s">
        <v>660</v>
      </c>
      <c r="E315" s="10">
        <f>Source!CA79</f>
        <v>40</v>
      </c>
      <c r="F315" s="51"/>
      <c r="G315" s="32"/>
      <c r="H315" s="31">
        <f>SUM(U312:U316)</f>
        <v>300</v>
      </c>
      <c r="I315" s="35"/>
      <c r="J315" s="28">
        <f>Source!AU79</f>
        <v>40</v>
      </c>
      <c r="K315" s="31">
        <f>SUM(V312:V316)</f>
        <v>4263</v>
      </c>
      <c r="L315" s="33"/>
    </row>
    <row r="316" spans="1:26" ht="14.25" x14ac:dyDescent="0.2">
      <c r="A316" s="49"/>
      <c r="B316" s="50"/>
      <c r="C316" s="50" t="s">
        <v>662</v>
      </c>
      <c r="D316" s="36" t="s">
        <v>663</v>
      </c>
      <c r="E316" s="37">
        <f>Source!AQ79</f>
        <v>1.22</v>
      </c>
      <c r="F316" s="38"/>
      <c r="G316" s="39" t="str">
        <f>Source!DI79</f>
        <v>)*0,8</v>
      </c>
      <c r="H316" s="38"/>
      <c r="I316" s="39"/>
      <c r="J316" s="39"/>
      <c r="K316" s="38"/>
      <c r="L316" s="40">
        <f>Source!U79</f>
        <v>58.56</v>
      </c>
    </row>
    <row r="317" spans="1:26" ht="15" x14ac:dyDescent="0.25">
      <c r="G317" s="57">
        <f>H313+H314+H315</f>
        <v>1537.5</v>
      </c>
      <c r="H317" s="57"/>
      <c r="J317" s="57">
        <f>K313+K314+K315</f>
        <v>21847.88</v>
      </c>
      <c r="K317" s="57"/>
      <c r="L317" s="41">
        <f>Source!U79</f>
        <v>58.56</v>
      </c>
      <c r="O317" s="23">
        <f>G317</f>
        <v>1537.5</v>
      </c>
      <c r="P317" s="23">
        <f>J317</f>
        <v>21847.88</v>
      </c>
      <c r="Q317" s="23">
        <f>L317</f>
        <v>58.56</v>
      </c>
      <c r="W317">
        <f>IF(Source!BI79&lt;=1,H313+H314+H315, 0)</f>
        <v>0</v>
      </c>
      <c r="X317">
        <f>IF(Source!BI79=2,H313+H314+H315, 0)</f>
        <v>0</v>
      </c>
      <c r="Y317">
        <f>IF(Source!BI79=3,H313+H314+H315, 0)</f>
        <v>0</v>
      </c>
      <c r="Z317">
        <f>IF(Source!BI79=4,H313+H314+H315, 0)</f>
        <v>1537.5</v>
      </c>
    </row>
    <row r="318" spans="1:26" ht="15" x14ac:dyDescent="0.25">
      <c r="A318" s="56" t="str">
        <f>CONCATENATE("Итого по локальной смете: ",IF(Source!G81&lt;&gt;"Новая локальная смета", Source!G81, ""))</f>
        <v xml:space="preserve">Итого по локальной смете: </v>
      </c>
      <c r="B318" s="56"/>
      <c r="C318" s="56"/>
      <c r="D318" s="56"/>
      <c r="E318" s="56"/>
      <c r="F318" s="56"/>
      <c r="G318" s="55">
        <f>SUM(O29:O317)</f>
        <v>498760.35</v>
      </c>
      <c r="H318" s="55"/>
      <c r="I318" s="27"/>
      <c r="J318" s="55">
        <f>SUM(P29:P317)</f>
        <v>2479292.7999999993</v>
      </c>
      <c r="K318" s="55"/>
      <c r="L318" s="41">
        <f>SUM(Q29:Q317)</f>
        <v>2722.847498000001</v>
      </c>
    </row>
    <row r="319" spans="1:26" ht="15" x14ac:dyDescent="0.25">
      <c r="C319" s="56" t="str">
        <f>Source!H109</f>
        <v>Итого</v>
      </c>
      <c r="D319" s="56"/>
      <c r="E319" s="56"/>
      <c r="F319" s="56"/>
      <c r="G319" s="56"/>
      <c r="H319" s="56"/>
      <c r="I319" s="56"/>
      <c r="J319" s="55">
        <f>IF(Source!F109=0, "", Source!F109)</f>
        <v>2479292.7999999998</v>
      </c>
      <c r="K319" s="55"/>
    </row>
    <row r="320" spans="1:26" ht="14.25" x14ac:dyDescent="0.2">
      <c r="C320" s="64" t="str">
        <f>Source!H110</f>
        <v>НДС 18%</v>
      </c>
      <c r="D320" s="64"/>
      <c r="E320" s="64"/>
      <c r="F320" s="64"/>
      <c r="G320" s="64"/>
      <c r="H320" s="64"/>
      <c r="I320" s="64"/>
      <c r="J320" s="62">
        <f>IF(Source!F110=0, "", Source!F110)</f>
        <v>446272.7</v>
      </c>
      <c r="K320" s="62"/>
    </row>
    <row r="321" spans="1:12" ht="15" x14ac:dyDescent="0.25">
      <c r="C321" s="56" t="str">
        <f>Source!H111</f>
        <v>Всего</v>
      </c>
      <c r="D321" s="56"/>
      <c r="E321" s="56"/>
      <c r="F321" s="56"/>
      <c r="G321" s="56"/>
      <c r="H321" s="56"/>
      <c r="I321" s="56"/>
      <c r="J321" s="55">
        <f>IF(Source!F111=0, "", Source!F111)</f>
        <v>2925565.5</v>
      </c>
      <c r="K321" s="55"/>
    </row>
    <row r="324" spans="1:12" ht="14.25" x14ac:dyDescent="0.2">
      <c r="A324" s="26" t="s">
        <v>665</v>
      </c>
      <c r="B324" s="26"/>
      <c r="C324" s="10" t="s">
        <v>666</v>
      </c>
      <c r="D324" s="24" t="str">
        <f>IF(Source!AC12&lt;&gt;"", Source!AC12," ")</f>
        <v xml:space="preserve"> </v>
      </c>
      <c r="E324" s="24"/>
      <c r="F324" s="24"/>
      <c r="G324" s="24"/>
      <c r="H324" s="24"/>
      <c r="I324" s="11" t="str">
        <f>IF(Source!AB12&lt;&gt;"", Source!AB12," ")</f>
        <v xml:space="preserve"> </v>
      </c>
      <c r="J324" s="11"/>
      <c r="K324" s="11"/>
      <c r="L324" s="11"/>
    </row>
    <row r="325" spans="1:12" ht="14.25" x14ac:dyDescent="0.2">
      <c r="A325" s="11"/>
      <c r="B325" s="11"/>
      <c r="C325" s="10"/>
      <c r="D325" s="60" t="s">
        <v>667</v>
      </c>
      <c r="E325" s="60"/>
      <c r="F325" s="60"/>
      <c r="G325" s="60"/>
      <c r="H325" s="60"/>
      <c r="I325" s="11"/>
      <c r="J325" s="11"/>
      <c r="K325" s="11"/>
      <c r="L325" s="11"/>
    </row>
    <row r="326" spans="1:12" ht="14.25" x14ac:dyDescent="0.2">
      <c r="A326" s="11"/>
      <c r="B326" s="11"/>
      <c r="C326" s="10"/>
      <c r="D326" s="11"/>
      <c r="E326" s="11"/>
      <c r="F326" s="11"/>
      <c r="G326" s="11"/>
      <c r="H326" s="11"/>
      <c r="I326" s="11"/>
      <c r="J326" s="11"/>
      <c r="K326" s="11"/>
      <c r="L326" s="11"/>
    </row>
    <row r="327" spans="1:12" ht="14.25" x14ac:dyDescent="0.2">
      <c r="A327" s="26" t="s">
        <v>665</v>
      </c>
      <c r="B327" s="26"/>
      <c r="C327" s="10" t="s">
        <v>668</v>
      </c>
      <c r="D327" s="24" t="str">
        <f>IF(Source!AE12&lt;&gt;"", Source!AE12," ")</f>
        <v xml:space="preserve"> </v>
      </c>
      <c r="E327" s="24"/>
      <c r="F327" s="24"/>
      <c r="G327" s="24"/>
      <c r="H327" s="24"/>
      <c r="I327" s="11" t="str">
        <f>IF(Source!AD12&lt;&gt;"", Source!AD12," ")</f>
        <v xml:space="preserve"> </v>
      </c>
      <c r="J327" s="11"/>
      <c r="K327" s="11"/>
      <c r="L327" s="11"/>
    </row>
    <row r="328" spans="1:12" ht="14.25" x14ac:dyDescent="0.2">
      <c r="A328" s="11"/>
      <c r="B328" s="11"/>
      <c r="C328" s="11"/>
      <c r="D328" s="60" t="s">
        <v>667</v>
      </c>
      <c r="E328" s="60"/>
      <c r="F328" s="60"/>
      <c r="G328" s="60"/>
      <c r="H328" s="60"/>
      <c r="I328" s="11"/>
      <c r="J328" s="11"/>
      <c r="K328" s="11"/>
      <c r="L328" s="11"/>
    </row>
  </sheetData>
  <mergeCells count="129">
    <mergeCell ref="B7:E7"/>
    <mergeCell ref="H7:L7"/>
    <mergeCell ref="B3:E3"/>
    <mergeCell ref="H3:L3"/>
    <mergeCell ref="B4:E4"/>
    <mergeCell ref="H4:L4"/>
    <mergeCell ref="B6:E6"/>
    <mergeCell ref="H6:L6"/>
    <mergeCell ref="C18:F18"/>
    <mergeCell ref="G18:H18"/>
    <mergeCell ref="I18:J18"/>
    <mergeCell ref="K18:L18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D325:H325"/>
    <mergeCell ref="D328:H328"/>
    <mergeCell ref="C24:F24"/>
    <mergeCell ref="G24:H24"/>
    <mergeCell ref="I24:J24"/>
    <mergeCell ref="K24:L24"/>
    <mergeCell ref="A26:L26"/>
    <mergeCell ref="C319:I319"/>
    <mergeCell ref="J319:K319"/>
    <mergeCell ref="F101:G101"/>
    <mergeCell ref="F100:G100"/>
    <mergeCell ref="J93:K93"/>
    <mergeCell ref="F90:G90"/>
    <mergeCell ref="F89:G89"/>
    <mergeCell ref="J83:K83"/>
    <mergeCell ref="G83:H83"/>
    <mergeCell ref="F81:G81"/>
    <mergeCell ref="C320:I320"/>
    <mergeCell ref="J320:K320"/>
    <mergeCell ref="C321:I321"/>
    <mergeCell ref="J321:K321"/>
    <mergeCell ref="J36:K36"/>
    <mergeCell ref="G36:H36"/>
    <mergeCell ref="J188:K188"/>
    <mergeCell ref="G188:H188"/>
    <mergeCell ref="J180:K180"/>
    <mergeCell ref="G180:H180"/>
    <mergeCell ref="J170:K170"/>
    <mergeCell ref="G170:H170"/>
    <mergeCell ref="J159:K159"/>
    <mergeCell ref="G159:H159"/>
    <mergeCell ref="J61:K61"/>
    <mergeCell ref="G61:H61"/>
    <mergeCell ref="G93:H93"/>
    <mergeCell ref="J116:K116"/>
    <mergeCell ref="G116:H116"/>
    <mergeCell ref="F113:G113"/>
    <mergeCell ref="F112:G112"/>
    <mergeCell ref="J105:K105"/>
    <mergeCell ref="G105:H105"/>
    <mergeCell ref="J147:K147"/>
    <mergeCell ref="G147:H147"/>
    <mergeCell ref="J137:K137"/>
    <mergeCell ref="G137:H137"/>
    <mergeCell ref="J127:K127"/>
    <mergeCell ref="G127:H127"/>
    <mergeCell ref="J52:K52"/>
    <mergeCell ref="G52:H52"/>
    <mergeCell ref="J44:K44"/>
    <mergeCell ref="G44:H44"/>
    <mergeCell ref="F80:G80"/>
    <mergeCell ref="J76:K76"/>
    <mergeCell ref="G76:H76"/>
    <mergeCell ref="F74:G74"/>
    <mergeCell ref="F73:G73"/>
    <mergeCell ref="J69:K69"/>
    <mergeCell ref="G69:H69"/>
    <mergeCell ref="F297:G297"/>
    <mergeCell ref="J209:K209"/>
    <mergeCell ref="G209:H209"/>
    <mergeCell ref="J199:K199"/>
    <mergeCell ref="G199:H199"/>
    <mergeCell ref="J253:K253"/>
    <mergeCell ref="G253:H253"/>
    <mergeCell ref="J244:K244"/>
    <mergeCell ref="G244:H244"/>
    <mergeCell ref="J231:K231"/>
    <mergeCell ref="G231:H231"/>
    <mergeCell ref="F296:G296"/>
    <mergeCell ref="G318:H318"/>
    <mergeCell ref="J318:K318"/>
    <mergeCell ref="A318:F318"/>
    <mergeCell ref="J317:K317"/>
    <mergeCell ref="G317:H317"/>
    <mergeCell ref="J311:K311"/>
    <mergeCell ref="G311:H311"/>
    <mergeCell ref="J220:K220"/>
    <mergeCell ref="G220:H220"/>
    <mergeCell ref="F290:G290"/>
    <mergeCell ref="J285:K285"/>
    <mergeCell ref="G285:H285"/>
    <mergeCell ref="J275:K275"/>
    <mergeCell ref="G275:H275"/>
    <mergeCell ref="J264:K264"/>
    <mergeCell ref="G264:H264"/>
    <mergeCell ref="J292:K292"/>
    <mergeCell ref="G292:H292"/>
    <mergeCell ref="F291:G291"/>
    <mergeCell ref="J305:K305"/>
    <mergeCell ref="G305:H305"/>
    <mergeCell ref="J299:K299"/>
    <mergeCell ref="G299:H299"/>
  </mergeCells>
  <pageMargins left="0.4" right="0.2" top="0.2" bottom="0.4" header="0.2" footer="0.2"/>
  <pageSetup paperSize="9" scale="58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76"/>
  <sheetViews>
    <sheetView topLeftCell="A28" workbookViewId="0">
      <selection activeCell="I74" sqref="I7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171</v>
      </c>
      <c r="C12" s="1">
        <v>0</v>
      </c>
      <c r="D12" s="1">
        <f>ROW(A113)</f>
        <v>113</v>
      </c>
      <c r="E12" s="1">
        <v>0</v>
      </c>
      <c r="F12" s="1" t="s">
        <v>4</v>
      </c>
      <c r="G12" s="52" t="s">
        <v>670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B113</f>
        <v>171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кабельных трасс и щита распределительной подстанции ТП2 загородного  учебно-спортивного  комплекса "база отдыха Волга" НИЯУ МИФИ по адресу: Тверская область,Калининский район,п/о Лисицкий бор,деревня Видогощи</v>
      </c>
      <c r="H18" s="2"/>
      <c r="I18" s="2"/>
      <c r="J18" s="2"/>
      <c r="K18" s="2"/>
      <c r="L18" s="2"/>
      <c r="M18" s="2"/>
      <c r="N18" s="2"/>
      <c r="O18" s="2">
        <f t="shared" ref="O18:AT18" si="1">O113</f>
        <v>2286433.83</v>
      </c>
      <c r="P18" s="2">
        <f t="shared" si="1"/>
        <v>2042191.69</v>
      </c>
      <c r="Q18" s="2">
        <f t="shared" si="1"/>
        <v>102517.07</v>
      </c>
      <c r="R18" s="2">
        <f t="shared" si="1"/>
        <v>12789.79</v>
      </c>
      <c r="S18" s="2">
        <f t="shared" si="1"/>
        <v>141725.07</v>
      </c>
      <c r="T18" s="2">
        <f t="shared" si="1"/>
        <v>0</v>
      </c>
      <c r="U18" s="2">
        <f t="shared" si="1"/>
        <v>2722.847498000001</v>
      </c>
      <c r="V18" s="2">
        <f t="shared" si="1"/>
        <v>207.09348750000007</v>
      </c>
      <c r="W18" s="2">
        <f t="shared" si="1"/>
        <v>0</v>
      </c>
      <c r="X18" s="2">
        <f t="shared" si="1"/>
        <v>120495.06</v>
      </c>
      <c r="Y18" s="2">
        <f t="shared" si="1"/>
        <v>72363.91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2479292.7999999998</v>
      </c>
      <c r="AS18" s="2">
        <f t="shared" si="1"/>
        <v>255578.61</v>
      </c>
      <c r="AT18" s="2">
        <f t="shared" si="1"/>
        <v>2154392.33</v>
      </c>
      <c r="AU18" s="2">
        <f t="shared" ref="AU18:BZ18" si="2">AU113</f>
        <v>69321.86</v>
      </c>
      <c r="AV18" s="2">
        <f t="shared" si="2"/>
        <v>2042191.69</v>
      </c>
      <c r="AW18" s="2">
        <f t="shared" si="2"/>
        <v>2042191.69</v>
      </c>
      <c r="AX18" s="2">
        <f t="shared" si="2"/>
        <v>0</v>
      </c>
      <c r="AY18" s="2">
        <f t="shared" si="2"/>
        <v>2042191.69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CA113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DG113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EM113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FS113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ROW(A81)</f>
        <v>81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B81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O81</f>
        <v>2286433.83</v>
      </c>
      <c r="P22" s="2">
        <f t="shared" si="8"/>
        <v>2042191.69</v>
      </c>
      <c r="Q22" s="2">
        <f t="shared" si="8"/>
        <v>102517.07</v>
      </c>
      <c r="R22" s="2">
        <f t="shared" si="8"/>
        <v>12789.79</v>
      </c>
      <c r="S22" s="2">
        <f t="shared" si="8"/>
        <v>141725.07</v>
      </c>
      <c r="T22" s="2">
        <f t="shared" si="8"/>
        <v>0</v>
      </c>
      <c r="U22" s="2">
        <f t="shared" si="8"/>
        <v>2722.847498000001</v>
      </c>
      <c r="V22" s="2">
        <f t="shared" si="8"/>
        <v>207.09348750000007</v>
      </c>
      <c r="W22" s="2">
        <f t="shared" si="8"/>
        <v>0</v>
      </c>
      <c r="X22" s="2">
        <f t="shared" si="8"/>
        <v>120495.06</v>
      </c>
      <c r="Y22" s="2">
        <f t="shared" si="8"/>
        <v>72363.91</v>
      </c>
      <c r="Z22" s="2">
        <f t="shared" si="8"/>
        <v>0</v>
      </c>
      <c r="AA22" s="2">
        <f t="shared" si="8"/>
        <v>0</v>
      </c>
      <c r="AB22" s="2">
        <f t="shared" si="8"/>
        <v>2286433.83</v>
      </c>
      <c r="AC22" s="2">
        <f t="shared" si="8"/>
        <v>2042191.69</v>
      </c>
      <c r="AD22" s="2">
        <f t="shared" si="8"/>
        <v>102517.07</v>
      </c>
      <c r="AE22" s="2">
        <f t="shared" si="8"/>
        <v>12789.79</v>
      </c>
      <c r="AF22" s="2">
        <f t="shared" si="8"/>
        <v>141725.07</v>
      </c>
      <c r="AG22" s="2">
        <f t="shared" si="8"/>
        <v>0</v>
      </c>
      <c r="AH22" s="2">
        <f t="shared" si="8"/>
        <v>2722.847498000001</v>
      </c>
      <c r="AI22" s="2">
        <f t="shared" si="8"/>
        <v>207.09348750000007</v>
      </c>
      <c r="AJ22" s="2">
        <f t="shared" si="8"/>
        <v>0</v>
      </c>
      <c r="AK22" s="2">
        <f t="shared" si="8"/>
        <v>120495.06</v>
      </c>
      <c r="AL22" s="2">
        <f t="shared" si="8"/>
        <v>72363.91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2479292.7999999998</v>
      </c>
      <c r="AS22" s="2">
        <f t="shared" si="8"/>
        <v>255578.61</v>
      </c>
      <c r="AT22" s="2">
        <f t="shared" si="8"/>
        <v>2154392.33</v>
      </c>
      <c r="AU22" s="2">
        <f t="shared" ref="AU22:BZ22" si="9">AU81</f>
        <v>69321.86</v>
      </c>
      <c r="AV22" s="2">
        <f t="shared" si="9"/>
        <v>2042191.69</v>
      </c>
      <c r="AW22" s="2">
        <f t="shared" si="9"/>
        <v>2042191.69</v>
      </c>
      <c r="AX22" s="2">
        <f t="shared" si="9"/>
        <v>0</v>
      </c>
      <c r="AY22" s="2">
        <f t="shared" si="9"/>
        <v>2042191.69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CA81</f>
        <v>2479292.7999999998</v>
      </c>
      <c r="CB22" s="2">
        <f t="shared" si="10"/>
        <v>255578.61</v>
      </c>
      <c r="CC22" s="2">
        <f t="shared" si="10"/>
        <v>2154392.33</v>
      </c>
      <c r="CD22" s="2">
        <f t="shared" si="10"/>
        <v>69321.86</v>
      </c>
      <c r="CE22" s="2">
        <f t="shared" si="10"/>
        <v>2042191.69</v>
      </c>
      <c r="CF22" s="2">
        <f t="shared" si="10"/>
        <v>2042191.69</v>
      </c>
      <c r="CG22" s="2">
        <f t="shared" si="10"/>
        <v>0</v>
      </c>
      <c r="CH22" s="2">
        <f t="shared" si="10"/>
        <v>2042191.69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DG81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EM81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FS81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ROW(SmtRes!A12)</f>
        <v>12</v>
      </c>
      <c r="D24">
        <f>ROW(EtalonRes!A12)</f>
        <v>12</v>
      </c>
      <c r="E24" t="s">
        <v>12</v>
      </c>
      <c r="F24" t="s">
        <v>13</v>
      </c>
      <c r="G24" t="s">
        <v>14</v>
      </c>
      <c r="H24" t="s">
        <v>15</v>
      </c>
      <c r="I24">
        <v>8</v>
      </c>
      <c r="J24">
        <v>0</v>
      </c>
      <c r="O24">
        <f t="shared" ref="O24:O55" si="14">ROUND(CP24,2)</f>
        <v>8187.46</v>
      </c>
      <c r="P24">
        <f t="shared" ref="P24:P55" si="15">ROUND(CQ24*I24,2)</f>
        <v>0</v>
      </c>
      <c r="Q24">
        <f t="shared" ref="Q24:Q55" si="16">ROUND(CR24*I24,2)</f>
        <v>4649.66</v>
      </c>
      <c r="R24">
        <f t="shared" ref="R24:R55" si="17">ROUND(CS24*I24,2)</f>
        <v>539.91999999999996</v>
      </c>
      <c r="S24">
        <f t="shared" ref="S24:S55" si="18">ROUND(CT24*I24,2)</f>
        <v>3537.8</v>
      </c>
      <c r="T24">
        <f t="shared" ref="T24:T55" si="19">ROUND(CU24*I24,2)</f>
        <v>0</v>
      </c>
      <c r="U24">
        <f t="shared" ref="U24:U55" si="20">CV24*I24</f>
        <v>75.36</v>
      </c>
      <c r="V24">
        <f t="shared" ref="V24:V55" si="21">CW24*I24</f>
        <v>8.2799999999999994</v>
      </c>
      <c r="W24">
        <f t="shared" ref="W24:W55" si="22">ROUND(CX24*I24,2)</f>
        <v>0</v>
      </c>
      <c r="X24">
        <f t="shared" ref="X24:X55" si="23">ROUND(CY24,2)</f>
        <v>3873.83</v>
      </c>
      <c r="Y24">
        <f t="shared" ref="Y24:Y55" si="24">ROUND(CZ24,2)</f>
        <v>2650.52</v>
      </c>
      <c r="AA24">
        <v>39610380</v>
      </c>
      <c r="AB24">
        <f t="shared" ref="AB24:AB55" si="25">ROUND((AC24+AD24+AF24),2)</f>
        <v>209.72</v>
      </c>
      <c r="AC24">
        <f>ROUND(((ES24*0)),2)</f>
        <v>0</v>
      </c>
      <c r="AD24">
        <f>ROUND(((((ET24*0.3))-((EU24*0.3)))+AE24),2)</f>
        <v>119.1</v>
      </c>
      <c r="AE24">
        <f t="shared" ref="AE24:AF26" si="26">ROUND(((EU24*0.3)),2)</f>
        <v>13.83</v>
      </c>
      <c r="AF24">
        <f t="shared" si="26"/>
        <v>90.62</v>
      </c>
      <c r="AG24">
        <f t="shared" ref="AG24:AG55" si="27">ROUND((AP24),2)</f>
        <v>0</v>
      </c>
      <c r="AH24">
        <f t="shared" ref="AH24:AI26" si="28">((EW24*0.3))</f>
        <v>9.42</v>
      </c>
      <c r="AI24">
        <f t="shared" si="28"/>
        <v>1.0349999999999999</v>
      </c>
      <c r="AJ24">
        <f t="shared" ref="AJ24:AJ55" si="29">ROUND((AS24),2)</f>
        <v>0</v>
      </c>
      <c r="AK24">
        <v>893.52</v>
      </c>
      <c r="AL24">
        <v>194.46</v>
      </c>
      <c r="AM24">
        <v>396.99</v>
      </c>
      <c r="AN24">
        <v>46.1</v>
      </c>
      <c r="AO24">
        <v>302.07</v>
      </c>
      <c r="AP24">
        <v>0</v>
      </c>
      <c r="AQ24">
        <v>31.4</v>
      </c>
      <c r="AR24">
        <v>3.45</v>
      </c>
      <c r="AS24">
        <v>0</v>
      </c>
      <c r="AT24">
        <v>95</v>
      </c>
      <c r="AU24">
        <v>65</v>
      </c>
      <c r="AV24">
        <v>1</v>
      </c>
      <c r="AW24">
        <v>1</v>
      </c>
      <c r="AZ24">
        <v>4.88</v>
      </c>
      <c r="BA24">
        <v>4.88</v>
      </c>
      <c r="BB24">
        <v>4.88</v>
      </c>
      <c r="BC24">
        <v>4.88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16</v>
      </c>
      <c r="BM24">
        <v>108001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4.88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95</v>
      </c>
      <c r="CA24">
        <v>65</v>
      </c>
      <c r="CF24">
        <v>0</v>
      </c>
      <c r="CG24">
        <v>0</v>
      </c>
      <c r="CM24">
        <v>0</v>
      </c>
      <c r="CN24" t="s">
        <v>17</v>
      </c>
      <c r="CO24">
        <v>0</v>
      </c>
      <c r="CP24">
        <f t="shared" ref="CP24:CP55" si="30">(P24+Q24+S24)</f>
        <v>8187.46</v>
      </c>
      <c r="CQ24">
        <f t="shared" ref="CQ24:CQ55" si="31">AC24*BC24</f>
        <v>0</v>
      </c>
      <c r="CR24">
        <f t="shared" ref="CR24:CR55" si="32">AD24*BB24</f>
        <v>581.20799999999997</v>
      </c>
      <c r="CS24">
        <f t="shared" ref="CS24:CS55" si="33">AE24*BS24</f>
        <v>67.490399999999994</v>
      </c>
      <c r="CT24">
        <f t="shared" ref="CT24:CT55" si="34">AF24*BA24</f>
        <v>442.22559999999999</v>
      </c>
      <c r="CU24">
        <f t="shared" ref="CU24:CU55" si="35">AG24</f>
        <v>0</v>
      </c>
      <c r="CV24">
        <f t="shared" ref="CV24:CV55" si="36">AH24</f>
        <v>9.42</v>
      </c>
      <c r="CW24">
        <f t="shared" ref="CW24:CW55" si="37">AI24</f>
        <v>1.0349999999999999</v>
      </c>
      <c r="CX24">
        <f t="shared" ref="CX24:CX55" si="38">AJ24</f>
        <v>0</v>
      </c>
      <c r="CY24">
        <f t="shared" ref="CY24:CY55" si="39">(((S24+R24)*AT24)/100)</f>
        <v>3873.8340000000003</v>
      </c>
      <c r="CZ24">
        <f t="shared" ref="CZ24:CZ55" si="40">(((S24+R24)*AU24)/100)</f>
        <v>2650.518</v>
      </c>
      <c r="DC24" t="s">
        <v>3</v>
      </c>
      <c r="DD24" t="s">
        <v>18</v>
      </c>
      <c r="DE24" t="s">
        <v>19</v>
      </c>
      <c r="DF24" t="s">
        <v>19</v>
      </c>
      <c r="DG24" t="s">
        <v>19</v>
      </c>
      <c r="DH24" t="s">
        <v>3</v>
      </c>
      <c r="DI24" t="s">
        <v>19</v>
      </c>
      <c r="DJ24" t="s">
        <v>19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39174386</v>
      </c>
      <c r="EF24">
        <v>3</v>
      </c>
      <c r="EG24" t="s">
        <v>20</v>
      </c>
      <c r="EH24">
        <v>0</v>
      </c>
      <c r="EI24" t="s">
        <v>3</v>
      </c>
      <c r="EJ24">
        <v>2</v>
      </c>
      <c r="EK24">
        <v>108001</v>
      </c>
      <c r="EL24" t="s">
        <v>21</v>
      </c>
      <c r="EM24" t="s">
        <v>22</v>
      </c>
      <c r="EO24" t="s">
        <v>23</v>
      </c>
      <c r="EQ24">
        <v>0</v>
      </c>
      <c r="ER24">
        <v>893.52</v>
      </c>
      <c r="ES24">
        <v>194.46</v>
      </c>
      <c r="ET24">
        <v>396.99</v>
      </c>
      <c r="EU24">
        <v>46.1</v>
      </c>
      <c r="EV24">
        <v>302.07</v>
      </c>
      <c r="EW24">
        <v>31.4</v>
      </c>
      <c r="EX24">
        <v>3.45</v>
      </c>
      <c r="EY24">
        <v>0</v>
      </c>
      <c r="FQ24">
        <v>0</v>
      </c>
      <c r="FR24">
        <f t="shared" ref="FR24:FR55" si="41">ROUND(IF(AND(BH24=3,BI24=3),P24,0),2)</f>
        <v>0</v>
      </c>
      <c r="FS24">
        <v>0</v>
      </c>
      <c r="FX24">
        <v>95</v>
      </c>
      <c r="FY24">
        <v>65</v>
      </c>
      <c r="GA24" t="s">
        <v>3</v>
      </c>
      <c r="GD24">
        <v>0</v>
      </c>
      <c r="GF24">
        <v>839760218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5" si="42">ROUND(IF(AND(BH24=3,BI24=3,FS24&lt;&gt;0),P24,0),2)</f>
        <v>0</v>
      </c>
      <c r="GM24">
        <f t="shared" ref="GM24:GM55" si="43">ROUND(O24+X24+Y24+GK24,2)+GX24</f>
        <v>14711.81</v>
      </c>
      <c r="GN24">
        <f t="shared" ref="GN24:GN55" si="44">IF(OR(BI24=0,BI24=1),ROUND(O24+X24+Y24+GK24,2),0)</f>
        <v>0</v>
      </c>
      <c r="GO24">
        <f t="shared" ref="GO24:GO55" si="45">IF(BI24=2,ROUND(O24+X24+Y24+GK24,2),0)</f>
        <v>14711.81</v>
      </c>
      <c r="GP24">
        <f t="shared" ref="GP24:GP55" si="46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47">ROUND(GT24,2)</f>
        <v>0</v>
      </c>
      <c r="GW24">
        <v>1</v>
      </c>
      <c r="GX24">
        <f t="shared" ref="GX24:GX55" si="48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ROW(SmtRes!A23)</f>
        <v>23</v>
      </c>
      <c r="D25">
        <f>ROW(EtalonRes!A23)</f>
        <v>23</v>
      </c>
      <c r="E25" t="s">
        <v>24</v>
      </c>
      <c r="F25" t="s">
        <v>25</v>
      </c>
      <c r="G25" t="s">
        <v>26</v>
      </c>
      <c r="H25" t="s">
        <v>27</v>
      </c>
      <c r="I25">
        <v>18</v>
      </c>
      <c r="J25">
        <v>0</v>
      </c>
      <c r="O25">
        <f t="shared" si="14"/>
        <v>15180.51</v>
      </c>
      <c r="P25">
        <f t="shared" si="15"/>
        <v>0</v>
      </c>
      <c r="Q25">
        <f t="shared" si="16"/>
        <v>13999.06</v>
      </c>
      <c r="R25">
        <f t="shared" si="17"/>
        <v>1327.26</v>
      </c>
      <c r="S25">
        <f t="shared" si="18"/>
        <v>1181.45</v>
      </c>
      <c r="T25">
        <f t="shared" si="19"/>
        <v>0</v>
      </c>
      <c r="U25">
        <f t="shared" si="20"/>
        <v>23.058</v>
      </c>
      <c r="V25">
        <f t="shared" si="21"/>
        <v>20.141999999999999</v>
      </c>
      <c r="W25">
        <f t="shared" si="22"/>
        <v>0</v>
      </c>
      <c r="X25">
        <f t="shared" si="23"/>
        <v>2383.27</v>
      </c>
      <c r="Y25">
        <f t="shared" si="24"/>
        <v>1630.66</v>
      </c>
      <c r="AA25">
        <v>39610380</v>
      </c>
      <c r="AB25">
        <f t="shared" si="25"/>
        <v>172.82</v>
      </c>
      <c r="AC25">
        <f>ROUND(((ES25*0)),2)</f>
        <v>0</v>
      </c>
      <c r="AD25">
        <f>ROUND(((((ET25*0.3))-((EU25*0.3)))+AE25),2)</f>
        <v>159.37</v>
      </c>
      <c r="AE25">
        <f t="shared" si="26"/>
        <v>15.11</v>
      </c>
      <c r="AF25">
        <f t="shared" si="26"/>
        <v>13.45</v>
      </c>
      <c r="AG25">
        <f t="shared" si="27"/>
        <v>0</v>
      </c>
      <c r="AH25">
        <f t="shared" si="28"/>
        <v>1.2809999999999999</v>
      </c>
      <c r="AI25">
        <f t="shared" si="28"/>
        <v>1.119</v>
      </c>
      <c r="AJ25">
        <f t="shared" si="29"/>
        <v>0</v>
      </c>
      <c r="AK25">
        <v>585.11</v>
      </c>
      <c r="AL25">
        <v>9.07</v>
      </c>
      <c r="AM25">
        <v>531.20000000000005</v>
      </c>
      <c r="AN25">
        <v>50.35</v>
      </c>
      <c r="AO25">
        <v>44.84</v>
      </c>
      <c r="AP25">
        <v>0</v>
      </c>
      <c r="AQ25">
        <v>4.2699999999999996</v>
      </c>
      <c r="AR25">
        <v>3.73</v>
      </c>
      <c r="AS25">
        <v>0</v>
      </c>
      <c r="AT25">
        <v>95</v>
      </c>
      <c r="AU25">
        <v>65</v>
      </c>
      <c r="AV25">
        <v>1</v>
      </c>
      <c r="AW25">
        <v>1</v>
      </c>
      <c r="AZ25">
        <v>4.88</v>
      </c>
      <c r="BA25">
        <v>4.88</v>
      </c>
      <c r="BB25">
        <v>4.88</v>
      </c>
      <c r="BC25">
        <v>4.88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2</v>
      </c>
      <c r="BJ25" t="s">
        <v>28</v>
      </c>
      <c r="BM25">
        <v>108001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4.88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95</v>
      </c>
      <c r="CA25">
        <v>65</v>
      </c>
      <c r="CF25">
        <v>0</v>
      </c>
      <c r="CG25">
        <v>0</v>
      </c>
      <c r="CM25">
        <v>0</v>
      </c>
      <c r="CN25" t="s">
        <v>17</v>
      </c>
      <c r="CO25">
        <v>0</v>
      </c>
      <c r="CP25">
        <f t="shared" si="30"/>
        <v>15180.51</v>
      </c>
      <c r="CQ25">
        <f t="shared" si="31"/>
        <v>0</v>
      </c>
      <c r="CR25">
        <f t="shared" si="32"/>
        <v>777.72559999999999</v>
      </c>
      <c r="CS25">
        <f t="shared" si="33"/>
        <v>73.736800000000002</v>
      </c>
      <c r="CT25">
        <f t="shared" si="34"/>
        <v>65.635999999999996</v>
      </c>
      <c r="CU25">
        <f t="shared" si="35"/>
        <v>0</v>
      </c>
      <c r="CV25">
        <f t="shared" si="36"/>
        <v>1.2809999999999999</v>
      </c>
      <c r="CW25">
        <f t="shared" si="37"/>
        <v>1.119</v>
      </c>
      <c r="CX25">
        <f t="shared" si="38"/>
        <v>0</v>
      </c>
      <c r="CY25">
        <f t="shared" si="39"/>
        <v>2383.2745</v>
      </c>
      <c r="CZ25">
        <f t="shared" si="40"/>
        <v>1630.6614999999999</v>
      </c>
      <c r="DC25" t="s">
        <v>3</v>
      </c>
      <c r="DD25" t="s">
        <v>18</v>
      </c>
      <c r="DE25" t="s">
        <v>19</v>
      </c>
      <c r="DF25" t="s">
        <v>19</v>
      </c>
      <c r="DG25" t="s">
        <v>19</v>
      </c>
      <c r="DH25" t="s">
        <v>3</v>
      </c>
      <c r="DI25" t="s">
        <v>19</v>
      </c>
      <c r="DJ25" t="s">
        <v>19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27</v>
      </c>
      <c r="DW25" t="s">
        <v>27</v>
      </c>
      <c r="DX25">
        <v>1</v>
      </c>
      <c r="EE25">
        <v>39174386</v>
      </c>
      <c r="EF25">
        <v>3</v>
      </c>
      <c r="EG25" t="s">
        <v>20</v>
      </c>
      <c r="EH25">
        <v>0</v>
      </c>
      <c r="EI25" t="s">
        <v>3</v>
      </c>
      <c r="EJ25">
        <v>2</v>
      </c>
      <c r="EK25">
        <v>108001</v>
      </c>
      <c r="EL25" t="s">
        <v>21</v>
      </c>
      <c r="EM25" t="s">
        <v>22</v>
      </c>
      <c r="EO25" t="s">
        <v>23</v>
      </c>
      <c r="EQ25">
        <v>0</v>
      </c>
      <c r="ER25">
        <v>585.11</v>
      </c>
      <c r="ES25">
        <v>9.07</v>
      </c>
      <c r="ET25">
        <v>531.20000000000005</v>
      </c>
      <c r="EU25">
        <v>50.35</v>
      </c>
      <c r="EV25">
        <v>44.84</v>
      </c>
      <c r="EW25">
        <v>4.2699999999999996</v>
      </c>
      <c r="EX25">
        <v>3.73</v>
      </c>
      <c r="EY25">
        <v>0</v>
      </c>
      <c r="FQ25">
        <v>0</v>
      </c>
      <c r="FR25">
        <f t="shared" si="41"/>
        <v>0</v>
      </c>
      <c r="FS25">
        <v>0</v>
      </c>
      <c r="FX25">
        <v>95</v>
      </c>
      <c r="FY25">
        <v>65</v>
      </c>
      <c r="GA25" t="s">
        <v>3</v>
      </c>
      <c r="GD25">
        <v>0</v>
      </c>
      <c r="GF25">
        <v>697447041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2"/>
        <v>0</v>
      </c>
      <c r="GM25">
        <f t="shared" si="43"/>
        <v>19194.439999999999</v>
      </c>
      <c r="GN25">
        <f t="shared" si="44"/>
        <v>0</v>
      </c>
      <c r="GO25">
        <f t="shared" si="45"/>
        <v>19194.439999999999</v>
      </c>
      <c r="GP25">
        <f t="shared" si="46"/>
        <v>0</v>
      </c>
      <c r="GR25">
        <v>0</v>
      </c>
      <c r="GS25">
        <v>3</v>
      </c>
      <c r="GT25">
        <v>0</v>
      </c>
      <c r="GU25" t="s">
        <v>3</v>
      </c>
      <c r="GV25">
        <f t="shared" si="47"/>
        <v>0</v>
      </c>
      <c r="GW25">
        <v>1</v>
      </c>
      <c r="GX25">
        <f t="shared" si="48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ROW(SmtRes!A42)</f>
        <v>42</v>
      </c>
      <c r="D26">
        <f>ROW(EtalonRes!A42)</f>
        <v>42</v>
      </c>
      <c r="E26" t="s">
        <v>29</v>
      </c>
      <c r="F26" t="s">
        <v>30</v>
      </c>
      <c r="G26" t="s">
        <v>31</v>
      </c>
      <c r="H26" t="s">
        <v>27</v>
      </c>
      <c r="I26">
        <v>1</v>
      </c>
      <c r="J26">
        <v>0</v>
      </c>
      <c r="O26">
        <f t="shared" si="14"/>
        <v>57</v>
      </c>
      <c r="P26">
        <f t="shared" si="15"/>
        <v>0</v>
      </c>
      <c r="Q26">
        <f t="shared" si="16"/>
        <v>4.49</v>
      </c>
      <c r="R26">
        <f t="shared" si="17"/>
        <v>0.39</v>
      </c>
      <c r="S26">
        <f t="shared" si="18"/>
        <v>52.51</v>
      </c>
      <c r="T26">
        <f t="shared" si="19"/>
        <v>0</v>
      </c>
      <c r="U26">
        <f t="shared" si="20"/>
        <v>1.1579999999999999</v>
      </c>
      <c r="V26">
        <f t="shared" si="21"/>
        <v>6.0000000000000001E-3</v>
      </c>
      <c r="W26">
        <f t="shared" si="22"/>
        <v>0</v>
      </c>
      <c r="X26">
        <f t="shared" si="23"/>
        <v>50.26</v>
      </c>
      <c r="Y26">
        <f t="shared" si="24"/>
        <v>34.39</v>
      </c>
      <c r="AA26">
        <v>39610380</v>
      </c>
      <c r="AB26">
        <f t="shared" si="25"/>
        <v>11.68</v>
      </c>
      <c r="AC26">
        <f>ROUND(((ES26*0)),2)</f>
        <v>0</v>
      </c>
      <c r="AD26">
        <f>ROUND(((((ET26*0.3))-((EU26*0.3)))+AE26),2)</f>
        <v>0.92</v>
      </c>
      <c r="AE26">
        <f t="shared" si="26"/>
        <v>0.08</v>
      </c>
      <c r="AF26">
        <f t="shared" si="26"/>
        <v>10.76</v>
      </c>
      <c r="AG26">
        <f t="shared" si="27"/>
        <v>0</v>
      </c>
      <c r="AH26">
        <f t="shared" si="28"/>
        <v>1.1579999999999999</v>
      </c>
      <c r="AI26">
        <f t="shared" si="28"/>
        <v>6.0000000000000001E-3</v>
      </c>
      <c r="AJ26">
        <f t="shared" si="29"/>
        <v>0</v>
      </c>
      <c r="AK26">
        <v>104.51</v>
      </c>
      <c r="AL26">
        <v>65.599999999999994</v>
      </c>
      <c r="AM26">
        <v>3.05</v>
      </c>
      <c r="AN26">
        <v>0.26</v>
      </c>
      <c r="AO26">
        <v>35.86</v>
      </c>
      <c r="AP26">
        <v>0</v>
      </c>
      <c r="AQ26">
        <v>3.86</v>
      </c>
      <c r="AR26">
        <v>0.02</v>
      </c>
      <c r="AS26">
        <v>0</v>
      </c>
      <c r="AT26">
        <v>95</v>
      </c>
      <c r="AU26">
        <v>65</v>
      </c>
      <c r="AV26">
        <v>1</v>
      </c>
      <c r="AW26">
        <v>1</v>
      </c>
      <c r="AZ26">
        <v>4.88</v>
      </c>
      <c r="BA26">
        <v>4.88</v>
      </c>
      <c r="BB26">
        <v>4.88</v>
      </c>
      <c r="BC26">
        <v>4.88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2</v>
      </c>
      <c r="BJ26" t="s">
        <v>32</v>
      </c>
      <c r="BM26">
        <v>108001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4.88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95</v>
      </c>
      <c r="CA26">
        <v>65</v>
      </c>
      <c r="CF26">
        <v>0</v>
      </c>
      <c r="CG26">
        <v>0</v>
      </c>
      <c r="CM26">
        <v>0</v>
      </c>
      <c r="CN26" t="s">
        <v>17</v>
      </c>
      <c r="CO26">
        <v>0</v>
      </c>
      <c r="CP26">
        <f t="shared" si="30"/>
        <v>57</v>
      </c>
      <c r="CQ26">
        <f t="shared" si="31"/>
        <v>0</v>
      </c>
      <c r="CR26">
        <f t="shared" si="32"/>
        <v>4.4896000000000003</v>
      </c>
      <c r="CS26">
        <f t="shared" si="33"/>
        <v>0.39040000000000002</v>
      </c>
      <c r="CT26">
        <f t="shared" si="34"/>
        <v>52.508800000000001</v>
      </c>
      <c r="CU26">
        <f t="shared" si="35"/>
        <v>0</v>
      </c>
      <c r="CV26">
        <f t="shared" si="36"/>
        <v>1.1579999999999999</v>
      </c>
      <c r="CW26">
        <f t="shared" si="37"/>
        <v>6.0000000000000001E-3</v>
      </c>
      <c r="CX26">
        <f t="shared" si="38"/>
        <v>0</v>
      </c>
      <c r="CY26">
        <f t="shared" si="39"/>
        <v>50.255000000000003</v>
      </c>
      <c r="CZ26">
        <f t="shared" si="40"/>
        <v>34.384999999999998</v>
      </c>
      <c r="DC26" t="s">
        <v>3</v>
      </c>
      <c r="DD26" t="s">
        <v>18</v>
      </c>
      <c r="DE26" t="s">
        <v>19</v>
      </c>
      <c r="DF26" t="s">
        <v>19</v>
      </c>
      <c r="DG26" t="s">
        <v>19</v>
      </c>
      <c r="DH26" t="s">
        <v>3</v>
      </c>
      <c r="DI26" t="s">
        <v>19</v>
      </c>
      <c r="DJ26" t="s">
        <v>19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27</v>
      </c>
      <c r="DW26" t="s">
        <v>27</v>
      </c>
      <c r="DX26">
        <v>1</v>
      </c>
      <c r="EE26">
        <v>39174386</v>
      </c>
      <c r="EF26">
        <v>3</v>
      </c>
      <c r="EG26" t="s">
        <v>20</v>
      </c>
      <c r="EH26">
        <v>0</v>
      </c>
      <c r="EI26" t="s">
        <v>3</v>
      </c>
      <c r="EJ26">
        <v>2</v>
      </c>
      <c r="EK26">
        <v>108001</v>
      </c>
      <c r="EL26" t="s">
        <v>21</v>
      </c>
      <c r="EM26" t="s">
        <v>22</v>
      </c>
      <c r="EO26" t="s">
        <v>23</v>
      </c>
      <c r="EQ26">
        <v>0</v>
      </c>
      <c r="ER26">
        <v>104.51</v>
      </c>
      <c r="ES26">
        <v>65.599999999999994</v>
      </c>
      <c r="ET26">
        <v>3.05</v>
      </c>
      <c r="EU26">
        <v>0.26</v>
      </c>
      <c r="EV26">
        <v>35.86</v>
      </c>
      <c r="EW26">
        <v>3.86</v>
      </c>
      <c r="EX26">
        <v>0.02</v>
      </c>
      <c r="EY26">
        <v>0</v>
      </c>
      <c r="FQ26">
        <v>0</v>
      </c>
      <c r="FR26">
        <f t="shared" si="41"/>
        <v>0</v>
      </c>
      <c r="FS26">
        <v>0</v>
      </c>
      <c r="FX26">
        <v>95</v>
      </c>
      <c r="FY26">
        <v>65</v>
      </c>
      <c r="GA26" t="s">
        <v>3</v>
      </c>
      <c r="GD26">
        <v>0</v>
      </c>
      <c r="GF26">
        <v>-1520043211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2"/>
        <v>0</v>
      </c>
      <c r="GM26">
        <f t="shared" si="43"/>
        <v>141.65</v>
      </c>
      <c r="GN26">
        <f t="shared" si="44"/>
        <v>0</v>
      </c>
      <c r="GO26">
        <f t="shared" si="45"/>
        <v>141.65</v>
      </c>
      <c r="GP26">
        <f t="shared" si="46"/>
        <v>0</v>
      </c>
      <c r="GR26">
        <v>0</v>
      </c>
      <c r="GS26">
        <v>3</v>
      </c>
      <c r="GT26">
        <v>0</v>
      </c>
      <c r="GU26" t="s">
        <v>3</v>
      </c>
      <c r="GV26">
        <f t="shared" si="47"/>
        <v>0</v>
      </c>
      <c r="GW26">
        <v>1</v>
      </c>
      <c r="GX26">
        <f t="shared" si="48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ROW(SmtRes!A45)</f>
        <v>45</v>
      </c>
      <c r="D27">
        <f>ROW(EtalonRes!A45)</f>
        <v>45</v>
      </c>
      <c r="E27" t="s">
        <v>33</v>
      </c>
      <c r="F27" t="s">
        <v>34</v>
      </c>
      <c r="G27" t="s">
        <v>35</v>
      </c>
      <c r="H27" t="s">
        <v>36</v>
      </c>
      <c r="I27">
        <f>ROUND(18/100,9)</f>
        <v>0.18</v>
      </c>
      <c r="J27">
        <v>0</v>
      </c>
      <c r="O27">
        <f t="shared" si="14"/>
        <v>66.319999999999993</v>
      </c>
      <c r="P27">
        <f t="shared" si="15"/>
        <v>0</v>
      </c>
      <c r="Q27">
        <f t="shared" si="16"/>
        <v>0.27</v>
      </c>
      <c r="R27">
        <f t="shared" si="17"/>
        <v>0.12</v>
      </c>
      <c r="S27">
        <f t="shared" si="18"/>
        <v>66.05</v>
      </c>
      <c r="T27">
        <f t="shared" si="19"/>
        <v>0</v>
      </c>
      <c r="U27">
        <f t="shared" si="20"/>
        <v>1.7352000000000001</v>
      </c>
      <c r="V27">
        <f t="shared" si="21"/>
        <v>1.8E-3</v>
      </c>
      <c r="W27">
        <f t="shared" si="22"/>
        <v>0</v>
      </c>
      <c r="X27">
        <f t="shared" si="23"/>
        <v>56.24</v>
      </c>
      <c r="Y27">
        <f t="shared" si="24"/>
        <v>43.01</v>
      </c>
      <c r="AA27">
        <v>39610380</v>
      </c>
      <c r="AB27">
        <f t="shared" si="25"/>
        <v>75.5</v>
      </c>
      <c r="AC27">
        <f>ROUND((ES27),2)</f>
        <v>0</v>
      </c>
      <c r="AD27">
        <f>ROUND((((ET27)-(EU27))+AE27),2)</f>
        <v>0.31</v>
      </c>
      <c r="AE27">
        <f>ROUND((EU27),2)</f>
        <v>0.14000000000000001</v>
      </c>
      <c r="AF27">
        <f>ROUND((EV27),2)</f>
        <v>75.19</v>
      </c>
      <c r="AG27">
        <f t="shared" si="27"/>
        <v>0</v>
      </c>
      <c r="AH27">
        <f>(EW27)</f>
        <v>9.64</v>
      </c>
      <c r="AI27">
        <f>(EX27)</f>
        <v>0.01</v>
      </c>
      <c r="AJ27">
        <f t="shared" si="29"/>
        <v>0</v>
      </c>
      <c r="AK27">
        <v>75.5</v>
      </c>
      <c r="AL27">
        <v>0</v>
      </c>
      <c r="AM27">
        <v>0.31</v>
      </c>
      <c r="AN27">
        <v>0.14000000000000001</v>
      </c>
      <c r="AO27">
        <v>75.19</v>
      </c>
      <c r="AP27">
        <v>0</v>
      </c>
      <c r="AQ27">
        <v>9.64</v>
      </c>
      <c r="AR27">
        <v>0.01</v>
      </c>
      <c r="AS27">
        <v>0</v>
      </c>
      <c r="AT27">
        <v>85</v>
      </c>
      <c r="AU27">
        <v>65</v>
      </c>
      <c r="AV27">
        <v>1</v>
      </c>
      <c r="AW27">
        <v>1</v>
      </c>
      <c r="AZ27">
        <v>4.88</v>
      </c>
      <c r="BA27">
        <v>4.88</v>
      </c>
      <c r="BB27">
        <v>4.88</v>
      </c>
      <c r="BC27">
        <v>4.88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37</v>
      </c>
      <c r="BM27">
        <v>67001</v>
      </c>
      <c r="BN27">
        <v>0</v>
      </c>
      <c r="BO27" t="s">
        <v>3</v>
      </c>
      <c r="BP27">
        <v>0</v>
      </c>
      <c r="BQ27">
        <v>6</v>
      </c>
      <c r="BR27">
        <v>0</v>
      </c>
      <c r="BS27">
        <v>4.88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85</v>
      </c>
      <c r="CA27">
        <v>65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0"/>
        <v>66.319999999999993</v>
      </c>
      <c r="CQ27">
        <f t="shared" si="31"/>
        <v>0</v>
      </c>
      <c r="CR27">
        <f t="shared" si="32"/>
        <v>1.5127999999999999</v>
      </c>
      <c r="CS27">
        <f t="shared" si="33"/>
        <v>0.68320000000000003</v>
      </c>
      <c r="CT27">
        <f t="shared" si="34"/>
        <v>366.92719999999997</v>
      </c>
      <c r="CU27">
        <f t="shared" si="35"/>
        <v>0</v>
      </c>
      <c r="CV27">
        <f t="shared" si="36"/>
        <v>9.64</v>
      </c>
      <c r="CW27">
        <f t="shared" si="37"/>
        <v>0.01</v>
      </c>
      <c r="CX27">
        <f t="shared" si="38"/>
        <v>0</v>
      </c>
      <c r="CY27">
        <f t="shared" si="39"/>
        <v>56.244499999999995</v>
      </c>
      <c r="CZ27">
        <f t="shared" si="40"/>
        <v>43.0105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1003</v>
      </c>
      <c r="DV27" t="s">
        <v>36</v>
      </c>
      <c r="DW27" t="s">
        <v>36</v>
      </c>
      <c r="DX27">
        <v>100</v>
      </c>
      <c r="EE27">
        <v>39174628</v>
      </c>
      <c r="EF27">
        <v>6</v>
      </c>
      <c r="EG27" t="s">
        <v>38</v>
      </c>
      <c r="EH27">
        <v>0</v>
      </c>
      <c r="EI27" t="s">
        <v>3</v>
      </c>
      <c r="EJ27">
        <v>1</v>
      </c>
      <c r="EK27">
        <v>67001</v>
      </c>
      <c r="EL27" t="s">
        <v>39</v>
      </c>
      <c r="EM27" t="s">
        <v>40</v>
      </c>
      <c r="EO27" t="s">
        <v>3</v>
      </c>
      <c r="EQ27">
        <v>0</v>
      </c>
      <c r="ER27">
        <v>75.5</v>
      </c>
      <c r="ES27">
        <v>0</v>
      </c>
      <c r="ET27">
        <v>0.31</v>
      </c>
      <c r="EU27">
        <v>0.14000000000000001</v>
      </c>
      <c r="EV27">
        <v>75.19</v>
      </c>
      <c r="EW27">
        <v>9.64</v>
      </c>
      <c r="EX27">
        <v>0.01</v>
      </c>
      <c r="EY27">
        <v>0</v>
      </c>
      <c r="FQ27">
        <v>0</v>
      </c>
      <c r="FR27">
        <f t="shared" si="41"/>
        <v>0</v>
      </c>
      <c r="FS27">
        <v>0</v>
      </c>
      <c r="FX27">
        <v>85</v>
      </c>
      <c r="FY27">
        <v>65</v>
      </c>
      <c r="GA27" t="s">
        <v>3</v>
      </c>
      <c r="GD27">
        <v>0</v>
      </c>
      <c r="GF27">
        <v>994189354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2"/>
        <v>0</v>
      </c>
      <c r="GM27">
        <f t="shared" si="43"/>
        <v>165.57</v>
      </c>
      <c r="GN27">
        <f t="shared" si="44"/>
        <v>165.57</v>
      </c>
      <c r="GO27">
        <f t="shared" si="45"/>
        <v>0</v>
      </c>
      <c r="GP27">
        <f t="shared" si="46"/>
        <v>0</v>
      </c>
      <c r="GR27">
        <v>0</v>
      </c>
      <c r="GS27">
        <v>3</v>
      </c>
      <c r="GT27">
        <v>0</v>
      </c>
      <c r="GU27" t="s">
        <v>3</v>
      </c>
      <c r="GV27">
        <f t="shared" si="47"/>
        <v>0</v>
      </c>
      <c r="GW27">
        <v>1</v>
      </c>
      <c r="GX27">
        <f t="shared" si="48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ROW(SmtRes!A53)</f>
        <v>53</v>
      </c>
      <c r="D28">
        <f>ROW(EtalonRes!A53)</f>
        <v>53</v>
      </c>
      <c r="E28" t="s">
        <v>41</v>
      </c>
      <c r="F28" t="s">
        <v>42</v>
      </c>
      <c r="G28" t="s">
        <v>43</v>
      </c>
      <c r="H28" t="s">
        <v>27</v>
      </c>
      <c r="I28">
        <v>8</v>
      </c>
      <c r="J28">
        <v>0</v>
      </c>
      <c r="O28">
        <f t="shared" si="14"/>
        <v>313.88</v>
      </c>
      <c r="P28">
        <f t="shared" si="15"/>
        <v>0</v>
      </c>
      <c r="Q28">
        <f t="shared" si="16"/>
        <v>208.08</v>
      </c>
      <c r="R28">
        <f t="shared" si="17"/>
        <v>29.28</v>
      </c>
      <c r="S28">
        <f t="shared" si="18"/>
        <v>105.8</v>
      </c>
      <c r="T28">
        <f t="shared" si="19"/>
        <v>0</v>
      </c>
      <c r="U28">
        <f t="shared" si="20"/>
        <v>2.0640000000000001</v>
      </c>
      <c r="V28">
        <f t="shared" si="21"/>
        <v>0.48</v>
      </c>
      <c r="W28">
        <f t="shared" si="22"/>
        <v>0</v>
      </c>
      <c r="X28">
        <f t="shared" si="23"/>
        <v>128.33000000000001</v>
      </c>
      <c r="Y28">
        <f t="shared" si="24"/>
        <v>87.8</v>
      </c>
      <c r="AA28">
        <v>39610380</v>
      </c>
      <c r="AB28">
        <f t="shared" si="25"/>
        <v>8.0399999999999991</v>
      </c>
      <c r="AC28">
        <f>ROUND(((ES28*0)),2)</f>
        <v>0</v>
      </c>
      <c r="AD28">
        <f>ROUND(((((ET28*0.3))-((EU28*0.3)))+AE28),2)</f>
        <v>5.33</v>
      </c>
      <c r="AE28">
        <f>ROUND(((EU28*0.3)),2)</f>
        <v>0.75</v>
      </c>
      <c r="AF28">
        <f>ROUND(((EV28*0.3)),2)</f>
        <v>2.71</v>
      </c>
      <c r="AG28">
        <f t="shared" si="27"/>
        <v>0</v>
      </c>
      <c r="AH28">
        <f>((EW28*0.3))</f>
        <v>0.25800000000000001</v>
      </c>
      <c r="AI28">
        <f>((EX28*0.3))</f>
        <v>0.06</v>
      </c>
      <c r="AJ28">
        <f t="shared" si="29"/>
        <v>0</v>
      </c>
      <c r="AK28">
        <v>32.99</v>
      </c>
      <c r="AL28">
        <v>6.19</v>
      </c>
      <c r="AM28">
        <v>17.77</v>
      </c>
      <c r="AN28">
        <v>2.5099999999999998</v>
      </c>
      <c r="AO28">
        <v>9.0299999999999994</v>
      </c>
      <c r="AP28">
        <v>0</v>
      </c>
      <c r="AQ28">
        <v>0.86</v>
      </c>
      <c r="AR28">
        <v>0.2</v>
      </c>
      <c r="AS28">
        <v>0</v>
      </c>
      <c r="AT28">
        <v>95</v>
      </c>
      <c r="AU28">
        <v>65</v>
      </c>
      <c r="AV28">
        <v>1</v>
      </c>
      <c r="AW28">
        <v>1</v>
      </c>
      <c r="AZ28">
        <v>4.88</v>
      </c>
      <c r="BA28">
        <v>4.88</v>
      </c>
      <c r="BB28">
        <v>4.88</v>
      </c>
      <c r="BC28">
        <v>4.88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44</v>
      </c>
      <c r="BM28">
        <v>108001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4.88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95</v>
      </c>
      <c r="CA28">
        <v>65</v>
      </c>
      <c r="CF28">
        <v>0</v>
      </c>
      <c r="CG28">
        <v>0</v>
      </c>
      <c r="CM28">
        <v>0</v>
      </c>
      <c r="CN28" t="s">
        <v>17</v>
      </c>
      <c r="CO28">
        <v>0</v>
      </c>
      <c r="CP28">
        <f t="shared" si="30"/>
        <v>313.88</v>
      </c>
      <c r="CQ28">
        <f t="shared" si="31"/>
        <v>0</v>
      </c>
      <c r="CR28">
        <f t="shared" si="32"/>
        <v>26.010400000000001</v>
      </c>
      <c r="CS28">
        <f t="shared" si="33"/>
        <v>3.66</v>
      </c>
      <c r="CT28">
        <f t="shared" si="34"/>
        <v>13.2248</v>
      </c>
      <c r="CU28">
        <f t="shared" si="35"/>
        <v>0</v>
      </c>
      <c r="CV28">
        <f t="shared" si="36"/>
        <v>0.25800000000000001</v>
      </c>
      <c r="CW28">
        <f t="shared" si="37"/>
        <v>0.06</v>
      </c>
      <c r="CX28">
        <f t="shared" si="38"/>
        <v>0</v>
      </c>
      <c r="CY28">
        <f t="shared" si="39"/>
        <v>128.32599999999999</v>
      </c>
      <c r="CZ28">
        <f t="shared" si="40"/>
        <v>87.801999999999992</v>
      </c>
      <c r="DC28" t="s">
        <v>3</v>
      </c>
      <c r="DD28" t="s">
        <v>18</v>
      </c>
      <c r="DE28" t="s">
        <v>19</v>
      </c>
      <c r="DF28" t="s">
        <v>19</v>
      </c>
      <c r="DG28" t="s">
        <v>19</v>
      </c>
      <c r="DH28" t="s">
        <v>3</v>
      </c>
      <c r="DI28" t="s">
        <v>19</v>
      </c>
      <c r="DJ28" t="s">
        <v>19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27</v>
      </c>
      <c r="DW28" t="s">
        <v>27</v>
      </c>
      <c r="DX28">
        <v>1</v>
      </c>
      <c r="EE28">
        <v>39174386</v>
      </c>
      <c r="EF28">
        <v>3</v>
      </c>
      <c r="EG28" t="s">
        <v>20</v>
      </c>
      <c r="EH28">
        <v>0</v>
      </c>
      <c r="EI28" t="s">
        <v>3</v>
      </c>
      <c r="EJ28">
        <v>2</v>
      </c>
      <c r="EK28">
        <v>108001</v>
      </c>
      <c r="EL28" t="s">
        <v>21</v>
      </c>
      <c r="EM28" t="s">
        <v>22</v>
      </c>
      <c r="EO28" t="s">
        <v>23</v>
      </c>
      <c r="EQ28">
        <v>0</v>
      </c>
      <c r="ER28">
        <v>32.99</v>
      </c>
      <c r="ES28">
        <v>6.19</v>
      </c>
      <c r="ET28">
        <v>17.77</v>
      </c>
      <c r="EU28">
        <v>2.5099999999999998</v>
      </c>
      <c r="EV28">
        <v>9.0299999999999994</v>
      </c>
      <c r="EW28">
        <v>0.86</v>
      </c>
      <c r="EX28">
        <v>0.2</v>
      </c>
      <c r="EY28">
        <v>0</v>
      </c>
      <c r="FQ28">
        <v>0</v>
      </c>
      <c r="FR28">
        <f t="shared" si="41"/>
        <v>0</v>
      </c>
      <c r="FS28">
        <v>0</v>
      </c>
      <c r="FX28">
        <v>95</v>
      </c>
      <c r="FY28">
        <v>65</v>
      </c>
      <c r="GA28" t="s">
        <v>3</v>
      </c>
      <c r="GD28">
        <v>0</v>
      </c>
      <c r="GF28">
        <v>1091227919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2"/>
        <v>0</v>
      </c>
      <c r="GM28">
        <f t="shared" si="43"/>
        <v>530.01</v>
      </c>
      <c r="GN28">
        <f t="shared" si="44"/>
        <v>0</v>
      </c>
      <c r="GO28">
        <f t="shared" si="45"/>
        <v>530.01</v>
      </c>
      <c r="GP28">
        <f t="shared" si="46"/>
        <v>0</v>
      </c>
      <c r="GR28">
        <v>0</v>
      </c>
      <c r="GS28">
        <v>3</v>
      </c>
      <c r="GT28">
        <v>0</v>
      </c>
      <c r="GU28" t="s">
        <v>3</v>
      </c>
      <c r="GV28">
        <f t="shared" si="47"/>
        <v>0</v>
      </c>
      <c r="GW28">
        <v>1</v>
      </c>
      <c r="GX28">
        <f t="shared" si="48"/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ROW(SmtRes!A54)</f>
        <v>54</v>
      </c>
      <c r="D29">
        <f>ROW(EtalonRes!A54)</f>
        <v>54</v>
      </c>
      <c r="E29" t="s">
        <v>45</v>
      </c>
      <c r="F29" t="s">
        <v>46</v>
      </c>
      <c r="G29" t="s">
        <v>47</v>
      </c>
      <c r="H29" t="s">
        <v>48</v>
      </c>
      <c r="I29">
        <f>ROUND(920/100,9)</f>
        <v>9.1999999999999993</v>
      </c>
      <c r="J29">
        <v>0</v>
      </c>
      <c r="O29">
        <f t="shared" si="14"/>
        <v>71107.179999999993</v>
      </c>
      <c r="P29">
        <f t="shared" si="15"/>
        <v>0</v>
      </c>
      <c r="Q29">
        <f t="shared" si="16"/>
        <v>0</v>
      </c>
      <c r="R29">
        <f t="shared" si="17"/>
        <v>0</v>
      </c>
      <c r="S29">
        <f t="shared" si="18"/>
        <v>71107.179999999993</v>
      </c>
      <c r="T29">
        <f t="shared" si="19"/>
        <v>0</v>
      </c>
      <c r="U29">
        <f t="shared" si="20"/>
        <v>1738.8</v>
      </c>
      <c r="V29">
        <f t="shared" si="21"/>
        <v>0</v>
      </c>
      <c r="W29">
        <f t="shared" si="22"/>
        <v>0</v>
      </c>
      <c r="X29">
        <f t="shared" si="23"/>
        <v>51197.17</v>
      </c>
      <c r="Y29">
        <f t="shared" si="24"/>
        <v>27020.73</v>
      </c>
      <c r="AA29">
        <v>39610380</v>
      </c>
      <c r="AB29">
        <f t="shared" si="25"/>
        <v>1583.82</v>
      </c>
      <c r="AC29">
        <f t="shared" ref="AC29:AC54" si="49">ROUND((ES29),2)</f>
        <v>0</v>
      </c>
      <c r="AD29">
        <f>ROUND((((ET29)-(EU29))+AE29),2)</f>
        <v>0</v>
      </c>
      <c r="AE29">
        <f>ROUND((EU29),2)</f>
        <v>0</v>
      </c>
      <c r="AF29">
        <f>ROUND((EV29),2)</f>
        <v>1583.82</v>
      </c>
      <c r="AG29">
        <f t="shared" si="27"/>
        <v>0</v>
      </c>
      <c r="AH29">
        <f>(EW29)</f>
        <v>189</v>
      </c>
      <c r="AI29">
        <f>(EX29)</f>
        <v>0</v>
      </c>
      <c r="AJ29">
        <f t="shared" si="29"/>
        <v>0</v>
      </c>
      <c r="AK29">
        <v>1583.82</v>
      </c>
      <c r="AL29">
        <v>0</v>
      </c>
      <c r="AM29">
        <v>0</v>
      </c>
      <c r="AN29">
        <v>0</v>
      </c>
      <c r="AO29">
        <v>1583.82</v>
      </c>
      <c r="AP29">
        <v>0</v>
      </c>
      <c r="AQ29">
        <v>189</v>
      </c>
      <c r="AR29">
        <v>0</v>
      </c>
      <c r="AS29">
        <v>0</v>
      </c>
      <c r="AT29">
        <v>72</v>
      </c>
      <c r="AU29">
        <v>38</v>
      </c>
      <c r="AV29">
        <v>1</v>
      </c>
      <c r="AW29">
        <v>1</v>
      </c>
      <c r="AZ29">
        <v>4.88</v>
      </c>
      <c r="BA29">
        <v>4.88</v>
      </c>
      <c r="BB29">
        <v>4.88</v>
      </c>
      <c r="BC29">
        <v>4.88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49</v>
      </c>
      <c r="BM29">
        <v>1003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4.88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45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0"/>
        <v>71107.179999999993</v>
      </c>
      <c r="CQ29">
        <f t="shared" si="31"/>
        <v>0</v>
      </c>
      <c r="CR29">
        <f t="shared" si="32"/>
        <v>0</v>
      </c>
      <c r="CS29">
        <f t="shared" si="33"/>
        <v>0</v>
      </c>
      <c r="CT29">
        <f t="shared" si="34"/>
        <v>7729.0415999999996</v>
      </c>
      <c r="CU29">
        <f t="shared" si="35"/>
        <v>0</v>
      </c>
      <c r="CV29">
        <f t="shared" si="36"/>
        <v>189</v>
      </c>
      <c r="CW29">
        <f t="shared" si="37"/>
        <v>0</v>
      </c>
      <c r="CX29">
        <f t="shared" si="38"/>
        <v>0</v>
      </c>
      <c r="CY29">
        <f t="shared" si="39"/>
        <v>51197.169599999994</v>
      </c>
      <c r="CZ29">
        <f t="shared" si="40"/>
        <v>27020.7284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1007</v>
      </c>
      <c r="DV29" t="s">
        <v>48</v>
      </c>
      <c r="DW29" t="s">
        <v>48</v>
      </c>
      <c r="DX29">
        <v>100</v>
      </c>
      <c r="EE29">
        <v>39174479</v>
      </c>
      <c r="EF29">
        <v>2</v>
      </c>
      <c r="EG29" t="s">
        <v>50</v>
      </c>
      <c r="EH29">
        <v>0</v>
      </c>
      <c r="EI29" t="s">
        <v>3</v>
      </c>
      <c r="EJ29">
        <v>1</v>
      </c>
      <c r="EK29">
        <v>1003</v>
      </c>
      <c r="EL29" t="s">
        <v>51</v>
      </c>
      <c r="EM29" t="s">
        <v>52</v>
      </c>
      <c r="EO29" t="s">
        <v>3</v>
      </c>
      <c r="EQ29">
        <v>0</v>
      </c>
      <c r="ER29">
        <v>1583.82</v>
      </c>
      <c r="ES29">
        <v>0</v>
      </c>
      <c r="ET29">
        <v>0</v>
      </c>
      <c r="EU29">
        <v>0</v>
      </c>
      <c r="EV29">
        <v>1583.82</v>
      </c>
      <c r="EW29">
        <v>189</v>
      </c>
      <c r="EX29">
        <v>0</v>
      </c>
      <c r="EY29">
        <v>0</v>
      </c>
      <c r="FQ29">
        <v>0</v>
      </c>
      <c r="FR29">
        <f t="shared" si="41"/>
        <v>0</v>
      </c>
      <c r="FS29">
        <v>0</v>
      </c>
      <c r="FT29" t="s">
        <v>53</v>
      </c>
      <c r="FU29" t="s">
        <v>54</v>
      </c>
      <c r="FX29">
        <v>72</v>
      </c>
      <c r="FY29">
        <v>38.25</v>
      </c>
      <c r="GA29" t="s">
        <v>3</v>
      </c>
      <c r="GD29">
        <v>0</v>
      </c>
      <c r="GF29">
        <v>1494300783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2"/>
        <v>0</v>
      </c>
      <c r="GM29">
        <f t="shared" si="43"/>
        <v>149325.07999999999</v>
      </c>
      <c r="GN29">
        <f t="shared" si="44"/>
        <v>149325.07999999999</v>
      </c>
      <c r="GO29">
        <f t="shared" si="45"/>
        <v>0</v>
      </c>
      <c r="GP29">
        <f t="shared" si="46"/>
        <v>0</v>
      </c>
      <c r="GR29">
        <v>0</v>
      </c>
      <c r="GS29">
        <v>3</v>
      </c>
      <c r="GT29">
        <v>0</v>
      </c>
      <c r="GU29" t="s">
        <v>3</v>
      </c>
      <c r="GV29">
        <f t="shared" si="47"/>
        <v>0</v>
      </c>
      <c r="GW29">
        <v>1</v>
      </c>
      <c r="GX29">
        <f t="shared" si="48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ROW(SmtRes!A57)</f>
        <v>57</v>
      </c>
      <c r="D30">
        <f>ROW(EtalonRes!A57)</f>
        <v>57</v>
      </c>
      <c r="E30" t="s">
        <v>55</v>
      </c>
      <c r="F30" t="s">
        <v>56</v>
      </c>
      <c r="G30" t="s">
        <v>57</v>
      </c>
      <c r="H30" t="s">
        <v>58</v>
      </c>
      <c r="I30">
        <v>0.12</v>
      </c>
      <c r="J30">
        <v>0</v>
      </c>
      <c r="O30">
        <f t="shared" si="14"/>
        <v>383.05</v>
      </c>
      <c r="P30">
        <f t="shared" si="15"/>
        <v>0</v>
      </c>
      <c r="Q30">
        <f t="shared" si="16"/>
        <v>238.02</v>
      </c>
      <c r="R30">
        <f t="shared" si="17"/>
        <v>0</v>
      </c>
      <c r="S30">
        <f t="shared" si="18"/>
        <v>145.03</v>
      </c>
      <c r="T30">
        <f t="shared" si="19"/>
        <v>0</v>
      </c>
      <c r="U30">
        <f t="shared" si="20"/>
        <v>3.3131999999999997</v>
      </c>
      <c r="V30">
        <f t="shared" si="21"/>
        <v>0</v>
      </c>
      <c r="W30">
        <f t="shared" si="22"/>
        <v>0</v>
      </c>
      <c r="X30">
        <f t="shared" si="23"/>
        <v>143.58000000000001</v>
      </c>
      <c r="Y30">
        <f t="shared" si="24"/>
        <v>87.02</v>
      </c>
      <c r="AA30">
        <v>39610380</v>
      </c>
      <c r="AB30">
        <f t="shared" si="25"/>
        <v>654.12</v>
      </c>
      <c r="AC30">
        <f t="shared" si="49"/>
        <v>0</v>
      </c>
      <c r="AD30">
        <f>ROUND((((ET30)-(EU30))+AE30),2)</f>
        <v>406.46</v>
      </c>
      <c r="AE30">
        <f>ROUND((EU30),2)</f>
        <v>0</v>
      </c>
      <c r="AF30">
        <f>ROUND((EV30),2)</f>
        <v>247.66</v>
      </c>
      <c r="AG30">
        <f t="shared" si="27"/>
        <v>0</v>
      </c>
      <c r="AH30">
        <f>(EW30)</f>
        <v>27.61</v>
      </c>
      <c r="AI30">
        <f>(EX30)</f>
        <v>0</v>
      </c>
      <c r="AJ30">
        <f t="shared" si="29"/>
        <v>0</v>
      </c>
      <c r="AK30">
        <v>654.12</v>
      </c>
      <c r="AL30">
        <v>0</v>
      </c>
      <c r="AM30">
        <v>406.46</v>
      </c>
      <c r="AN30">
        <v>0</v>
      </c>
      <c r="AO30">
        <v>247.66</v>
      </c>
      <c r="AP30">
        <v>0</v>
      </c>
      <c r="AQ30">
        <v>27.61</v>
      </c>
      <c r="AR30">
        <v>0</v>
      </c>
      <c r="AS30">
        <v>0</v>
      </c>
      <c r="AT30">
        <v>99</v>
      </c>
      <c r="AU30">
        <v>60</v>
      </c>
      <c r="AV30">
        <v>1</v>
      </c>
      <c r="AW30">
        <v>1</v>
      </c>
      <c r="AZ30">
        <v>4.88</v>
      </c>
      <c r="BA30">
        <v>4.88</v>
      </c>
      <c r="BB30">
        <v>4.88</v>
      </c>
      <c r="BC30">
        <v>4.88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59</v>
      </c>
      <c r="BM30">
        <v>46001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4.88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110</v>
      </c>
      <c r="CA30">
        <v>70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0"/>
        <v>383.05</v>
      </c>
      <c r="CQ30">
        <f t="shared" si="31"/>
        <v>0</v>
      </c>
      <c r="CR30">
        <f t="shared" si="32"/>
        <v>1983.5247999999999</v>
      </c>
      <c r="CS30">
        <f t="shared" si="33"/>
        <v>0</v>
      </c>
      <c r="CT30">
        <f t="shared" si="34"/>
        <v>1208.5808</v>
      </c>
      <c r="CU30">
        <f t="shared" si="35"/>
        <v>0</v>
      </c>
      <c r="CV30">
        <f t="shared" si="36"/>
        <v>27.61</v>
      </c>
      <c r="CW30">
        <f t="shared" si="37"/>
        <v>0</v>
      </c>
      <c r="CX30">
        <f t="shared" si="38"/>
        <v>0</v>
      </c>
      <c r="CY30">
        <f t="shared" si="39"/>
        <v>143.5797</v>
      </c>
      <c r="CZ30">
        <f t="shared" si="40"/>
        <v>87.017999999999986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1007</v>
      </c>
      <c r="DV30" t="s">
        <v>58</v>
      </c>
      <c r="DW30" t="s">
        <v>58</v>
      </c>
      <c r="DX30">
        <v>1</v>
      </c>
      <c r="EE30">
        <v>39174571</v>
      </c>
      <c r="EF30">
        <v>2</v>
      </c>
      <c r="EG30" t="s">
        <v>50</v>
      </c>
      <c r="EH30">
        <v>0</v>
      </c>
      <c r="EI30" t="s">
        <v>3</v>
      </c>
      <c r="EJ30">
        <v>1</v>
      </c>
      <c r="EK30">
        <v>46001</v>
      </c>
      <c r="EL30" t="s">
        <v>60</v>
      </c>
      <c r="EM30" t="s">
        <v>61</v>
      </c>
      <c r="EO30" t="s">
        <v>3</v>
      </c>
      <c r="EQ30">
        <v>0</v>
      </c>
      <c r="ER30">
        <v>654.12</v>
      </c>
      <c r="ES30">
        <v>0</v>
      </c>
      <c r="ET30">
        <v>406.46</v>
      </c>
      <c r="EU30">
        <v>0</v>
      </c>
      <c r="EV30">
        <v>247.66</v>
      </c>
      <c r="EW30">
        <v>27.61</v>
      </c>
      <c r="EX30">
        <v>0</v>
      </c>
      <c r="EY30">
        <v>0</v>
      </c>
      <c r="FQ30">
        <v>0</v>
      </c>
      <c r="FR30">
        <f t="shared" si="41"/>
        <v>0</v>
      </c>
      <c r="FS30">
        <v>0</v>
      </c>
      <c r="FT30" t="s">
        <v>53</v>
      </c>
      <c r="FU30" t="s">
        <v>54</v>
      </c>
      <c r="FX30">
        <v>99</v>
      </c>
      <c r="FY30">
        <v>59.5</v>
      </c>
      <c r="GA30" t="s">
        <v>3</v>
      </c>
      <c r="GD30">
        <v>0</v>
      </c>
      <c r="GF30">
        <v>-707843890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2"/>
        <v>0</v>
      </c>
      <c r="GM30">
        <f t="shared" si="43"/>
        <v>613.65</v>
      </c>
      <c r="GN30">
        <f t="shared" si="44"/>
        <v>613.65</v>
      </c>
      <c r="GO30">
        <f t="shared" si="45"/>
        <v>0</v>
      </c>
      <c r="GP30">
        <f t="shared" si="46"/>
        <v>0</v>
      </c>
      <c r="GR30">
        <v>0</v>
      </c>
      <c r="GS30">
        <v>3</v>
      </c>
      <c r="GT30">
        <v>0</v>
      </c>
      <c r="GU30" t="s">
        <v>3</v>
      </c>
      <c r="GV30">
        <f t="shared" si="47"/>
        <v>0</v>
      </c>
      <c r="GW30">
        <v>1</v>
      </c>
      <c r="GX30">
        <f t="shared" si="48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ROW(SmtRes!A64)</f>
        <v>64</v>
      </c>
      <c r="D31">
        <f>ROW(EtalonRes!A64)</f>
        <v>64</v>
      </c>
      <c r="E31" t="s">
        <v>62</v>
      </c>
      <c r="F31" t="s">
        <v>63</v>
      </c>
      <c r="G31" t="s">
        <v>64</v>
      </c>
      <c r="H31" t="s">
        <v>58</v>
      </c>
      <c r="I31">
        <v>7.4</v>
      </c>
      <c r="J31">
        <v>0</v>
      </c>
      <c r="O31">
        <f t="shared" si="14"/>
        <v>8262.42</v>
      </c>
      <c r="P31">
        <f t="shared" si="15"/>
        <v>4415.41</v>
      </c>
      <c r="Q31">
        <f t="shared" si="16"/>
        <v>1404.03</v>
      </c>
      <c r="R31">
        <f t="shared" si="17"/>
        <v>219.56</v>
      </c>
      <c r="S31">
        <f t="shared" si="18"/>
        <v>2442.98</v>
      </c>
      <c r="T31">
        <f t="shared" si="19"/>
        <v>0</v>
      </c>
      <c r="U31">
        <f t="shared" si="20"/>
        <v>60.250799999999998</v>
      </c>
      <c r="V31">
        <f t="shared" si="21"/>
        <v>3.3299999999999996</v>
      </c>
      <c r="W31">
        <f t="shared" si="22"/>
        <v>0</v>
      </c>
      <c r="X31">
        <f t="shared" si="23"/>
        <v>2928.79</v>
      </c>
      <c r="Y31">
        <f t="shared" si="24"/>
        <v>1810.53</v>
      </c>
      <c r="AA31">
        <v>39610380</v>
      </c>
      <c r="AB31">
        <f t="shared" si="25"/>
        <v>228.8</v>
      </c>
      <c r="AC31">
        <f t="shared" si="49"/>
        <v>122.27</v>
      </c>
      <c r="AD31">
        <f>ROUND(((((ET31*1.25))-((EU31*1.25)))+AE31),2)</f>
        <v>38.880000000000003</v>
      </c>
      <c r="AE31">
        <f>ROUND(((EU31*1.25)),2)</f>
        <v>6.08</v>
      </c>
      <c r="AF31">
        <f>ROUND(((EV31*1.15)),2)</f>
        <v>67.650000000000006</v>
      </c>
      <c r="AG31">
        <f t="shared" si="27"/>
        <v>0</v>
      </c>
      <c r="AH31">
        <f>((EW31*1.15))</f>
        <v>8.1419999999999995</v>
      </c>
      <c r="AI31">
        <f>((EX31*1.25))</f>
        <v>0.44999999999999996</v>
      </c>
      <c r="AJ31">
        <f t="shared" si="29"/>
        <v>0</v>
      </c>
      <c r="AK31">
        <v>212.2</v>
      </c>
      <c r="AL31">
        <v>122.27</v>
      </c>
      <c r="AM31">
        <v>31.1</v>
      </c>
      <c r="AN31">
        <v>4.8600000000000003</v>
      </c>
      <c r="AO31">
        <v>58.83</v>
      </c>
      <c r="AP31">
        <v>0</v>
      </c>
      <c r="AQ31">
        <v>7.08</v>
      </c>
      <c r="AR31">
        <v>0.36</v>
      </c>
      <c r="AS31">
        <v>0</v>
      </c>
      <c r="AT31">
        <v>110</v>
      </c>
      <c r="AU31">
        <v>68</v>
      </c>
      <c r="AV31">
        <v>1</v>
      </c>
      <c r="AW31">
        <v>1</v>
      </c>
      <c r="AZ31">
        <v>4.88</v>
      </c>
      <c r="BA31">
        <v>4.88</v>
      </c>
      <c r="BB31">
        <v>4.88</v>
      </c>
      <c r="BC31">
        <v>4.88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65</v>
      </c>
      <c r="BM31">
        <v>8001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4.88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122</v>
      </c>
      <c r="CA31">
        <v>80</v>
      </c>
      <c r="CF31">
        <v>0</v>
      </c>
      <c r="CG31">
        <v>0</v>
      </c>
      <c r="CM31">
        <v>0</v>
      </c>
      <c r="CN31" t="s">
        <v>66</v>
      </c>
      <c r="CO31">
        <v>0</v>
      </c>
      <c r="CP31">
        <f t="shared" si="30"/>
        <v>8262.42</v>
      </c>
      <c r="CQ31">
        <f t="shared" si="31"/>
        <v>596.67759999999998</v>
      </c>
      <c r="CR31">
        <f t="shared" si="32"/>
        <v>189.73440000000002</v>
      </c>
      <c r="CS31">
        <f t="shared" si="33"/>
        <v>29.670400000000001</v>
      </c>
      <c r="CT31">
        <f t="shared" si="34"/>
        <v>330.13200000000001</v>
      </c>
      <c r="CU31">
        <f t="shared" si="35"/>
        <v>0</v>
      </c>
      <c r="CV31">
        <f t="shared" si="36"/>
        <v>8.1419999999999995</v>
      </c>
      <c r="CW31">
        <f t="shared" si="37"/>
        <v>0.44999999999999996</v>
      </c>
      <c r="CX31">
        <f t="shared" si="38"/>
        <v>0</v>
      </c>
      <c r="CY31">
        <f t="shared" si="39"/>
        <v>2928.7940000000003</v>
      </c>
      <c r="CZ31">
        <f t="shared" si="40"/>
        <v>1810.5272</v>
      </c>
      <c r="DC31" t="s">
        <v>3</v>
      </c>
      <c r="DD31" t="s">
        <v>3</v>
      </c>
      <c r="DE31" t="s">
        <v>67</v>
      </c>
      <c r="DF31" t="s">
        <v>67</v>
      </c>
      <c r="DG31" t="s">
        <v>68</v>
      </c>
      <c r="DH31" t="s">
        <v>3</v>
      </c>
      <c r="DI31" t="s">
        <v>68</v>
      </c>
      <c r="DJ31" t="s">
        <v>67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1007</v>
      </c>
      <c r="DV31" t="s">
        <v>58</v>
      </c>
      <c r="DW31" t="s">
        <v>58</v>
      </c>
      <c r="DX31">
        <v>1</v>
      </c>
      <c r="EE31">
        <v>39174501</v>
      </c>
      <c r="EF31">
        <v>2</v>
      </c>
      <c r="EG31" t="s">
        <v>50</v>
      </c>
      <c r="EH31">
        <v>0</v>
      </c>
      <c r="EI31" t="s">
        <v>3</v>
      </c>
      <c r="EJ31">
        <v>1</v>
      </c>
      <c r="EK31">
        <v>8001</v>
      </c>
      <c r="EL31" t="s">
        <v>69</v>
      </c>
      <c r="EM31" t="s">
        <v>70</v>
      </c>
      <c r="EO31" t="s">
        <v>71</v>
      </c>
      <c r="EQ31">
        <v>0</v>
      </c>
      <c r="ER31">
        <v>212.2</v>
      </c>
      <c r="ES31">
        <v>122.27</v>
      </c>
      <c r="ET31">
        <v>31.1</v>
      </c>
      <c r="EU31">
        <v>4.8600000000000003</v>
      </c>
      <c r="EV31">
        <v>58.83</v>
      </c>
      <c r="EW31">
        <v>7.08</v>
      </c>
      <c r="EX31">
        <v>0.36</v>
      </c>
      <c r="EY31">
        <v>0</v>
      </c>
      <c r="FQ31">
        <v>0</v>
      </c>
      <c r="FR31">
        <f t="shared" si="41"/>
        <v>0</v>
      </c>
      <c r="FS31">
        <v>0</v>
      </c>
      <c r="FT31" t="s">
        <v>53</v>
      </c>
      <c r="FU31" t="s">
        <v>54</v>
      </c>
      <c r="FX31">
        <v>109.8</v>
      </c>
      <c r="FY31">
        <v>68</v>
      </c>
      <c r="GA31" t="s">
        <v>3</v>
      </c>
      <c r="GD31">
        <v>0</v>
      </c>
      <c r="GF31">
        <v>1347223012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2"/>
        <v>0</v>
      </c>
      <c r="GM31">
        <f t="shared" si="43"/>
        <v>13001.74</v>
      </c>
      <c r="GN31">
        <f t="shared" si="44"/>
        <v>13001.74</v>
      </c>
      <c r="GO31">
        <f t="shared" si="45"/>
        <v>0</v>
      </c>
      <c r="GP31">
        <f t="shared" si="46"/>
        <v>0</v>
      </c>
      <c r="GR31">
        <v>0</v>
      </c>
      <c r="GS31">
        <v>3</v>
      </c>
      <c r="GT31">
        <v>0</v>
      </c>
      <c r="GU31" t="s">
        <v>3</v>
      </c>
      <c r="GV31">
        <f t="shared" si="47"/>
        <v>0</v>
      </c>
      <c r="GW31">
        <v>1</v>
      </c>
      <c r="GX31">
        <f t="shared" si="48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63</v>
      </c>
      <c r="E32" t="s">
        <v>72</v>
      </c>
      <c r="F32" t="s">
        <v>73</v>
      </c>
      <c r="G32" t="s">
        <v>74</v>
      </c>
      <c r="H32" t="s">
        <v>75</v>
      </c>
      <c r="I32">
        <f>I31*J32</f>
        <v>2.96</v>
      </c>
      <c r="J32">
        <v>0.39999999999999997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39610380</v>
      </c>
      <c r="AB32">
        <f t="shared" si="25"/>
        <v>0</v>
      </c>
      <c r="AC32">
        <f t="shared" si="49"/>
        <v>0</v>
      </c>
      <c r="AD32">
        <f>ROUND((((ET32)-(EU32))+AE32),2)</f>
        <v>0</v>
      </c>
      <c r="AE32">
        <f>ROUND((EU32),2)</f>
        <v>0</v>
      </c>
      <c r="AF32">
        <f>ROUND((EV32),2)</f>
        <v>0</v>
      </c>
      <c r="AG32">
        <f t="shared" si="27"/>
        <v>0</v>
      </c>
      <c r="AH32">
        <f>(EW32)</f>
        <v>0</v>
      </c>
      <c r="AI32">
        <f>(EX32)</f>
        <v>0</v>
      </c>
      <c r="AJ32">
        <f t="shared" si="29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110</v>
      </c>
      <c r="AU32">
        <v>68</v>
      </c>
      <c r="AV32">
        <v>1</v>
      </c>
      <c r="AW32">
        <v>1</v>
      </c>
      <c r="AZ32">
        <v>4.88</v>
      </c>
      <c r="BA32">
        <v>1</v>
      </c>
      <c r="BB32">
        <v>1</v>
      </c>
      <c r="BC32">
        <v>4.88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8001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122</v>
      </c>
      <c r="CA32">
        <v>80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0"/>
        <v>0</v>
      </c>
      <c r="CQ32">
        <f t="shared" si="31"/>
        <v>0</v>
      </c>
      <c r="CR32">
        <f t="shared" si="32"/>
        <v>0</v>
      </c>
      <c r="CS32">
        <f t="shared" si="33"/>
        <v>0</v>
      </c>
      <c r="CT32">
        <f t="shared" si="34"/>
        <v>0</v>
      </c>
      <c r="CU32">
        <f t="shared" si="35"/>
        <v>0</v>
      </c>
      <c r="CV32">
        <f t="shared" si="36"/>
        <v>0</v>
      </c>
      <c r="CW32">
        <f t="shared" si="37"/>
        <v>0</v>
      </c>
      <c r="CX32">
        <f t="shared" si="38"/>
        <v>0</v>
      </c>
      <c r="CY32">
        <f t="shared" si="39"/>
        <v>0</v>
      </c>
      <c r="CZ32">
        <f t="shared" si="40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75</v>
      </c>
      <c r="DW32" t="s">
        <v>75</v>
      </c>
      <c r="DX32">
        <v>1000</v>
      </c>
      <c r="EE32">
        <v>39174501</v>
      </c>
      <c r="EF32">
        <v>2</v>
      </c>
      <c r="EG32" t="s">
        <v>50</v>
      </c>
      <c r="EH32">
        <v>0</v>
      </c>
      <c r="EI32" t="s">
        <v>3</v>
      </c>
      <c r="EJ32">
        <v>1</v>
      </c>
      <c r="EK32">
        <v>8001</v>
      </c>
      <c r="EL32" t="s">
        <v>69</v>
      </c>
      <c r="EM32" t="s">
        <v>70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1"/>
        <v>0</v>
      </c>
      <c r="FS32">
        <v>0</v>
      </c>
      <c r="FT32" t="s">
        <v>53</v>
      </c>
      <c r="FU32" t="s">
        <v>54</v>
      </c>
      <c r="FX32">
        <v>109.8</v>
      </c>
      <c r="FY32">
        <v>68</v>
      </c>
      <c r="GA32" t="s">
        <v>3</v>
      </c>
      <c r="GD32">
        <v>0</v>
      </c>
      <c r="GF32">
        <v>-1480842532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2"/>
        <v>0</v>
      </c>
      <c r="GM32">
        <f t="shared" si="43"/>
        <v>0</v>
      </c>
      <c r="GN32">
        <f t="shared" si="44"/>
        <v>0</v>
      </c>
      <c r="GO32">
        <f t="shared" si="45"/>
        <v>0</v>
      </c>
      <c r="GP32">
        <f t="shared" si="46"/>
        <v>0</v>
      </c>
      <c r="GR32">
        <v>0</v>
      </c>
      <c r="GS32">
        <v>3</v>
      </c>
      <c r="GT32">
        <v>0</v>
      </c>
      <c r="GU32" t="s">
        <v>3</v>
      </c>
      <c r="GV32">
        <f t="shared" si="47"/>
        <v>0</v>
      </c>
      <c r="GW32">
        <v>1</v>
      </c>
      <c r="GX32">
        <f t="shared" si="48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ROW(SmtRes!A70)</f>
        <v>70</v>
      </c>
      <c r="D33">
        <f>ROW(EtalonRes!A69)</f>
        <v>69</v>
      </c>
      <c r="E33" t="s">
        <v>76</v>
      </c>
      <c r="F33" t="s">
        <v>77</v>
      </c>
      <c r="G33" t="s">
        <v>78</v>
      </c>
      <c r="H33" t="s">
        <v>79</v>
      </c>
      <c r="I33">
        <f>ROUND(10/100,9)</f>
        <v>0.1</v>
      </c>
      <c r="J33">
        <v>0</v>
      </c>
      <c r="O33">
        <f t="shared" si="14"/>
        <v>3771.93</v>
      </c>
      <c r="P33">
        <f t="shared" si="15"/>
        <v>61.65</v>
      </c>
      <c r="Q33">
        <f t="shared" si="16"/>
        <v>3142.5</v>
      </c>
      <c r="R33">
        <f t="shared" si="17"/>
        <v>437.86</v>
      </c>
      <c r="S33">
        <f t="shared" si="18"/>
        <v>567.78</v>
      </c>
      <c r="T33">
        <f t="shared" si="19"/>
        <v>0</v>
      </c>
      <c r="U33">
        <f t="shared" si="20"/>
        <v>12.37745</v>
      </c>
      <c r="V33">
        <f t="shared" si="21"/>
        <v>6.6462500000000011</v>
      </c>
      <c r="W33">
        <f t="shared" si="22"/>
        <v>0</v>
      </c>
      <c r="X33">
        <f t="shared" si="23"/>
        <v>1176.5999999999999</v>
      </c>
      <c r="Y33">
        <f t="shared" si="24"/>
        <v>724.06</v>
      </c>
      <c r="AA33">
        <v>39610380</v>
      </c>
      <c r="AB33">
        <f t="shared" si="25"/>
        <v>7729.36</v>
      </c>
      <c r="AC33">
        <f t="shared" si="49"/>
        <v>126.33</v>
      </c>
      <c r="AD33">
        <f>ROUND(((((ET33*1.25))-((EU33*1.25)))+AE33),2)</f>
        <v>6439.55</v>
      </c>
      <c r="AE33">
        <f>ROUND(((EU33*1.25)),2)</f>
        <v>897.25</v>
      </c>
      <c r="AF33">
        <f>ROUND(((EV33*1.15)),2)</f>
        <v>1163.48</v>
      </c>
      <c r="AG33">
        <f t="shared" si="27"/>
        <v>0</v>
      </c>
      <c r="AH33">
        <f>((EW33*1.15))</f>
        <v>123.77449999999999</v>
      </c>
      <c r="AI33">
        <f>((EX33*1.25))</f>
        <v>66.462500000000006</v>
      </c>
      <c r="AJ33">
        <f t="shared" si="29"/>
        <v>0</v>
      </c>
      <c r="AK33">
        <v>6289.69</v>
      </c>
      <c r="AL33">
        <v>126.33</v>
      </c>
      <c r="AM33">
        <v>5151.6400000000003</v>
      </c>
      <c r="AN33">
        <v>717.8</v>
      </c>
      <c r="AO33">
        <v>1011.72</v>
      </c>
      <c r="AP33">
        <v>0</v>
      </c>
      <c r="AQ33">
        <v>107.63</v>
      </c>
      <c r="AR33">
        <v>53.17</v>
      </c>
      <c r="AS33">
        <v>0</v>
      </c>
      <c r="AT33">
        <v>117</v>
      </c>
      <c r="AU33">
        <v>72</v>
      </c>
      <c r="AV33">
        <v>1</v>
      </c>
      <c r="AW33">
        <v>1</v>
      </c>
      <c r="AZ33">
        <v>4.88</v>
      </c>
      <c r="BA33">
        <v>4.88</v>
      </c>
      <c r="BB33">
        <v>4.88</v>
      </c>
      <c r="BC33">
        <v>4.88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80</v>
      </c>
      <c r="BM33">
        <v>7006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4.88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130</v>
      </c>
      <c r="CA33">
        <v>85</v>
      </c>
      <c r="CF33">
        <v>0</v>
      </c>
      <c r="CG33">
        <v>0</v>
      </c>
      <c r="CM33">
        <v>0</v>
      </c>
      <c r="CN33" t="s">
        <v>66</v>
      </c>
      <c r="CO33">
        <v>0</v>
      </c>
      <c r="CP33">
        <f t="shared" si="30"/>
        <v>3771.9300000000003</v>
      </c>
      <c r="CQ33">
        <f t="shared" si="31"/>
        <v>616.49040000000002</v>
      </c>
      <c r="CR33">
        <f t="shared" si="32"/>
        <v>31425.004000000001</v>
      </c>
      <c r="CS33">
        <f t="shared" si="33"/>
        <v>4378.58</v>
      </c>
      <c r="CT33">
        <f t="shared" si="34"/>
        <v>5677.7824000000001</v>
      </c>
      <c r="CU33">
        <f t="shared" si="35"/>
        <v>0</v>
      </c>
      <c r="CV33">
        <f t="shared" si="36"/>
        <v>123.77449999999999</v>
      </c>
      <c r="CW33">
        <f t="shared" si="37"/>
        <v>66.462500000000006</v>
      </c>
      <c r="CX33">
        <f t="shared" si="38"/>
        <v>0</v>
      </c>
      <c r="CY33">
        <f t="shared" si="39"/>
        <v>1176.5988</v>
      </c>
      <c r="CZ33">
        <f t="shared" si="40"/>
        <v>724.06079999999997</v>
      </c>
      <c r="DC33" t="s">
        <v>3</v>
      </c>
      <c r="DD33" t="s">
        <v>3</v>
      </c>
      <c r="DE33" t="s">
        <v>67</v>
      </c>
      <c r="DF33" t="s">
        <v>67</v>
      </c>
      <c r="DG33" t="s">
        <v>68</v>
      </c>
      <c r="DH33" t="s">
        <v>3</v>
      </c>
      <c r="DI33" t="s">
        <v>68</v>
      </c>
      <c r="DJ33" t="s">
        <v>67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79</v>
      </c>
      <c r="DW33" t="s">
        <v>79</v>
      </c>
      <c r="DX33">
        <v>1</v>
      </c>
      <c r="EE33">
        <v>39174497</v>
      </c>
      <c r="EF33">
        <v>2</v>
      </c>
      <c r="EG33" t="s">
        <v>50</v>
      </c>
      <c r="EH33">
        <v>0</v>
      </c>
      <c r="EI33" t="s">
        <v>3</v>
      </c>
      <c r="EJ33">
        <v>1</v>
      </c>
      <c r="EK33">
        <v>7006</v>
      </c>
      <c r="EL33" t="s">
        <v>81</v>
      </c>
      <c r="EM33" t="s">
        <v>82</v>
      </c>
      <c r="EO33" t="s">
        <v>71</v>
      </c>
      <c r="EQ33">
        <v>0</v>
      </c>
      <c r="ER33">
        <v>6289.69</v>
      </c>
      <c r="ES33">
        <v>126.33</v>
      </c>
      <c r="ET33">
        <v>5151.6400000000003</v>
      </c>
      <c r="EU33">
        <v>717.8</v>
      </c>
      <c r="EV33">
        <v>1011.72</v>
      </c>
      <c r="EW33">
        <v>107.63</v>
      </c>
      <c r="EX33">
        <v>53.17</v>
      </c>
      <c r="EY33">
        <v>0</v>
      </c>
      <c r="FQ33">
        <v>0</v>
      </c>
      <c r="FR33">
        <f t="shared" si="41"/>
        <v>0</v>
      </c>
      <c r="FS33">
        <v>0</v>
      </c>
      <c r="FT33" t="s">
        <v>53</v>
      </c>
      <c r="FU33" t="s">
        <v>54</v>
      </c>
      <c r="FX33">
        <v>117</v>
      </c>
      <c r="FY33">
        <v>72.25</v>
      </c>
      <c r="GA33" t="s">
        <v>3</v>
      </c>
      <c r="GD33">
        <v>0</v>
      </c>
      <c r="GF33">
        <v>172651708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2"/>
        <v>0</v>
      </c>
      <c r="GM33">
        <f t="shared" si="43"/>
        <v>5672.59</v>
      </c>
      <c r="GN33">
        <f t="shared" si="44"/>
        <v>5672.59</v>
      </c>
      <c r="GO33">
        <f t="shared" si="45"/>
        <v>0</v>
      </c>
      <c r="GP33">
        <f t="shared" si="46"/>
        <v>0</v>
      </c>
      <c r="GR33">
        <v>0</v>
      </c>
      <c r="GS33">
        <v>3</v>
      </c>
      <c r="GT33">
        <v>0</v>
      </c>
      <c r="GU33" t="s">
        <v>3</v>
      </c>
      <c r="GV33">
        <f t="shared" si="47"/>
        <v>0</v>
      </c>
      <c r="GW33">
        <v>1</v>
      </c>
      <c r="GX33">
        <f t="shared" si="48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69</v>
      </c>
      <c r="E34" t="s">
        <v>83</v>
      </c>
      <c r="F34" t="s">
        <v>84</v>
      </c>
      <c r="G34" t="s">
        <v>85</v>
      </c>
      <c r="H34" t="s">
        <v>86</v>
      </c>
      <c r="I34">
        <f>I33*J34</f>
        <v>10</v>
      </c>
      <c r="J34">
        <v>100</v>
      </c>
      <c r="O34">
        <f t="shared" si="14"/>
        <v>77449.02</v>
      </c>
      <c r="P34">
        <f t="shared" si="15"/>
        <v>77449.02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39610380</v>
      </c>
      <c r="AB34">
        <f t="shared" si="25"/>
        <v>1587.07</v>
      </c>
      <c r="AC34">
        <f t="shared" si="49"/>
        <v>1587.07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7"/>
        <v>0</v>
      </c>
      <c r="AH34">
        <f>(EW34)</f>
        <v>0</v>
      </c>
      <c r="AI34">
        <f>(EX34)</f>
        <v>0</v>
      </c>
      <c r="AJ34">
        <f t="shared" si="29"/>
        <v>0</v>
      </c>
      <c r="AK34">
        <v>1587.07</v>
      </c>
      <c r="AL34">
        <v>1587.07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117</v>
      </c>
      <c r="AU34">
        <v>72</v>
      </c>
      <c r="AV34">
        <v>1</v>
      </c>
      <c r="AW34">
        <v>1</v>
      </c>
      <c r="AZ34">
        <v>4.88</v>
      </c>
      <c r="BA34">
        <v>1</v>
      </c>
      <c r="BB34">
        <v>1</v>
      </c>
      <c r="BC34">
        <v>4.88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87</v>
      </c>
      <c r="BM34">
        <v>7006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130</v>
      </c>
      <c r="CA34">
        <v>85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0"/>
        <v>77449.02</v>
      </c>
      <c r="CQ34">
        <f t="shared" si="31"/>
        <v>7744.9015999999992</v>
      </c>
      <c r="CR34">
        <f t="shared" si="32"/>
        <v>0</v>
      </c>
      <c r="CS34">
        <f t="shared" si="33"/>
        <v>0</v>
      </c>
      <c r="CT34">
        <f t="shared" si="34"/>
        <v>0</v>
      </c>
      <c r="CU34">
        <f t="shared" si="35"/>
        <v>0</v>
      </c>
      <c r="CV34">
        <f t="shared" si="36"/>
        <v>0</v>
      </c>
      <c r="CW34">
        <f t="shared" si="37"/>
        <v>0</v>
      </c>
      <c r="CX34">
        <f t="shared" si="38"/>
        <v>0</v>
      </c>
      <c r="CY34">
        <f t="shared" si="39"/>
        <v>0</v>
      </c>
      <c r="CZ34">
        <f t="shared" si="40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86</v>
      </c>
      <c r="DW34" t="s">
        <v>86</v>
      </c>
      <c r="DX34">
        <v>1</v>
      </c>
      <c r="EE34">
        <v>39174497</v>
      </c>
      <c r="EF34">
        <v>2</v>
      </c>
      <c r="EG34" t="s">
        <v>50</v>
      </c>
      <c r="EH34">
        <v>0</v>
      </c>
      <c r="EI34" t="s">
        <v>3</v>
      </c>
      <c r="EJ34">
        <v>1</v>
      </c>
      <c r="EK34">
        <v>7006</v>
      </c>
      <c r="EL34" t="s">
        <v>81</v>
      </c>
      <c r="EM34" t="s">
        <v>82</v>
      </c>
      <c r="EO34" t="s">
        <v>3</v>
      </c>
      <c r="EQ34">
        <v>0</v>
      </c>
      <c r="ER34">
        <v>1587.07</v>
      </c>
      <c r="ES34">
        <v>1587.07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1"/>
        <v>0</v>
      </c>
      <c r="FS34">
        <v>0</v>
      </c>
      <c r="FT34" t="s">
        <v>53</v>
      </c>
      <c r="FU34" t="s">
        <v>54</v>
      </c>
      <c r="FX34">
        <v>117</v>
      </c>
      <c r="FY34">
        <v>72.25</v>
      </c>
      <c r="GA34" t="s">
        <v>3</v>
      </c>
      <c r="GD34">
        <v>0</v>
      </c>
      <c r="GF34">
        <v>388335175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2"/>
        <v>0</v>
      </c>
      <c r="GM34">
        <f t="shared" si="43"/>
        <v>77449.02</v>
      </c>
      <c r="GN34">
        <f t="shared" si="44"/>
        <v>77449.02</v>
      </c>
      <c r="GO34">
        <f t="shared" si="45"/>
        <v>0</v>
      </c>
      <c r="GP34">
        <f t="shared" si="46"/>
        <v>0</v>
      </c>
      <c r="GR34">
        <v>0</v>
      </c>
      <c r="GS34">
        <v>3</v>
      </c>
      <c r="GT34">
        <v>0</v>
      </c>
      <c r="GU34" t="s">
        <v>3</v>
      </c>
      <c r="GV34">
        <f t="shared" si="47"/>
        <v>0</v>
      </c>
      <c r="GW34">
        <v>1</v>
      </c>
      <c r="GX34">
        <f t="shared" si="48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70</v>
      </c>
      <c r="E35" t="s">
        <v>88</v>
      </c>
      <c r="F35" t="s">
        <v>89</v>
      </c>
      <c r="G35" t="s">
        <v>90</v>
      </c>
      <c r="H35" t="s">
        <v>86</v>
      </c>
      <c r="I35">
        <f>I33*J35</f>
        <v>10</v>
      </c>
      <c r="J35">
        <v>100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39610380</v>
      </c>
      <c r="AB35">
        <f t="shared" si="25"/>
        <v>0</v>
      </c>
      <c r="AC35">
        <f t="shared" si="49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7"/>
        <v>0</v>
      </c>
      <c r="AH35">
        <f>(EW35)</f>
        <v>0</v>
      </c>
      <c r="AI35">
        <f>(EX35)</f>
        <v>0</v>
      </c>
      <c r="AJ35">
        <f t="shared" si="29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117</v>
      </c>
      <c r="AU35">
        <v>72</v>
      </c>
      <c r="AV35">
        <v>1</v>
      </c>
      <c r="AW35">
        <v>1</v>
      </c>
      <c r="AZ35">
        <v>4.88</v>
      </c>
      <c r="BA35">
        <v>1</v>
      </c>
      <c r="BB35">
        <v>1</v>
      </c>
      <c r="BC35">
        <v>4.88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7006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130</v>
      </c>
      <c r="CA35">
        <v>85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0"/>
        <v>0</v>
      </c>
      <c r="CQ35">
        <f t="shared" si="31"/>
        <v>0</v>
      </c>
      <c r="CR35">
        <f t="shared" si="32"/>
        <v>0</v>
      </c>
      <c r="CS35">
        <f t="shared" si="33"/>
        <v>0</v>
      </c>
      <c r="CT35">
        <f t="shared" si="34"/>
        <v>0</v>
      </c>
      <c r="CU35">
        <f t="shared" si="35"/>
        <v>0</v>
      </c>
      <c r="CV35">
        <f t="shared" si="36"/>
        <v>0</v>
      </c>
      <c r="CW35">
        <f t="shared" si="37"/>
        <v>0</v>
      </c>
      <c r="CX35">
        <f t="shared" si="38"/>
        <v>0</v>
      </c>
      <c r="CY35">
        <f t="shared" si="39"/>
        <v>0</v>
      </c>
      <c r="CZ35">
        <f t="shared" si="40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86</v>
      </c>
      <c r="DW35" t="s">
        <v>86</v>
      </c>
      <c r="DX35">
        <v>1</v>
      </c>
      <c r="EE35">
        <v>39174497</v>
      </c>
      <c r="EF35">
        <v>2</v>
      </c>
      <c r="EG35" t="s">
        <v>50</v>
      </c>
      <c r="EH35">
        <v>0</v>
      </c>
      <c r="EI35" t="s">
        <v>3</v>
      </c>
      <c r="EJ35">
        <v>1</v>
      </c>
      <c r="EK35">
        <v>7006</v>
      </c>
      <c r="EL35" t="s">
        <v>81</v>
      </c>
      <c r="EM35" t="s">
        <v>82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1"/>
        <v>0</v>
      </c>
      <c r="FS35">
        <v>0</v>
      </c>
      <c r="FT35" t="s">
        <v>53</v>
      </c>
      <c r="FU35" t="s">
        <v>54</v>
      </c>
      <c r="FX35">
        <v>117</v>
      </c>
      <c r="FY35">
        <v>72.25</v>
      </c>
      <c r="GA35" t="s">
        <v>3</v>
      </c>
      <c r="GD35">
        <v>0</v>
      </c>
      <c r="GF35">
        <v>-1926765613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2"/>
        <v>0</v>
      </c>
      <c r="GM35">
        <f t="shared" si="43"/>
        <v>0</v>
      </c>
      <c r="GN35">
        <f t="shared" si="44"/>
        <v>0</v>
      </c>
      <c r="GO35">
        <f t="shared" si="45"/>
        <v>0</v>
      </c>
      <c r="GP35">
        <f t="shared" si="46"/>
        <v>0</v>
      </c>
      <c r="GR35">
        <v>0</v>
      </c>
      <c r="GS35">
        <v>3</v>
      </c>
      <c r="GT35">
        <v>0</v>
      </c>
      <c r="GU35" t="s">
        <v>3</v>
      </c>
      <c r="GV35">
        <f t="shared" si="47"/>
        <v>0</v>
      </c>
      <c r="GW35">
        <v>1</v>
      </c>
      <c r="GX35">
        <f t="shared" si="48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ROW(SmtRes!A88)</f>
        <v>88</v>
      </c>
      <c r="D36">
        <f>ROW(EtalonRes!A87)</f>
        <v>87</v>
      </c>
      <c r="E36" t="s">
        <v>91</v>
      </c>
      <c r="F36" t="s">
        <v>92</v>
      </c>
      <c r="G36" t="s">
        <v>93</v>
      </c>
      <c r="H36" t="s">
        <v>48</v>
      </c>
      <c r="I36">
        <f>ROUND(0.9/100,9)</f>
        <v>8.9999999999999993E-3</v>
      </c>
      <c r="J36">
        <v>0</v>
      </c>
      <c r="O36">
        <f t="shared" si="14"/>
        <v>551.57000000000005</v>
      </c>
      <c r="P36">
        <f t="shared" si="15"/>
        <v>170.33</v>
      </c>
      <c r="Q36">
        <f t="shared" si="16"/>
        <v>192.68</v>
      </c>
      <c r="R36">
        <f t="shared" si="17"/>
        <v>26.55</v>
      </c>
      <c r="S36">
        <f t="shared" si="18"/>
        <v>188.56</v>
      </c>
      <c r="T36">
        <f t="shared" si="19"/>
        <v>0</v>
      </c>
      <c r="U36">
        <f t="shared" si="20"/>
        <v>4.5672479999999993</v>
      </c>
      <c r="V36">
        <f t="shared" si="21"/>
        <v>0.40623749999999997</v>
      </c>
      <c r="W36">
        <f t="shared" si="22"/>
        <v>0</v>
      </c>
      <c r="X36">
        <f t="shared" si="23"/>
        <v>204.35</v>
      </c>
      <c r="Y36">
        <f t="shared" si="24"/>
        <v>118.31</v>
      </c>
      <c r="AA36">
        <v>39610380</v>
      </c>
      <c r="AB36">
        <f t="shared" si="25"/>
        <v>12558.58</v>
      </c>
      <c r="AC36">
        <f t="shared" si="49"/>
        <v>3878.26</v>
      </c>
      <c r="AD36">
        <f>ROUND(((((ET36*1.25))-((EU36*1.25)))+AE36),2)</f>
        <v>4387.1099999999997</v>
      </c>
      <c r="AE36">
        <f>ROUND(((EU36*1.25)),2)</f>
        <v>604.58000000000004</v>
      </c>
      <c r="AF36">
        <f>ROUND(((EV36*1.15)),2)</f>
        <v>4293.21</v>
      </c>
      <c r="AG36">
        <f t="shared" si="27"/>
        <v>0</v>
      </c>
      <c r="AH36">
        <f>((EW36*1.15))</f>
        <v>507.47199999999992</v>
      </c>
      <c r="AI36">
        <f>((EX36*1.25))</f>
        <v>45.137500000000003</v>
      </c>
      <c r="AJ36">
        <f t="shared" si="29"/>
        <v>0</v>
      </c>
      <c r="AK36">
        <v>11121.17</v>
      </c>
      <c r="AL36">
        <v>3878.26</v>
      </c>
      <c r="AM36">
        <v>3509.68</v>
      </c>
      <c r="AN36">
        <v>483.66</v>
      </c>
      <c r="AO36">
        <v>3733.23</v>
      </c>
      <c r="AP36">
        <v>0</v>
      </c>
      <c r="AQ36">
        <v>441.28</v>
      </c>
      <c r="AR36">
        <v>36.11</v>
      </c>
      <c r="AS36">
        <v>0</v>
      </c>
      <c r="AT36">
        <v>95</v>
      </c>
      <c r="AU36">
        <v>55</v>
      </c>
      <c r="AV36">
        <v>1</v>
      </c>
      <c r="AW36">
        <v>1</v>
      </c>
      <c r="AZ36">
        <v>4.88</v>
      </c>
      <c r="BA36">
        <v>4.88</v>
      </c>
      <c r="BB36">
        <v>4.88</v>
      </c>
      <c r="BC36">
        <v>4.88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94</v>
      </c>
      <c r="BM36">
        <v>6001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4.88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105</v>
      </c>
      <c r="CA36">
        <v>65</v>
      </c>
      <c r="CF36">
        <v>0</v>
      </c>
      <c r="CG36">
        <v>0</v>
      </c>
      <c r="CM36">
        <v>0</v>
      </c>
      <c r="CN36" t="s">
        <v>66</v>
      </c>
      <c r="CO36">
        <v>0</v>
      </c>
      <c r="CP36">
        <f t="shared" si="30"/>
        <v>551.56999999999994</v>
      </c>
      <c r="CQ36">
        <f t="shared" si="31"/>
        <v>18925.908800000001</v>
      </c>
      <c r="CR36">
        <f t="shared" si="32"/>
        <v>21409.096799999999</v>
      </c>
      <c r="CS36">
        <f t="shared" si="33"/>
        <v>2950.3504000000003</v>
      </c>
      <c r="CT36">
        <f t="shared" si="34"/>
        <v>20950.864799999999</v>
      </c>
      <c r="CU36">
        <f t="shared" si="35"/>
        <v>0</v>
      </c>
      <c r="CV36">
        <f t="shared" si="36"/>
        <v>507.47199999999992</v>
      </c>
      <c r="CW36">
        <f t="shared" si="37"/>
        <v>45.137500000000003</v>
      </c>
      <c r="CX36">
        <f t="shared" si="38"/>
        <v>0</v>
      </c>
      <c r="CY36">
        <f t="shared" si="39"/>
        <v>204.3545</v>
      </c>
      <c r="CZ36">
        <f t="shared" si="40"/>
        <v>118.3105</v>
      </c>
      <c r="DC36" t="s">
        <v>3</v>
      </c>
      <c r="DD36" t="s">
        <v>3</v>
      </c>
      <c r="DE36" t="s">
        <v>67</v>
      </c>
      <c r="DF36" t="s">
        <v>67</v>
      </c>
      <c r="DG36" t="s">
        <v>68</v>
      </c>
      <c r="DH36" t="s">
        <v>3</v>
      </c>
      <c r="DI36" t="s">
        <v>68</v>
      </c>
      <c r="DJ36" t="s">
        <v>67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1007</v>
      </c>
      <c r="DV36" t="s">
        <v>48</v>
      </c>
      <c r="DW36" t="s">
        <v>48</v>
      </c>
      <c r="DX36">
        <v>100</v>
      </c>
      <c r="EE36">
        <v>39174490</v>
      </c>
      <c r="EF36">
        <v>2</v>
      </c>
      <c r="EG36" t="s">
        <v>50</v>
      </c>
      <c r="EH36">
        <v>0</v>
      </c>
      <c r="EI36" t="s">
        <v>3</v>
      </c>
      <c r="EJ36">
        <v>1</v>
      </c>
      <c r="EK36">
        <v>6001</v>
      </c>
      <c r="EL36" t="s">
        <v>95</v>
      </c>
      <c r="EM36" t="s">
        <v>96</v>
      </c>
      <c r="EO36" t="s">
        <v>71</v>
      </c>
      <c r="EQ36">
        <v>0</v>
      </c>
      <c r="ER36">
        <v>11121.17</v>
      </c>
      <c r="ES36">
        <v>3878.26</v>
      </c>
      <c r="ET36">
        <v>3509.68</v>
      </c>
      <c r="EU36">
        <v>483.66</v>
      </c>
      <c r="EV36">
        <v>3733.23</v>
      </c>
      <c r="EW36">
        <v>441.28</v>
      </c>
      <c r="EX36">
        <v>36.11</v>
      </c>
      <c r="EY36">
        <v>0</v>
      </c>
      <c r="FQ36">
        <v>0</v>
      </c>
      <c r="FR36">
        <f t="shared" si="41"/>
        <v>0</v>
      </c>
      <c r="FS36">
        <v>0</v>
      </c>
      <c r="FT36" t="s">
        <v>53</v>
      </c>
      <c r="FU36" t="s">
        <v>54</v>
      </c>
      <c r="FX36">
        <v>94.5</v>
      </c>
      <c r="FY36">
        <v>55.25</v>
      </c>
      <c r="GA36" t="s">
        <v>3</v>
      </c>
      <c r="GD36">
        <v>0</v>
      </c>
      <c r="GF36">
        <v>660562484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2"/>
        <v>0</v>
      </c>
      <c r="GM36">
        <f t="shared" si="43"/>
        <v>874.23</v>
      </c>
      <c r="GN36">
        <f t="shared" si="44"/>
        <v>874.23</v>
      </c>
      <c r="GO36">
        <f t="shared" si="45"/>
        <v>0</v>
      </c>
      <c r="GP36">
        <f t="shared" si="46"/>
        <v>0</v>
      </c>
      <c r="GR36">
        <v>0</v>
      </c>
      <c r="GS36">
        <v>3</v>
      </c>
      <c r="GT36">
        <v>0</v>
      </c>
      <c r="GU36" t="s">
        <v>3</v>
      </c>
      <c r="GV36">
        <f t="shared" si="47"/>
        <v>0</v>
      </c>
      <c r="GW36">
        <v>1</v>
      </c>
      <c r="GX36">
        <f t="shared" si="48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82</v>
      </c>
      <c r="E37" t="s">
        <v>97</v>
      </c>
      <c r="F37" t="s">
        <v>98</v>
      </c>
      <c r="G37" t="s">
        <v>99</v>
      </c>
      <c r="H37" t="s">
        <v>58</v>
      </c>
      <c r="I37">
        <f>I36*J37</f>
        <v>0.91800000000000004</v>
      </c>
      <c r="J37">
        <v>102.00000000000001</v>
      </c>
      <c r="O37">
        <f t="shared" si="14"/>
        <v>2107.14</v>
      </c>
      <c r="P37">
        <f t="shared" si="15"/>
        <v>2107.14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39610380</v>
      </c>
      <c r="AB37">
        <f t="shared" si="25"/>
        <v>470.36</v>
      </c>
      <c r="AC37">
        <f t="shared" si="49"/>
        <v>470.36</v>
      </c>
      <c r="AD37">
        <f t="shared" ref="AD37:AD54" si="50">ROUND((((ET37)-(EU37))+AE37),2)</f>
        <v>0</v>
      </c>
      <c r="AE37">
        <f t="shared" ref="AE37:AE54" si="51">ROUND((EU37),2)</f>
        <v>0</v>
      </c>
      <c r="AF37">
        <f t="shared" ref="AF37:AF54" si="52">ROUND((EV37),2)</f>
        <v>0</v>
      </c>
      <c r="AG37">
        <f t="shared" si="27"/>
        <v>0</v>
      </c>
      <c r="AH37">
        <f t="shared" ref="AH37:AH54" si="53">(EW37)</f>
        <v>0</v>
      </c>
      <c r="AI37">
        <f t="shared" ref="AI37:AI54" si="54">(EX37)</f>
        <v>0</v>
      </c>
      <c r="AJ37">
        <f t="shared" si="29"/>
        <v>0</v>
      </c>
      <c r="AK37">
        <v>470.36</v>
      </c>
      <c r="AL37">
        <v>470.36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55</v>
      </c>
      <c r="AV37">
        <v>1</v>
      </c>
      <c r="AW37">
        <v>1</v>
      </c>
      <c r="AZ37">
        <v>4.88</v>
      </c>
      <c r="BA37">
        <v>1</v>
      </c>
      <c r="BB37">
        <v>1</v>
      </c>
      <c r="BC37">
        <v>4.88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100</v>
      </c>
      <c r="BM37">
        <v>6001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105</v>
      </c>
      <c r="CA37">
        <v>65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0"/>
        <v>2107.14</v>
      </c>
      <c r="CQ37">
        <f t="shared" si="31"/>
        <v>2295.3568</v>
      </c>
      <c r="CR37">
        <f t="shared" si="32"/>
        <v>0</v>
      </c>
      <c r="CS37">
        <f t="shared" si="33"/>
        <v>0</v>
      </c>
      <c r="CT37">
        <f t="shared" si="34"/>
        <v>0</v>
      </c>
      <c r="CU37">
        <f t="shared" si="35"/>
        <v>0</v>
      </c>
      <c r="CV37">
        <f t="shared" si="36"/>
        <v>0</v>
      </c>
      <c r="CW37">
        <f t="shared" si="37"/>
        <v>0</v>
      </c>
      <c r="CX37">
        <f t="shared" si="38"/>
        <v>0</v>
      </c>
      <c r="CY37">
        <f t="shared" si="39"/>
        <v>0</v>
      </c>
      <c r="CZ37">
        <f t="shared" si="40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1007</v>
      </c>
      <c r="DV37" t="s">
        <v>58</v>
      </c>
      <c r="DW37" t="s">
        <v>58</v>
      </c>
      <c r="DX37">
        <v>1</v>
      </c>
      <c r="EE37">
        <v>39174490</v>
      </c>
      <c r="EF37">
        <v>2</v>
      </c>
      <c r="EG37" t="s">
        <v>50</v>
      </c>
      <c r="EH37">
        <v>0</v>
      </c>
      <c r="EI37" t="s">
        <v>3</v>
      </c>
      <c r="EJ37">
        <v>1</v>
      </c>
      <c r="EK37">
        <v>6001</v>
      </c>
      <c r="EL37" t="s">
        <v>95</v>
      </c>
      <c r="EM37" t="s">
        <v>96</v>
      </c>
      <c r="EO37" t="s">
        <v>3</v>
      </c>
      <c r="EQ37">
        <v>0</v>
      </c>
      <c r="ER37">
        <v>470.36</v>
      </c>
      <c r="ES37">
        <v>470.36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1"/>
        <v>0</v>
      </c>
      <c r="FS37">
        <v>0</v>
      </c>
      <c r="FT37" t="s">
        <v>53</v>
      </c>
      <c r="FU37" t="s">
        <v>54</v>
      </c>
      <c r="FX37">
        <v>94.5</v>
      </c>
      <c r="FY37">
        <v>55.25</v>
      </c>
      <c r="GA37" t="s">
        <v>3</v>
      </c>
      <c r="GD37">
        <v>0</v>
      </c>
      <c r="GF37">
        <v>-964623361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2"/>
        <v>0</v>
      </c>
      <c r="GM37">
        <f t="shared" si="43"/>
        <v>2107.14</v>
      </c>
      <c r="GN37">
        <f t="shared" si="44"/>
        <v>2107.14</v>
      </c>
      <c r="GO37">
        <f t="shared" si="45"/>
        <v>0</v>
      </c>
      <c r="GP37">
        <f t="shared" si="46"/>
        <v>0</v>
      </c>
      <c r="GR37">
        <v>0</v>
      </c>
      <c r="GS37">
        <v>3</v>
      </c>
      <c r="GT37">
        <v>0</v>
      </c>
      <c r="GU37" t="s">
        <v>3</v>
      </c>
      <c r="GV37">
        <f t="shared" si="47"/>
        <v>0</v>
      </c>
      <c r="GW37">
        <v>1</v>
      </c>
      <c r="GX37">
        <f t="shared" si="48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ROW(SmtRes!A95)</f>
        <v>95</v>
      </c>
      <c r="D38">
        <f>ROW(EtalonRes!A90)</f>
        <v>90</v>
      </c>
      <c r="E38" t="s">
        <v>101</v>
      </c>
      <c r="F38" t="s">
        <v>102</v>
      </c>
      <c r="G38" t="s">
        <v>103</v>
      </c>
      <c r="H38" t="s">
        <v>27</v>
      </c>
      <c r="I38">
        <v>18</v>
      </c>
      <c r="J38">
        <v>0</v>
      </c>
      <c r="O38">
        <f t="shared" si="14"/>
        <v>1011.04</v>
      </c>
      <c r="P38">
        <f t="shared" si="15"/>
        <v>35.14</v>
      </c>
      <c r="Q38">
        <f t="shared" si="16"/>
        <v>0</v>
      </c>
      <c r="R38">
        <f t="shared" si="17"/>
        <v>0</v>
      </c>
      <c r="S38">
        <f t="shared" si="18"/>
        <v>975.9</v>
      </c>
      <c r="T38">
        <f t="shared" si="19"/>
        <v>0</v>
      </c>
      <c r="U38">
        <f t="shared" si="20"/>
        <v>20.160000000000004</v>
      </c>
      <c r="V38">
        <f t="shared" si="21"/>
        <v>0</v>
      </c>
      <c r="W38">
        <f t="shared" si="22"/>
        <v>0</v>
      </c>
      <c r="X38">
        <f t="shared" si="23"/>
        <v>927.11</v>
      </c>
      <c r="Y38">
        <f t="shared" si="24"/>
        <v>634.34</v>
      </c>
      <c r="AA38">
        <v>39610380</v>
      </c>
      <c r="AB38">
        <f t="shared" si="25"/>
        <v>11.51</v>
      </c>
      <c r="AC38">
        <f t="shared" si="49"/>
        <v>0.4</v>
      </c>
      <c r="AD38">
        <f t="shared" si="50"/>
        <v>0</v>
      </c>
      <c r="AE38">
        <f t="shared" si="51"/>
        <v>0</v>
      </c>
      <c r="AF38">
        <f t="shared" si="52"/>
        <v>11.11</v>
      </c>
      <c r="AG38">
        <f t="shared" si="27"/>
        <v>0</v>
      </c>
      <c r="AH38">
        <f t="shared" si="53"/>
        <v>1.1200000000000001</v>
      </c>
      <c r="AI38">
        <f t="shared" si="54"/>
        <v>0</v>
      </c>
      <c r="AJ38">
        <f t="shared" si="29"/>
        <v>0</v>
      </c>
      <c r="AK38">
        <v>11.51</v>
      </c>
      <c r="AL38">
        <v>0.4</v>
      </c>
      <c r="AM38">
        <v>0</v>
      </c>
      <c r="AN38">
        <v>0</v>
      </c>
      <c r="AO38">
        <v>11.11</v>
      </c>
      <c r="AP38">
        <v>0</v>
      </c>
      <c r="AQ38">
        <v>1.1200000000000001</v>
      </c>
      <c r="AR38">
        <v>0</v>
      </c>
      <c r="AS38">
        <v>0</v>
      </c>
      <c r="AT38">
        <v>95</v>
      </c>
      <c r="AU38">
        <v>65</v>
      </c>
      <c r="AV38">
        <v>1</v>
      </c>
      <c r="AW38">
        <v>1</v>
      </c>
      <c r="AZ38">
        <v>4.88</v>
      </c>
      <c r="BA38">
        <v>4.88</v>
      </c>
      <c r="BB38">
        <v>4.88</v>
      </c>
      <c r="BC38">
        <v>4.88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104</v>
      </c>
      <c r="BM38">
        <v>108001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4.88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95</v>
      </c>
      <c r="CA38">
        <v>65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0"/>
        <v>1011.04</v>
      </c>
      <c r="CQ38">
        <f t="shared" si="31"/>
        <v>1.952</v>
      </c>
      <c r="CR38">
        <f t="shared" si="32"/>
        <v>0</v>
      </c>
      <c r="CS38">
        <f t="shared" si="33"/>
        <v>0</v>
      </c>
      <c r="CT38">
        <f t="shared" si="34"/>
        <v>54.216799999999999</v>
      </c>
      <c r="CU38">
        <f t="shared" si="35"/>
        <v>0</v>
      </c>
      <c r="CV38">
        <f t="shared" si="36"/>
        <v>1.1200000000000001</v>
      </c>
      <c r="CW38">
        <f t="shared" si="37"/>
        <v>0</v>
      </c>
      <c r="CX38">
        <f t="shared" si="38"/>
        <v>0</v>
      </c>
      <c r="CY38">
        <f t="shared" si="39"/>
        <v>927.10500000000002</v>
      </c>
      <c r="CZ38">
        <f t="shared" si="40"/>
        <v>634.33500000000004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27</v>
      </c>
      <c r="DW38" t="s">
        <v>27</v>
      </c>
      <c r="DX38">
        <v>1</v>
      </c>
      <c r="EE38">
        <v>39174386</v>
      </c>
      <c r="EF38">
        <v>3</v>
      </c>
      <c r="EG38" t="s">
        <v>20</v>
      </c>
      <c r="EH38">
        <v>0</v>
      </c>
      <c r="EI38" t="s">
        <v>3</v>
      </c>
      <c r="EJ38">
        <v>2</v>
      </c>
      <c r="EK38">
        <v>108001</v>
      </c>
      <c r="EL38" t="s">
        <v>21</v>
      </c>
      <c r="EM38" t="s">
        <v>22</v>
      </c>
      <c r="EO38" t="s">
        <v>3</v>
      </c>
      <c r="EQ38">
        <v>0</v>
      </c>
      <c r="ER38">
        <v>11.51</v>
      </c>
      <c r="ES38">
        <v>0.4</v>
      </c>
      <c r="ET38">
        <v>0</v>
      </c>
      <c r="EU38">
        <v>0</v>
      </c>
      <c r="EV38">
        <v>11.11</v>
      </c>
      <c r="EW38">
        <v>1.1200000000000001</v>
      </c>
      <c r="EX38">
        <v>0</v>
      </c>
      <c r="EY38">
        <v>0</v>
      </c>
      <c r="FQ38">
        <v>0</v>
      </c>
      <c r="FR38">
        <f t="shared" si="41"/>
        <v>0</v>
      </c>
      <c r="FS38">
        <v>0</v>
      </c>
      <c r="FX38">
        <v>95</v>
      </c>
      <c r="FY38">
        <v>65</v>
      </c>
      <c r="GA38" t="s">
        <v>3</v>
      </c>
      <c r="GD38">
        <v>0</v>
      </c>
      <c r="GF38">
        <v>234181014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2"/>
        <v>0</v>
      </c>
      <c r="GM38">
        <f t="shared" si="43"/>
        <v>2572.4899999999998</v>
      </c>
      <c r="GN38">
        <f t="shared" si="44"/>
        <v>0</v>
      </c>
      <c r="GO38">
        <f t="shared" si="45"/>
        <v>2572.4899999999998</v>
      </c>
      <c r="GP38">
        <f t="shared" si="46"/>
        <v>0</v>
      </c>
      <c r="GR38">
        <v>0</v>
      </c>
      <c r="GS38">
        <v>3</v>
      </c>
      <c r="GT38">
        <v>0</v>
      </c>
      <c r="GU38" t="s">
        <v>3</v>
      </c>
      <c r="GV38">
        <f t="shared" si="47"/>
        <v>0</v>
      </c>
      <c r="GW38">
        <v>1</v>
      </c>
      <c r="GX38">
        <f t="shared" si="48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93</v>
      </c>
      <c r="E39" t="s">
        <v>105</v>
      </c>
      <c r="F39" t="s">
        <v>106</v>
      </c>
      <c r="G39" t="s">
        <v>107</v>
      </c>
      <c r="H39" t="s">
        <v>86</v>
      </c>
      <c r="I39">
        <f>I38*J39</f>
        <v>3</v>
      </c>
      <c r="J39">
        <v>0.16666666666666666</v>
      </c>
      <c r="O39">
        <f t="shared" si="14"/>
        <v>15371.85</v>
      </c>
      <c r="P39">
        <f t="shared" si="15"/>
        <v>15371.85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39610380</v>
      </c>
      <c r="AB39">
        <f t="shared" si="25"/>
        <v>1049.99</v>
      </c>
      <c r="AC39">
        <f t="shared" si="49"/>
        <v>1049.99</v>
      </c>
      <c r="AD39">
        <f t="shared" si="50"/>
        <v>0</v>
      </c>
      <c r="AE39">
        <f t="shared" si="51"/>
        <v>0</v>
      </c>
      <c r="AF39">
        <f t="shared" si="52"/>
        <v>0</v>
      </c>
      <c r="AG39">
        <f t="shared" si="27"/>
        <v>0</v>
      </c>
      <c r="AH39">
        <f t="shared" si="53"/>
        <v>0</v>
      </c>
      <c r="AI39">
        <f t="shared" si="54"/>
        <v>0</v>
      </c>
      <c r="AJ39">
        <f t="shared" si="29"/>
        <v>0</v>
      </c>
      <c r="AK39">
        <v>1049.99</v>
      </c>
      <c r="AL39">
        <v>1049.99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65</v>
      </c>
      <c r="AV39">
        <v>1</v>
      </c>
      <c r="AW39">
        <v>1</v>
      </c>
      <c r="AZ39">
        <v>4.88</v>
      </c>
      <c r="BA39">
        <v>1</v>
      </c>
      <c r="BB39">
        <v>1</v>
      </c>
      <c r="BC39">
        <v>4.88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108</v>
      </c>
      <c r="BM39">
        <v>108001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95</v>
      </c>
      <c r="CA39">
        <v>65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0"/>
        <v>15371.85</v>
      </c>
      <c r="CQ39">
        <f t="shared" si="31"/>
        <v>5123.9511999999995</v>
      </c>
      <c r="CR39">
        <f t="shared" si="32"/>
        <v>0</v>
      </c>
      <c r="CS39">
        <f t="shared" si="33"/>
        <v>0</v>
      </c>
      <c r="CT39">
        <f t="shared" si="34"/>
        <v>0</v>
      </c>
      <c r="CU39">
        <f t="shared" si="35"/>
        <v>0</v>
      </c>
      <c r="CV39">
        <f t="shared" si="36"/>
        <v>0</v>
      </c>
      <c r="CW39">
        <f t="shared" si="37"/>
        <v>0</v>
      </c>
      <c r="CX39">
        <f t="shared" si="38"/>
        <v>0</v>
      </c>
      <c r="CY39">
        <f t="shared" si="39"/>
        <v>0</v>
      </c>
      <c r="CZ39">
        <f t="shared" si="40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86</v>
      </c>
      <c r="DW39" t="s">
        <v>86</v>
      </c>
      <c r="DX39">
        <v>1</v>
      </c>
      <c r="EE39">
        <v>39174386</v>
      </c>
      <c r="EF39">
        <v>3</v>
      </c>
      <c r="EG39" t="s">
        <v>20</v>
      </c>
      <c r="EH39">
        <v>0</v>
      </c>
      <c r="EI39" t="s">
        <v>3</v>
      </c>
      <c r="EJ39">
        <v>2</v>
      </c>
      <c r="EK39">
        <v>108001</v>
      </c>
      <c r="EL39" t="s">
        <v>21</v>
      </c>
      <c r="EM39" t="s">
        <v>22</v>
      </c>
      <c r="EO39" t="s">
        <v>3</v>
      </c>
      <c r="EQ39">
        <v>0</v>
      </c>
      <c r="ER39">
        <v>1049.99</v>
      </c>
      <c r="ES39">
        <v>1049.99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1"/>
        <v>0</v>
      </c>
      <c r="FS39">
        <v>0</v>
      </c>
      <c r="FX39">
        <v>95</v>
      </c>
      <c r="FY39">
        <v>65</v>
      </c>
      <c r="GA39" t="s">
        <v>3</v>
      </c>
      <c r="GD39">
        <v>0</v>
      </c>
      <c r="GF39">
        <v>-1842424436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2"/>
        <v>0</v>
      </c>
      <c r="GM39">
        <f t="shared" si="43"/>
        <v>15371.85</v>
      </c>
      <c r="GN39">
        <f t="shared" si="44"/>
        <v>0</v>
      </c>
      <c r="GO39">
        <f t="shared" si="45"/>
        <v>15371.85</v>
      </c>
      <c r="GP39">
        <f t="shared" si="46"/>
        <v>0</v>
      </c>
      <c r="GR39">
        <v>0</v>
      </c>
      <c r="GS39">
        <v>3</v>
      </c>
      <c r="GT39">
        <v>0</v>
      </c>
      <c r="GU39" t="s">
        <v>3</v>
      </c>
      <c r="GV39">
        <f t="shared" si="47"/>
        <v>0</v>
      </c>
      <c r="GW39">
        <v>1</v>
      </c>
      <c r="GX39">
        <f t="shared" si="48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94</v>
      </c>
      <c r="E40" t="s">
        <v>109</v>
      </c>
      <c r="F40" t="s">
        <v>110</v>
      </c>
      <c r="G40" t="s">
        <v>111</v>
      </c>
      <c r="H40" t="s">
        <v>86</v>
      </c>
      <c r="I40">
        <f>I38*J40</f>
        <v>4</v>
      </c>
      <c r="J40">
        <v>0.22222222222222221</v>
      </c>
      <c r="O40">
        <f t="shared" si="14"/>
        <v>16874.060000000001</v>
      </c>
      <c r="P40">
        <f t="shared" si="15"/>
        <v>16874.060000000001</v>
      </c>
      <c r="Q40">
        <f t="shared" si="16"/>
        <v>0</v>
      </c>
      <c r="R40">
        <f t="shared" si="17"/>
        <v>0</v>
      </c>
      <c r="S40">
        <f t="shared" si="18"/>
        <v>0</v>
      </c>
      <c r="T40">
        <f t="shared" si="19"/>
        <v>0</v>
      </c>
      <c r="U40">
        <f t="shared" si="20"/>
        <v>0</v>
      </c>
      <c r="V40">
        <f t="shared" si="21"/>
        <v>0</v>
      </c>
      <c r="W40">
        <f t="shared" si="22"/>
        <v>0</v>
      </c>
      <c r="X40">
        <f t="shared" si="23"/>
        <v>0</v>
      </c>
      <c r="Y40">
        <f t="shared" si="24"/>
        <v>0</v>
      </c>
      <c r="AA40">
        <v>39610380</v>
      </c>
      <c r="AB40">
        <f t="shared" si="25"/>
        <v>864.45</v>
      </c>
      <c r="AC40">
        <f t="shared" si="49"/>
        <v>864.45</v>
      </c>
      <c r="AD40">
        <f t="shared" si="50"/>
        <v>0</v>
      </c>
      <c r="AE40">
        <f t="shared" si="51"/>
        <v>0</v>
      </c>
      <c r="AF40">
        <f t="shared" si="52"/>
        <v>0</v>
      </c>
      <c r="AG40">
        <f t="shared" si="27"/>
        <v>0</v>
      </c>
      <c r="AH40">
        <f t="shared" si="53"/>
        <v>0</v>
      </c>
      <c r="AI40">
        <f t="shared" si="54"/>
        <v>0</v>
      </c>
      <c r="AJ40">
        <f t="shared" si="29"/>
        <v>0</v>
      </c>
      <c r="AK40">
        <v>864.45</v>
      </c>
      <c r="AL40">
        <v>864.45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95</v>
      </c>
      <c r="AU40">
        <v>65</v>
      </c>
      <c r="AV40">
        <v>1</v>
      </c>
      <c r="AW40">
        <v>1</v>
      </c>
      <c r="AZ40">
        <v>4.88</v>
      </c>
      <c r="BA40">
        <v>1</v>
      </c>
      <c r="BB40">
        <v>1</v>
      </c>
      <c r="BC40">
        <v>4.88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2</v>
      </c>
      <c r="BJ40" t="s">
        <v>112</v>
      </c>
      <c r="BM40">
        <v>108001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95</v>
      </c>
      <c r="CA40">
        <v>65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0"/>
        <v>16874.060000000001</v>
      </c>
      <c r="CQ40">
        <f t="shared" si="31"/>
        <v>4218.5160000000005</v>
      </c>
      <c r="CR40">
        <f t="shared" si="32"/>
        <v>0</v>
      </c>
      <c r="CS40">
        <f t="shared" si="33"/>
        <v>0</v>
      </c>
      <c r="CT40">
        <f t="shared" si="34"/>
        <v>0</v>
      </c>
      <c r="CU40">
        <f t="shared" si="35"/>
        <v>0</v>
      </c>
      <c r="CV40">
        <f t="shared" si="36"/>
        <v>0</v>
      </c>
      <c r="CW40">
        <f t="shared" si="37"/>
        <v>0</v>
      </c>
      <c r="CX40">
        <f t="shared" si="38"/>
        <v>0</v>
      </c>
      <c r="CY40">
        <f t="shared" si="39"/>
        <v>0</v>
      </c>
      <c r="CZ40">
        <f t="shared" si="40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86</v>
      </c>
      <c r="DW40" t="s">
        <v>86</v>
      </c>
      <c r="DX40">
        <v>1</v>
      </c>
      <c r="EE40">
        <v>39174386</v>
      </c>
      <c r="EF40">
        <v>3</v>
      </c>
      <c r="EG40" t="s">
        <v>20</v>
      </c>
      <c r="EH40">
        <v>0</v>
      </c>
      <c r="EI40" t="s">
        <v>3</v>
      </c>
      <c r="EJ40">
        <v>2</v>
      </c>
      <c r="EK40">
        <v>108001</v>
      </c>
      <c r="EL40" t="s">
        <v>21</v>
      </c>
      <c r="EM40" t="s">
        <v>22</v>
      </c>
      <c r="EO40" t="s">
        <v>3</v>
      </c>
      <c r="EQ40">
        <v>0</v>
      </c>
      <c r="ER40">
        <v>864.45</v>
      </c>
      <c r="ES40">
        <v>864.45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1"/>
        <v>0</v>
      </c>
      <c r="FS40">
        <v>0</v>
      </c>
      <c r="FX40">
        <v>95</v>
      </c>
      <c r="FY40">
        <v>65</v>
      </c>
      <c r="GA40" t="s">
        <v>3</v>
      </c>
      <c r="GD40">
        <v>0</v>
      </c>
      <c r="GF40">
        <v>516885426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2"/>
        <v>0</v>
      </c>
      <c r="GM40">
        <f t="shared" si="43"/>
        <v>16874.060000000001</v>
      </c>
      <c r="GN40">
        <f t="shared" si="44"/>
        <v>0</v>
      </c>
      <c r="GO40">
        <f t="shared" si="45"/>
        <v>16874.060000000001</v>
      </c>
      <c r="GP40">
        <f t="shared" si="46"/>
        <v>0</v>
      </c>
      <c r="GR40">
        <v>0</v>
      </c>
      <c r="GS40">
        <v>3</v>
      </c>
      <c r="GT40">
        <v>0</v>
      </c>
      <c r="GU40" t="s">
        <v>3</v>
      </c>
      <c r="GV40">
        <f t="shared" si="47"/>
        <v>0</v>
      </c>
      <c r="GW40">
        <v>1</v>
      </c>
      <c r="GX40">
        <f t="shared" si="48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92</v>
      </c>
      <c r="E41" t="s">
        <v>113</v>
      </c>
      <c r="F41" t="s">
        <v>114</v>
      </c>
      <c r="G41" t="s">
        <v>115</v>
      </c>
      <c r="H41" t="s">
        <v>86</v>
      </c>
      <c r="I41">
        <f>I38*J41</f>
        <v>7</v>
      </c>
      <c r="J41">
        <v>0.3888888888888889</v>
      </c>
      <c r="O41">
        <f t="shared" si="14"/>
        <v>19129.259999999998</v>
      </c>
      <c r="P41">
        <f t="shared" si="15"/>
        <v>19129.259999999998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39610380</v>
      </c>
      <c r="AB41">
        <f t="shared" si="25"/>
        <v>559.99</v>
      </c>
      <c r="AC41">
        <f t="shared" si="49"/>
        <v>559.99</v>
      </c>
      <c r="AD41">
        <f t="shared" si="50"/>
        <v>0</v>
      </c>
      <c r="AE41">
        <f t="shared" si="51"/>
        <v>0</v>
      </c>
      <c r="AF41">
        <f t="shared" si="52"/>
        <v>0</v>
      </c>
      <c r="AG41">
        <f t="shared" si="27"/>
        <v>0</v>
      </c>
      <c r="AH41">
        <f t="shared" si="53"/>
        <v>0</v>
      </c>
      <c r="AI41">
        <f t="shared" si="54"/>
        <v>0</v>
      </c>
      <c r="AJ41">
        <f t="shared" si="29"/>
        <v>0</v>
      </c>
      <c r="AK41">
        <v>559.99</v>
      </c>
      <c r="AL41">
        <v>559.99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4.88</v>
      </c>
      <c r="BA41">
        <v>1</v>
      </c>
      <c r="BB41">
        <v>1</v>
      </c>
      <c r="BC41">
        <v>4.88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116</v>
      </c>
      <c r="BM41">
        <v>108001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0"/>
        <v>19129.259999999998</v>
      </c>
      <c r="CQ41">
        <f t="shared" si="31"/>
        <v>2732.7512000000002</v>
      </c>
      <c r="CR41">
        <f t="shared" si="32"/>
        <v>0</v>
      </c>
      <c r="CS41">
        <f t="shared" si="33"/>
        <v>0</v>
      </c>
      <c r="CT41">
        <f t="shared" si="34"/>
        <v>0</v>
      </c>
      <c r="CU41">
        <f t="shared" si="35"/>
        <v>0</v>
      </c>
      <c r="CV41">
        <f t="shared" si="36"/>
        <v>0</v>
      </c>
      <c r="CW41">
        <f t="shared" si="37"/>
        <v>0</v>
      </c>
      <c r="CX41">
        <f t="shared" si="38"/>
        <v>0</v>
      </c>
      <c r="CY41">
        <f t="shared" si="39"/>
        <v>0</v>
      </c>
      <c r="CZ41">
        <f t="shared" si="40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86</v>
      </c>
      <c r="DW41" t="s">
        <v>86</v>
      </c>
      <c r="DX41">
        <v>1</v>
      </c>
      <c r="EE41">
        <v>39174386</v>
      </c>
      <c r="EF41">
        <v>3</v>
      </c>
      <c r="EG41" t="s">
        <v>20</v>
      </c>
      <c r="EH41">
        <v>0</v>
      </c>
      <c r="EI41" t="s">
        <v>3</v>
      </c>
      <c r="EJ41">
        <v>2</v>
      </c>
      <c r="EK41">
        <v>108001</v>
      </c>
      <c r="EL41" t="s">
        <v>21</v>
      </c>
      <c r="EM41" t="s">
        <v>22</v>
      </c>
      <c r="EO41" t="s">
        <v>3</v>
      </c>
      <c r="EQ41">
        <v>0</v>
      </c>
      <c r="ER41">
        <v>559.99</v>
      </c>
      <c r="ES41">
        <v>559.99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1"/>
        <v>0</v>
      </c>
      <c r="FS41">
        <v>0</v>
      </c>
      <c r="FX41">
        <v>95</v>
      </c>
      <c r="FY41">
        <v>65</v>
      </c>
      <c r="GA41" t="s">
        <v>3</v>
      </c>
      <c r="GD41">
        <v>0</v>
      </c>
      <c r="GF41">
        <v>-1538616603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2"/>
        <v>0</v>
      </c>
      <c r="GM41">
        <f t="shared" si="43"/>
        <v>19129.259999999998</v>
      </c>
      <c r="GN41">
        <f t="shared" si="44"/>
        <v>0</v>
      </c>
      <c r="GO41">
        <f t="shared" si="45"/>
        <v>19129.259999999998</v>
      </c>
      <c r="GP41">
        <f t="shared" si="46"/>
        <v>0</v>
      </c>
      <c r="GR41">
        <v>0</v>
      </c>
      <c r="GS41">
        <v>3</v>
      </c>
      <c r="GT41">
        <v>0</v>
      </c>
      <c r="GU41" t="s">
        <v>3</v>
      </c>
      <c r="GV41">
        <f t="shared" si="47"/>
        <v>0</v>
      </c>
      <c r="GW41">
        <v>1</v>
      </c>
      <c r="GX41">
        <f t="shared" si="48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91</v>
      </c>
      <c r="E42" t="s">
        <v>117</v>
      </c>
      <c r="F42" t="s">
        <v>118</v>
      </c>
      <c r="G42" t="s">
        <v>119</v>
      </c>
      <c r="H42" t="s">
        <v>86</v>
      </c>
      <c r="I42">
        <f>I38*J42</f>
        <v>4</v>
      </c>
      <c r="J42">
        <v>0.22222222222222221</v>
      </c>
      <c r="O42">
        <f t="shared" si="14"/>
        <v>9564.7999999999993</v>
      </c>
      <c r="P42">
        <f t="shared" si="15"/>
        <v>9564.7999999999993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39610380</v>
      </c>
      <c r="AB42">
        <f t="shared" si="25"/>
        <v>490</v>
      </c>
      <c r="AC42">
        <f t="shared" si="49"/>
        <v>490</v>
      </c>
      <c r="AD42">
        <f t="shared" si="50"/>
        <v>0</v>
      </c>
      <c r="AE42">
        <f t="shared" si="51"/>
        <v>0</v>
      </c>
      <c r="AF42">
        <f t="shared" si="52"/>
        <v>0</v>
      </c>
      <c r="AG42">
        <f t="shared" si="27"/>
        <v>0</v>
      </c>
      <c r="AH42">
        <f t="shared" si="53"/>
        <v>0</v>
      </c>
      <c r="AI42">
        <f t="shared" si="54"/>
        <v>0</v>
      </c>
      <c r="AJ42">
        <f t="shared" si="29"/>
        <v>0</v>
      </c>
      <c r="AK42">
        <v>490</v>
      </c>
      <c r="AL42">
        <v>490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65</v>
      </c>
      <c r="AV42">
        <v>1</v>
      </c>
      <c r="AW42">
        <v>1</v>
      </c>
      <c r="AZ42">
        <v>4.88</v>
      </c>
      <c r="BA42">
        <v>1</v>
      </c>
      <c r="BB42">
        <v>1</v>
      </c>
      <c r="BC42">
        <v>4.88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2</v>
      </c>
      <c r="BJ42" t="s">
        <v>120</v>
      </c>
      <c r="BM42">
        <v>108001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95</v>
      </c>
      <c r="CA42">
        <v>65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0"/>
        <v>9564.7999999999993</v>
      </c>
      <c r="CQ42">
        <f t="shared" si="31"/>
        <v>2391.1999999999998</v>
      </c>
      <c r="CR42">
        <f t="shared" si="32"/>
        <v>0</v>
      </c>
      <c r="CS42">
        <f t="shared" si="33"/>
        <v>0</v>
      </c>
      <c r="CT42">
        <f t="shared" si="34"/>
        <v>0</v>
      </c>
      <c r="CU42">
        <f t="shared" si="35"/>
        <v>0</v>
      </c>
      <c r="CV42">
        <f t="shared" si="36"/>
        <v>0</v>
      </c>
      <c r="CW42">
        <f t="shared" si="37"/>
        <v>0</v>
      </c>
      <c r="CX42">
        <f t="shared" si="38"/>
        <v>0</v>
      </c>
      <c r="CY42">
        <f t="shared" si="39"/>
        <v>0</v>
      </c>
      <c r="CZ42">
        <f t="shared" si="40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86</v>
      </c>
      <c r="DW42" t="s">
        <v>86</v>
      </c>
      <c r="DX42">
        <v>1</v>
      </c>
      <c r="EE42">
        <v>39174386</v>
      </c>
      <c r="EF42">
        <v>3</v>
      </c>
      <c r="EG42" t="s">
        <v>20</v>
      </c>
      <c r="EH42">
        <v>0</v>
      </c>
      <c r="EI42" t="s">
        <v>3</v>
      </c>
      <c r="EJ42">
        <v>2</v>
      </c>
      <c r="EK42">
        <v>108001</v>
      </c>
      <c r="EL42" t="s">
        <v>21</v>
      </c>
      <c r="EM42" t="s">
        <v>22</v>
      </c>
      <c r="EO42" t="s">
        <v>3</v>
      </c>
      <c r="EQ42">
        <v>0</v>
      </c>
      <c r="ER42">
        <v>490</v>
      </c>
      <c r="ES42">
        <v>490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1"/>
        <v>0</v>
      </c>
      <c r="FS42">
        <v>0</v>
      </c>
      <c r="FX42">
        <v>95</v>
      </c>
      <c r="FY42">
        <v>65</v>
      </c>
      <c r="GA42" t="s">
        <v>3</v>
      </c>
      <c r="GD42">
        <v>0</v>
      </c>
      <c r="GF42">
        <v>375729356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2"/>
        <v>0</v>
      </c>
      <c r="GM42">
        <f t="shared" si="43"/>
        <v>9564.7999999999993</v>
      </c>
      <c r="GN42">
        <f t="shared" si="44"/>
        <v>0</v>
      </c>
      <c r="GO42">
        <f t="shared" si="45"/>
        <v>9564.7999999999993</v>
      </c>
      <c r="GP42">
        <f t="shared" si="46"/>
        <v>0</v>
      </c>
      <c r="GR42">
        <v>0</v>
      </c>
      <c r="GS42">
        <v>3</v>
      </c>
      <c r="GT42">
        <v>0</v>
      </c>
      <c r="GU42" t="s">
        <v>3</v>
      </c>
      <c r="GV42">
        <f t="shared" si="47"/>
        <v>0</v>
      </c>
      <c r="GW42">
        <v>1</v>
      </c>
      <c r="GX42">
        <f t="shared" si="48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ROW(SmtRes!A111)</f>
        <v>111</v>
      </c>
      <c r="D43">
        <f>ROW(EtalonRes!A104)</f>
        <v>104</v>
      </c>
      <c r="E43" t="s">
        <v>121</v>
      </c>
      <c r="F43" t="s">
        <v>122</v>
      </c>
      <c r="G43" t="s">
        <v>123</v>
      </c>
      <c r="H43" t="s">
        <v>27</v>
      </c>
      <c r="I43">
        <v>8</v>
      </c>
      <c r="J43">
        <v>0</v>
      </c>
      <c r="O43">
        <f t="shared" si="14"/>
        <v>1404.65</v>
      </c>
      <c r="P43">
        <f t="shared" si="15"/>
        <v>784.31</v>
      </c>
      <c r="Q43">
        <f t="shared" si="16"/>
        <v>40.99</v>
      </c>
      <c r="R43">
        <f t="shared" si="17"/>
        <v>0</v>
      </c>
      <c r="S43">
        <f t="shared" si="18"/>
        <v>579.35</v>
      </c>
      <c r="T43">
        <f t="shared" si="19"/>
        <v>0</v>
      </c>
      <c r="U43">
        <f t="shared" si="20"/>
        <v>12.48</v>
      </c>
      <c r="V43">
        <f t="shared" si="21"/>
        <v>0</v>
      </c>
      <c r="W43">
        <f t="shared" si="22"/>
        <v>0</v>
      </c>
      <c r="X43">
        <f t="shared" si="23"/>
        <v>550.38</v>
      </c>
      <c r="Y43">
        <f t="shared" si="24"/>
        <v>376.58</v>
      </c>
      <c r="AA43">
        <v>39610380</v>
      </c>
      <c r="AB43">
        <f t="shared" si="25"/>
        <v>35.979999999999997</v>
      </c>
      <c r="AC43">
        <f t="shared" si="49"/>
        <v>20.09</v>
      </c>
      <c r="AD43">
        <f t="shared" si="50"/>
        <v>1.05</v>
      </c>
      <c r="AE43">
        <f t="shared" si="51"/>
        <v>0</v>
      </c>
      <c r="AF43">
        <f t="shared" si="52"/>
        <v>14.84</v>
      </c>
      <c r="AG43">
        <f t="shared" si="27"/>
        <v>0</v>
      </c>
      <c r="AH43">
        <f t="shared" si="53"/>
        <v>1.56</v>
      </c>
      <c r="AI43">
        <f t="shared" si="54"/>
        <v>0</v>
      </c>
      <c r="AJ43">
        <f t="shared" si="29"/>
        <v>0</v>
      </c>
      <c r="AK43">
        <v>35.979999999999997</v>
      </c>
      <c r="AL43">
        <v>20.09</v>
      </c>
      <c r="AM43">
        <v>1.05</v>
      </c>
      <c r="AN43">
        <v>0</v>
      </c>
      <c r="AO43">
        <v>14.84</v>
      </c>
      <c r="AP43">
        <v>0</v>
      </c>
      <c r="AQ43">
        <v>1.56</v>
      </c>
      <c r="AR43">
        <v>0</v>
      </c>
      <c r="AS43">
        <v>0</v>
      </c>
      <c r="AT43">
        <v>95</v>
      </c>
      <c r="AU43">
        <v>65</v>
      </c>
      <c r="AV43">
        <v>1</v>
      </c>
      <c r="AW43">
        <v>1</v>
      </c>
      <c r="AZ43">
        <v>4.88</v>
      </c>
      <c r="BA43">
        <v>4.88</v>
      </c>
      <c r="BB43">
        <v>4.88</v>
      </c>
      <c r="BC43">
        <v>4.88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2</v>
      </c>
      <c r="BJ43" t="s">
        <v>124</v>
      </c>
      <c r="BM43">
        <v>108001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4.88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95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0"/>
        <v>1404.65</v>
      </c>
      <c r="CQ43">
        <f t="shared" si="31"/>
        <v>98.039199999999994</v>
      </c>
      <c r="CR43">
        <f t="shared" si="32"/>
        <v>5.1239999999999997</v>
      </c>
      <c r="CS43">
        <f t="shared" si="33"/>
        <v>0</v>
      </c>
      <c r="CT43">
        <f t="shared" si="34"/>
        <v>72.419200000000004</v>
      </c>
      <c r="CU43">
        <f t="shared" si="35"/>
        <v>0</v>
      </c>
      <c r="CV43">
        <f t="shared" si="36"/>
        <v>1.56</v>
      </c>
      <c r="CW43">
        <f t="shared" si="37"/>
        <v>0</v>
      </c>
      <c r="CX43">
        <f t="shared" si="38"/>
        <v>0</v>
      </c>
      <c r="CY43">
        <f t="shared" si="39"/>
        <v>550.38250000000005</v>
      </c>
      <c r="CZ43">
        <f t="shared" si="40"/>
        <v>376.57749999999999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27</v>
      </c>
      <c r="DW43" t="s">
        <v>27</v>
      </c>
      <c r="DX43">
        <v>1</v>
      </c>
      <c r="EE43">
        <v>39174386</v>
      </c>
      <c r="EF43">
        <v>3</v>
      </c>
      <c r="EG43" t="s">
        <v>20</v>
      </c>
      <c r="EH43">
        <v>0</v>
      </c>
      <c r="EI43" t="s">
        <v>3</v>
      </c>
      <c r="EJ43">
        <v>2</v>
      </c>
      <c r="EK43">
        <v>108001</v>
      </c>
      <c r="EL43" t="s">
        <v>21</v>
      </c>
      <c r="EM43" t="s">
        <v>22</v>
      </c>
      <c r="EO43" t="s">
        <v>3</v>
      </c>
      <c r="EQ43">
        <v>0</v>
      </c>
      <c r="ER43">
        <v>35.979999999999997</v>
      </c>
      <c r="ES43">
        <v>20.09</v>
      </c>
      <c r="ET43">
        <v>1.05</v>
      </c>
      <c r="EU43">
        <v>0</v>
      </c>
      <c r="EV43">
        <v>14.84</v>
      </c>
      <c r="EW43">
        <v>1.56</v>
      </c>
      <c r="EX43">
        <v>0</v>
      </c>
      <c r="EY43">
        <v>0</v>
      </c>
      <c r="FQ43">
        <v>0</v>
      </c>
      <c r="FR43">
        <f t="shared" si="41"/>
        <v>0</v>
      </c>
      <c r="FS43">
        <v>0</v>
      </c>
      <c r="FX43">
        <v>95</v>
      </c>
      <c r="FY43">
        <v>65</v>
      </c>
      <c r="GA43" t="s">
        <v>3</v>
      </c>
      <c r="GD43">
        <v>0</v>
      </c>
      <c r="GF43">
        <v>942868882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2"/>
        <v>0</v>
      </c>
      <c r="GM43">
        <f t="shared" si="43"/>
        <v>2331.61</v>
      </c>
      <c r="GN43">
        <f t="shared" si="44"/>
        <v>0</v>
      </c>
      <c r="GO43">
        <f t="shared" si="45"/>
        <v>2331.61</v>
      </c>
      <c r="GP43">
        <f t="shared" si="46"/>
        <v>0</v>
      </c>
      <c r="GR43">
        <v>0</v>
      </c>
      <c r="GS43">
        <v>3</v>
      </c>
      <c r="GT43">
        <v>0</v>
      </c>
      <c r="GU43" t="s">
        <v>3</v>
      </c>
      <c r="GV43">
        <f t="shared" si="47"/>
        <v>0</v>
      </c>
      <c r="GW43">
        <v>1</v>
      </c>
      <c r="GX43">
        <f t="shared" si="48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110</v>
      </c>
      <c r="E44" t="s">
        <v>125</v>
      </c>
      <c r="F44" t="s">
        <v>126</v>
      </c>
      <c r="G44" t="s">
        <v>127</v>
      </c>
      <c r="H44" t="s">
        <v>86</v>
      </c>
      <c r="I44">
        <f>I43*J44</f>
        <v>4</v>
      </c>
      <c r="J44">
        <v>0.5</v>
      </c>
      <c r="O44">
        <f t="shared" si="14"/>
        <v>3104.85</v>
      </c>
      <c r="P44">
        <f t="shared" si="15"/>
        <v>3104.85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39610380</v>
      </c>
      <c r="AB44">
        <f t="shared" si="25"/>
        <v>159.06</v>
      </c>
      <c r="AC44">
        <f t="shared" si="49"/>
        <v>159.06</v>
      </c>
      <c r="AD44">
        <f t="shared" si="50"/>
        <v>0</v>
      </c>
      <c r="AE44">
        <f t="shared" si="51"/>
        <v>0</v>
      </c>
      <c r="AF44">
        <f t="shared" si="52"/>
        <v>0</v>
      </c>
      <c r="AG44">
        <f t="shared" si="27"/>
        <v>0</v>
      </c>
      <c r="AH44">
        <f t="shared" si="53"/>
        <v>0</v>
      </c>
      <c r="AI44">
        <f t="shared" si="54"/>
        <v>0</v>
      </c>
      <c r="AJ44">
        <f t="shared" si="29"/>
        <v>0</v>
      </c>
      <c r="AK44">
        <v>159.06</v>
      </c>
      <c r="AL44">
        <v>159.06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65</v>
      </c>
      <c r="AV44">
        <v>1</v>
      </c>
      <c r="AW44">
        <v>1</v>
      </c>
      <c r="AZ44">
        <v>4.88</v>
      </c>
      <c r="BA44">
        <v>1</v>
      </c>
      <c r="BB44">
        <v>1</v>
      </c>
      <c r="BC44">
        <v>4.88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128</v>
      </c>
      <c r="BM44">
        <v>108001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95</v>
      </c>
      <c r="CA44">
        <v>65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0"/>
        <v>3104.85</v>
      </c>
      <c r="CQ44">
        <f t="shared" si="31"/>
        <v>776.21280000000002</v>
      </c>
      <c r="CR44">
        <f t="shared" si="32"/>
        <v>0</v>
      </c>
      <c r="CS44">
        <f t="shared" si="33"/>
        <v>0</v>
      </c>
      <c r="CT44">
        <f t="shared" si="34"/>
        <v>0</v>
      </c>
      <c r="CU44">
        <f t="shared" si="35"/>
        <v>0</v>
      </c>
      <c r="CV44">
        <f t="shared" si="36"/>
        <v>0</v>
      </c>
      <c r="CW44">
        <f t="shared" si="37"/>
        <v>0</v>
      </c>
      <c r="CX44">
        <f t="shared" si="38"/>
        <v>0</v>
      </c>
      <c r="CY44">
        <f t="shared" si="39"/>
        <v>0</v>
      </c>
      <c r="CZ44">
        <f t="shared" si="40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86</v>
      </c>
      <c r="DW44" t="s">
        <v>86</v>
      </c>
      <c r="DX44">
        <v>1</v>
      </c>
      <c r="EE44">
        <v>39174386</v>
      </c>
      <c r="EF44">
        <v>3</v>
      </c>
      <c r="EG44" t="s">
        <v>20</v>
      </c>
      <c r="EH44">
        <v>0</v>
      </c>
      <c r="EI44" t="s">
        <v>3</v>
      </c>
      <c r="EJ44">
        <v>2</v>
      </c>
      <c r="EK44">
        <v>108001</v>
      </c>
      <c r="EL44" t="s">
        <v>21</v>
      </c>
      <c r="EM44" t="s">
        <v>22</v>
      </c>
      <c r="EO44" t="s">
        <v>3</v>
      </c>
      <c r="EQ44">
        <v>0</v>
      </c>
      <c r="ER44">
        <v>159.06</v>
      </c>
      <c r="ES44">
        <v>159.06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1"/>
        <v>0</v>
      </c>
      <c r="FS44">
        <v>0</v>
      </c>
      <c r="FX44">
        <v>95</v>
      </c>
      <c r="FY44">
        <v>65</v>
      </c>
      <c r="GA44" t="s">
        <v>3</v>
      </c>
      <c r="GD44">
        <v>0</v>
      </c>
      <c r="GF44">
        <v>1482355325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2"/>
        <v>0</v>
      </c>
      <c r="GM44">
        <f t="shared" si="43"/>
        <v>3104.85</v>
      </c>
      <c r="GN44">
        <f t="shared" si="44"/>
        <v>0</v>
      </c>
      <c r="GO44">
        <f t="shared" si="45"/>
        <v>3104.85</v>
      </c>
      <c r="GP44">
        <f t="shared" si="46"/>
        <v>0</v>
      </c>
      <c r="GR44">
        <v>0</v>
      </c>
      <c r="GS44">
        <v>3</v>
      </c>
      <c r="GT44">
        <v>0</v>
      </c>
      <c r="GU44" t="s">
        <v>3</v>
      </c>
      <c r="GV44">
        <f t="shared" si="47"/>
        <v>0</v>
      </c>
      <c r="GW44">
        <v>1</v>
      </c>
      <c r="GX44">
        <f t="shared" si="48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109</v>
      </c>
      <c r="E45" t="s">
        <v>129</v>
      </c>
      <c r="F45" t="s">
        <v>130</v>
      </c>
      <c r="G45" t="s">
        <v>131</v>
      </c>
      <c r="H45" t="s">
        <v>86</v>
      </c>
      <c r="I45">
        <f>I43*J45</f>
        <v>4</v>
      </c>
      <c r="J45">
        <v>0.5</v>
      </c>
      <c r="O45">
        <f t="shared" si="14"/>
        <v>3104.85</v>
      </c>
      <c r="P45">
        <f t="shared" si="15"/>
        <v>3104.85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39610380</v>
      </c>
      <c r="AB45">
        <f t="shared" si="25"/>
        <v>159.06</v>
      </c>
      <c r="AC45">
        <f t="shared" si="49"/>
        <v>159.06</v>
      </c>
      <c r="AD45">
        <f t="shared" si="50"/>
        <v>0</v>
      </c>
      <c r="AE45">
        <f t="shared" si="51"/>
        <v>0</v>
      </c>
      <c r="AF45">
        <f t="shared" si="52"/>
        <v>0</v>
      </c>
      <c r="AG45">
        <f t="shared" si="27"/>
        <v>0</v>
      </c>
      <c r="AH45">
        <f t="shared" si="53"/>
        <v>0</v>
      </c>
      <c r="AI45">
        <f t="shared" si="54"/>
        <v>0</v>
      </c>
      <c r="AJ45">
        <f t="shared" si="29"/>
        <v>0</v>
      </c>
      <c r="AK45">
        <v>159.06</v>
      </c>
      <c r="AL45">
        <v>159.06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4.88</v>
      </c>
      <c r="BA45">
        <v>1</v>
      </c>
      <c r="BB45">
        <v>1</v>
      </c>
      <c r="BC45">
        <v>4.88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2</v>
      </c>
      <c r="BJ45" t="s">
        <v>132</v>
      </c>
      <c r="BM45">
        <v>108001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95</v>
      </c>
      <c r="CA45">
        <v>65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0"/>
        <v>3104.85</v>
      </c>
      <c r="CQ45">
        <f t="shared" si="31"/>
        <v>776.21280000000002</v>
      </c>
      <c r="CR45">
        <f t="shared" si="32"/>
        <v>0</v>
      </c>
      <c r="CS45">
        <f t="shared" si="33"/>
        <v>0</v>
      </c>
      <c r="CT45">
        <f t="shared" si="34"/>
        <v>0</v>
      </c>
      <c r="CU45">
        <f t="shared" si="35"/>
        <v>0</v>
      </c>
      <c r="CV45">
        <f t="shared" si="36"/>
        <v>0</v>
      </c>
      <c r="CW45">
        <f t="shared" si="37"/>
        <v>0</v>
      </c>
      <c r="CX45">
        <f t="shared" si="38"/>
        <v>0</v>
      </c>
      <c r="CY45">
        <f t="shared" si="39"/>
        <v>0</v>
      </c>
      <c r="CZ45">
        <f t="shared" si="40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86</v>
      </c>
      <c r="DW45" t="s">
        <v>86</v>
      </c>
      <c r="DX45">
        <v>1</v>
      </c>
      <c r="EE45">
        <v>39174386</v>
      </c>
      <c r="EF45">
        <v>3</v>
      </c>
      <c r="EG45" t="s">
        <v>20</v>
      </c>
      <c r="EH45">
        <v>0</v>
      </c>
      <c r="EI45" t="s">
        <v>3</v>
      </c>
      <c r="EJ45">
        <v>2</v>
      </c>
      <c r="EK45">
        <v>108001</v>
      </c>
      <c r="EL45" t="s">
        <v>21</v>
      </c>
      <c r="EM45" t="s">
        <v>22</v>
      </c>
      <c r="EO45" t="s">
        <v>3</v>
      </c>
      <c r="EQ45">
        <v>0</v>
      </c>
      <c r="ER45">
        <v>159.06</v>
      </c>
      <c r="ES45">
        <v>159.06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1"/>
        <v>0</v>
      </c>
      <c r="FS45">
        <v>0</v>
      </c>
      <c r="FX45">
        <v>95</v>
      </c>
      <c r="FY45">
        <v>65</v>
      </c>
      <c r="GA45" t="s">
        <v>3</v>
      </c>
      <c r="GD45">
        <v>0</v>
      </c>
      <c r="GF45">
        <v>1787171070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2"/>
        <v>0</v>
      </c>
      <c r="GM45">
        <f t="shared" si="43"/>
        <v>3104.85</v>
      </c>
      <c r="GN45">
        <f t="shared" si="44"/>
        <v>0</v>
      </c>
      <c r="GO45">
        <f t="shared" si="45"/>
        <v>3104.85</v>
      </c>
      <c r="GP45">
        <f t="shared" si="46"/>
        <v>0</v>
      </c>
      <c r="GR45">
        <v>0</v>
      </c>
      <c r="GS45">
        <v>3</v>
      </c>
      <c r="GT45">
        <v>0</v>
      </c>
      <c r="GU45" t="s">
        <v>3</v>
      </c>
      <c r="GV45">
        <f t="shared" si="47"/>
        <v>0</v>
      </c>
      <c r="GW45">
        <v>1</v>
      </c>
      <c r="GX45">
        <f t="shared" si="48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ROW(SmtRes!A118)</f>
        <v>118</v>
      </c>
      <c r="D46">
        <f>ROW(EtalonRes!A110)</f>
        <v>110</v>
      </c>
      <c r="E46" t="s">
        <v>133</v>
      </c>
      <c r="F46" t="s">
        <v>134</v>
      </c>
      <c r="G46" t="s">
        <v>135</v>
      </c>
      <c r="H46" t="s">
        <v>27</v>
      </c>
      <c r="I46">
        <v>20</v>
      </c>
      <c r="J46">
        <v>0</v>
      </c>
      <c r="O46">
        <f t="shared" si="14"/>
        <v>2518.08</v>
      </c>
      <c r="P46">
        <f t="shared" si="15"/>
        <v>52.7</v>
      </c>
      <c r="Q46">
        <f t="shared" si="16"/>
        <v>346.48</v>
      </c>
      <c r="R46">
        <f t="shared" si="17"/>
        <v>48.8</v>
      </c>
      <c r="S46">
        <f t="shared" si="18"/>
        <v>2118.9</v>
      </c>
      <c r="T46">
        <f t="shared" si="19"/>
        <v>0</v>
      </c>
      <c r="U46">
        <f t="shared" si="20"/>
        <v>46.2</v>
      </c>
      <c r="V46">
        <f t="shared" si="21"/>
        <v>0.8</v>
      </c>
      <c r="W46">
        <f t="shared" si="22"/>
        <v>0</v>
      </c>
      <c r="X46">
        <f t="shared" si="23"/>
        <v>2059.3200000000002</v>
      </c>
      <c r="Y46">
        <f t="shared" si="24"/>
        <v>1409.01</v>
      </c>
      <c r="AA46">
        <v>39610380</v>
      </c>
      <c r="AB46">
        <f t="shared" si="25"/>
        <v>25.8</v>
      </c>
      <c r="AC46">
        <f t="shared" si="49"/>
        <v>0.54</v>
      </c>
      <c r="AD46">
        <f t="shared" si="50"/>
        <v>3.55</v>
      </c>
      <c r="AE46">
        <f t="shared" si="51"/>
        <v>0.5</v>
      </c>
      <c r="AF46">
        <f t="shared" si="52"/>
        <v>21.71</v>
      </c>
      <c r="AG46">
        <f t="shared" si="27"/>
        <v>0</v>
      </c>
      <c r="AH46">
        <f t="shared" si="53"/>
        <v>2.31</v>
      </c>
      <c r="AI46">
        <f t="shared" si="54"/>
        <v>0.04</v>
      </c>
      <c r="AJ46">
        <f t="shared" si="29"/>
        <v>0</v>
      </c>
      <c r="AK46">
        <v>25.8</v>
      </c>
      <c r="AL46">
        <v>0.54</v>
      </c>
      <c r="AM46">
        <v>3.55</v>
      </c>
      <c r="AN46">
        <v>0.5</v>
      </c>
      <c r="AO46">
        <v>21.71</v>
      </c>
      <c r="AP46">
        <v>0</v>
      </c>
      <c r="AQ46">
        <v>2.31</v>
      </c>
      <c r="AR46">
        <v>0.04</v>
      </c>
      <c r="AS46">
        <v>0</v>
      </c>
      <c r="AT46">
        <v>95</v>
      </c>
      <c r="AU46">
        <v>65</v>
      </c>
      <c r="AV46">
        <v>1</v>
      </c>
      <c r="AW46">
        <v>1</v>
      </c>
      <c r="AZ46">
        <v>4.88</v>
      </c>
      <c r="BA46">
        <v>4.88</v>
      </c>
      <c r="BB46">
        <v>4.88</v>
      </c>
      <c r="BC46">
        <v>4.88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2</v>
      </c>
      <c r="BJ46" t="s">
        <v>136</v>
      </c>
      <c r="BM46">
        <v>108001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4.88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95</v>
      </c>
      <c r="CA46">
        <v>65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0"/>
        <v>2518.08</v>
      </c>
      <c r="CQ46">
        <f t="shared" si="31"/>
        <v>2.6352000000000002</v>
      </c>
      <c r="CR46">
        <f t="shared" si="32"/>
        <v>17.323999999999998</v>
      </c>
      <c r="CS46">
        <f t="shared" si="33"/>
        <v>2.44</v>
      </c>
      <c r="CT46">
        <f t="shared" si="34"/>
        <v>105.9448</v>
      </c>
      <c r="CU46">
        <f t="shared" si="35"/>
        <v>0</v>
      </c>
      <c r="CV46">
        <f t="shared" si="36"/>
        <v>2.31</v>
      </c>
      <c r="CW46">
        <f t="shared" si="37"/>
        <v>0.04</v>
      </c>
      <c r="CX46">
        <f t="shared" si="38"/>
        <v>0</v>
      </c>
      <c r="CY46">
        <f t="shared" si="39"/>
        <v>2059.3150000000005</v>
      </c>
      <c r="CZ46">
        <f t="shared" si="40"/>
        <v>1409.0050000000003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27</v>
      </c>
      <c r="DW46" t="s">
        <v>27</v>
      </c>
      <c r="DX46">
        <v>1</v>
      </c>
      <c r="EE46">
        <v>39174386</v>
      </c>
      <c r="EF46">
        <v>3</v>
      </c>
      <c r="EG46" t="s">
        <v>20</v>
      </c>
      <c r="EH46">
        <v>0</v>
      </c>
      <c r="EI46" t="s">
        <v>3</v>
      </c>
      <c r="EJ46">
        <v>2</v>
      </c>
      <c r="EK46">
        <v>108001</v>
      </c>
      <c r="EL46" t="s">
        <v>21</v>
      </c>
      <c r="EM46" t="s">
        <v>22</v>
      </c>
      <c r="EO46" t="s">
        <v>3</v>
      </c>
      <c r="EQ46">
        <v>0</v>
      </c>
      <c r="ER46">
        <v>25.8</v>
      </c>
      <c r="ES46">
        <v>0.54</v>
      </c>
      <c r="ET46">
        <v>3.55</v>
      </c>
      <c r="EU46">
        <v>0.5</v>
      </c>
      <c r="EV46">
        <v>21.71</v>
      </c>
      <c r="EW46">
        <v>2.31</v>
      </c>
      <c r="EX46">
        <v>0.04</v>
      </c>
      <c r="EY46">
        <v>0</v>
      </c>
      <c r="FQ46">
        <v>0</v>
      </c>
      <c r="FR46">
        <f t="shared" si="41"/>
        <v>0</v>
      </c>
      <c r="FS46">
        <v>0</v>
      </c>
      <c r="FX46">
        <v>95</v>
      </c>
      <c r="FY46">
        <v>65</v>
      </c>
      <c r="GA46" t="s">
        <v>3</v>
      </c>
      <c r="GD46">
        <v>0</v>
      </c>
      <c r="GF46">
        <v>-1997185458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2"/>
        <v>0</v>
      </c>
      <c r="GM46">
        <f t="shared" si="43"/>
        <v>5986.41</v>
      </c>
      <c r="GN46">
        <f t="shared" si="44"/>
        <v>0</v>
      </c>
      <c r="GO46">
        <f t="shared" si="45"/>
        <v>5986.41</v>
      </c>
      <c r="GP46">
        <f t="shared" si="46"/>
        <v>0</v>
      </c>
      <c r="GR46">
        <v>0</v>
      </c>
      <c r="GS46">
        <v>3</v>
      </c>
      <c r="GT46">
        <v>0</v>
      </c>
      <c r="GU46" t="s">
        <v>3</v>
      </c>
      <c r="GV46">
        <f t="shared" si="47"/>
        <v>0</v>
      </c>
      <c r="GW46">
        <v>1</v>
      </c>
      <c r="GX46">
        <f t="shared" si="48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117</v>
      </c>
      <c r="E47" t="s">
        <v>137</v>
      </c>
      <c r="F47" t="s">
        <v>138</v>
      </c>
      <c r="G47" t="s">
        <v>139</v>
      </c>
      <c r="H47" t="s">
        <v>86</v>
      </c>
      <c r="I47">
        <f>I46*J47</f>
        <v>20</v>
      </c>
      <c r="J47">
        <v>1</v>
      </c>
      <c r="O47">
        <f t="shared" si="14"/>
        <v>18210.21</v>
      </c>
      <c r="P47">
        <f t="shared" si="15"/>
        <v>18210.21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39610380</v>
      </c>
      <c r="AB47">
        <f t="shared" si="25"/>
        <v>186.58</v>
      </c>
      <c r="AC47">
        <f t="shared" si="49"/>
        <v>186.58</v>
      </c>
      <c r="AD47">
        <f t="shared" si="50"/>
        <v>0</v>
      </c>
      <c r="AE47">
        <f t="shared" si="51"/>
        <v>0</v>
      </c>
      <c r="AF47">
        <f t="shared" si="52"/>
        <v>0</v>
      </c>
      <c r="AG47">
        <f t="shared" si="27"/>
        <v>0</v>
      </c>
      <c r="AH47">
        <f t="shared" si="53"/>
        <v>0</v>
      </c>
      <c r="AI47">
        <f t="shared" si="54"/>
        <v>0</v>
      </c>
      <c r="AJ47">
        <f t="shared" si="29"/>
        <v>0</v>
      </c>
      <c r="AK47">
        <v>186.58</v>
      </c>
      <c r="AL47">
        <v>186.58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65</v>
      </c>
      <c r="AV47">
        <v>1</v>
      </c>
      <c r="AW47">
        <v>1</v>
      </c>
      <c r="AZ47">
        <v>4.88</v>
      </c>
      <c r="BA47">
        <v>1</v>
      </c>
      <c r="BB47">
        <v>1</v>
      </c>
      <c r="BC47">
        <v>4.88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140</v>
      </c>
      <c r="BM47">
        <v>108001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0"/>
        <v>18210.21</v>
      </c>
      <c r="CQ47">
        <f t="shared" si="31"/>
        <v>910.5104</v>
      </c>
      <c r="CR47">
        <f t="shared" si="32"/>
        <v>0</v>
      </c>
      <c r="CS47">
        <f t="shared" si="33"/>
        <v>0</v>
      </c>
      <c r="CT47">
        <f t="shared" si="34"/>
        <v>0</v>
      </c>
      <c r="CU47">
        <f t="shared" si="35"/>
        <v>0</v>
      </c>
      <c r="CV47">
        <f t="shared" si="36"/>
        <v>0</v>
      </c>
      <c r="CW47">
        <f t="shared" si="37"/>
        <v>0</v>
      </c>
      <c r="CX47">
        <f t="shared" si="38"/>
        <v>0</v>
      </c>
      <c r="CY47">
        <f t="shared" si="39"/>
        <v>0</v>
      </c>
      <c r="CZ47">
        <f t="shared" si="40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86</v>
      </c>
      <c r="DW47" t="s">
        <v>86</v>
      </c>
      <c r="DX47">
        <v>1</v>
      </c>
      <c r="EE47">
        <v>39174386</v>
      </c>
      <c r="EF47">
        <v>3</v>
      </c>
      <c r="EG47" t="s">
        <v>20</v>
      </c>
      <c r="EH47">
        <v>0</v>
      </c>
      <c r="EI47" t="s">
        <v>3</v>
      </c>
      <c r="EJ47">
        <v>2</v>
      </c>
      <c r="EK47">
        <v>108001</v>
      </c>
      <c r="EL47" t="s">
        <v>21</v>
      </c>
      <c r="EM47" t="s">
        <v>22</v>
      </c>
      <c r="EO47" t="s">
        <v>3</v>
      </c>
      <c r="EQ47">
        <v>0</v>
      </c>
      <c r="ER47">
        <v>186.58</v>
      </c>
      <c r="ES47">
        <v>186.58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1"/>
        <v>0</v>
      </c>
      <c r="FS47">
        <v>0</v>
      </c>
      <c r="FX47">
        <v>95</v>
      </c>
      <c r="FY47">
        <v>65</v>
      </c>
      <c r="GA47" t="s">
        <v>3</v>
      </c>
      <c r="GD47">
        <v>0</v>
      </c>
      <c r="GF47">
        <v>45999523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2"/>
        <v>0</v>
      </c>
      <c r="GM47">
        <f t="shared" si="43"/>
        <v>18210.21</v>
      </c>
      <c r="GN47">
        <f t="shared" si="44"/>
        <v>0</v>
      </c>
      <c r="GO47">
        <f t="shared" si="45"/>
        <v>18210.21</v>
      </c>
      <c r="GP47">
        <f t="shared" si="46"/>
        <v>0</v>
      </c>
      <c r="GR47">
        <v>0</v>
      </c>
      <c r="GS47">
        <v>3</v>
      </c>
      <c r="GT47">
        <v>0</v>
      </c>
      <c r="GU47" t="s">
        <v>3</v>
      </c>
      <c r="GV47">
        <f t="shared" si="47"/>
        <v>0</v>
      </c>
      <c r="GW47">
        <v>1</v>
      </c>
      <c r="GX47">
        <f t="shared" si="48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ROW(SmtRes!A129)</f>
        <v>129</v>
      </c>
      <c r="D48">
        <f>ROW(EtalonRes!A119)</f>
        <v>119</v>
      </c>
      <c r="E48" t="s">
        <v>141</v>
      </c>
      <c r="F48" t="s">
        <v>142</v>
      </c>
      <c r="G48" t="s">
        <v>143</v>
      </c>
      <c r="H48" t="s">
        <v>79</v>
      </c>
      <c r="I48">
        <f>ROUND(4/100,9)</f>
        <v>0.04</v>
      </c>
      <c r="J48">
        <v>0</v>
      </c>
      <c r="O48">
        <f t="shared" si="14"/>
        <v>88.6</v>
      </c>
      <c r="P48">
        <f t="shared" si="15"/>
        <v>20.77</v>
      </c>
      <c r="Q48">
        <f t="shared" si="16"/>
        <v>0.91</v>
      </c>
      <c r="R48">
        <f t="shared" si="17"/>
        <v>0.12</v>
      </c>
      <c r="S48">
        <f t="shared" si="18"/>
        <v>66.92</v>
      </c>
      <c r="T48">
        <f t="shared" si="19"/>
        <v>0</v>
      </c>
      <c r="U48">
        <f t="shared" si="20"/>
        <v>1.3824000000000001</v>
      </c>
      <c r="V48">
        <f t="shared" si="21"/>
        <v>2E-3</v>
      </c>
      <c r="W48">
        <f t="shared" si="22"/>
        <v>0</v>
      </c>
      <c r="X48">
        <f t="shared" si="23"/>
        <v>63.69</v>
      </c>
      <c r="Y48">
        <f t="shared" si="24"/>
        <v>43.58</v>
      </c>
      <c r="AA48">
        <v>39610380</v>
      </c>
      <c r="AB48">
        <f t="shared" si="25"/>
        <v>453.93</v>
      </c>
      <c r="AC48">
        <f t="shared" si="49"/>
        <v>106.42</v>
      </c>
      <c r="AD48">
        <f t="shared" si="50"/>
        <v>4.67</v>
      </c>
      <c r="AE48">
        <f t="shared" si="51"/>
        <v>0.64</v>
      </c>
      <c r="AF48">
        <f t="shared" si="52"/>
        <v>342.84</v>
      </c>
      <c r="AG48">
        <f t="shared" si="27"/>
        <v>0</v>
      </c>
      <c r="AH48">
        <f t="shared" si="53"/>
        <v>34.56</v>
      </c>
      <c r="AI48">
        <f t="shared" si="54"/>
        <v>0.05</v>
      </c>
      <c r="AJ48">
        <f t="shared" si="29"/>
        <v>0</v>
      </c>
      <c r="AK48">
        <v>453.93</v>
      </c>
      <c r="AL48">
        <v>106.42</v>
      </c>
      <c r="AM48">
        <v>4.67</v>
      </c>
      <c r="AN48">
        <v>0.64</v>
      </c>
      <c r="AO48">
        <v>342.84</v>
      </c>
      <c r="AP48">
        <v>0</v>
      </c>
      <c r="AQ48">
        <v>34.56</v>
      </c>
      <c r="AR48">
        <v>0.05</v>
      </c>
      <c r="AS48">
        <v>0</v>
      </c>
      <c r="AT48">
        <v>95</v>
      </c>
      <c r="AU48">
        <v>65</v>
      </c>
      <c r="AV48">
        <v>1</v>
      </c>
      <c r="AW48">
        <v>1</v>
      </c>
      <c r="AZ48">
        <v>4.88</v>
      </c>
      <c r="BA48">
        <v>4.88</v>
      </c>
      <c r="BB48">
        <v>4.88</v>
      </c>
      <c r="BC48">
        <v>4.88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2</v>
      </c>
      <c r="BJ48" t="s">
        <v>144</v>
      </c>
      <c r="BM48">
        <v>108001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4.88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0"/>
        <v>88.6</v>
      </c>
      <c r="CQ48">
        <f t="shared" si="31"/>
        <v>519.32960000000003</v>
      </c>
      <c r="CR48">
        <f t="shared" si="32"/>
        <v>22.7896</v>
      </c>
      <c r="CS48">
        <f t="shared" si="33"/>
        <v>3.1232000000000002</v>
      </c>
      <c r="CT48">
        <f t="shared" si="34"/>
        <v>1673.0591999999999</v>
      </c>
      <c r="CU48">
        <f t="shared" si="35"/>
        <v>0</v>
      </c>
      <c r="CV48">
        <f t="shared" si="36"/>
        <v>34.56</v>
      </c>
      <c r="CW48">
        <f t="shared" si="37"/>
        <v>0.05</v>
      </c>
      <c r="CX48">
        <f t="shared" si="38"/>
        <v>0</v>
      </c>
      <c r="CY48">
        <f t="shared" si="39"/>
        <v>63.688000000000002</v>
      </c>
      <c r="CZ48">
        <f t="shared" si="40"/>
        <v>43.576000000000001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79</v>
      </c>
      <c r="DW48" t="s">
        <v>79</v>
      </c>
      <c r="DX48">
        <v>1</v>
      </c>
      <c r="EE48">
        <v>39174386</v>
      </c>
      <c r="EF48">
        <v>3</v>
      </c>
      <c r="EG48" t="s">
        <v>20</v>
      </c>
      <c r="EH48">
        <v>0</v>
      </c>
      <c r="EI48" t="s">
        <v>3</v>
      </c>
      <c r="EJ48">
        <v>2</v>
      </c>
      <c r="EK48">
        <v>108001</v>
      </c>
      <c r="EL48" t="s">
        <v>21</v>
      </c>
      <c r="EM48" t="s">
        <v>22</v>
      </c>
      <c r="EO48" t="s">
        <v>3</v>
      </c>
      <c r="EQ48">
        <v>0</v>
      </c>
      <c r="ER48">
        <v>453.93</v>
      </c>
      <c r="ES48">
        <v>106.42</v>
      </c>
      <c r="ET48">
        <v>4.67</v>
      </c>
      <c r="EU48">
        <v>0.64</v>
      </c>
      <c r="EV48">
        <v>342.84</v>
      </c>
      <c r="EW48">
        <v>34.56</v>
      </c>
      <c r="EX48">
        <v>0.05</v>
      </c>
      <c r="EY48">
        <v>0</v>
      </c>
      <c r="FQ48">
        <v>0</v>
      </c>
      <c r="FR48">
        <f t="shared" si="41"/>
        <v>0</v>
      </c>
      <c r="FS48">
        <v>0</v>
      </c>
      <c r="FX48">
        <v>95</v>
      </c>
      <c r="FY48">
        <v>65</v>
      </c>
      <c r="GA48" t="s">
        <v>3</v>
      </c>
      <c r="GD48">
        <v>0</v>
      </c>
      <c r="GF48">
        <v>1188648583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2"/>
        <v>0</v>
      </c>
      <c r="GM48">
        <f t="shared" si="43"/>
        <v>195.87</v>
      </c>
      <c r="GN48">
        <f t="shared" si="44"/>
        <v>0</v>
      </c>
      <c r="GO48">
        <f t="shared" si="45"/>
        <v>195.87</v>
      </c>
      <c r="GP48">
        <f t="shared" si="46"/>
        <v>0</v>
      </c>
      <c r="GR48">
        <v>0</v>
      </c>
      <c r="GS48">
        <v>3</v>
      </c>
      <c r="GT48">
        <v>0</v>
      </c>
      <c r="GU48" t="s">
        <v>3</v>
      </c>
      <c r="GV48">
        <f t="shared" si="47"/>
        <v>0</v>
      </c>
      <c r="GW48">
        <v>1</v>
      </c>
      <c r="GX48">
        <f t="shared" si="48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128</v>
      </c>
      <c r="E49" t="s">
        <v>145</v>
      </c>
      <c r="F49" t="s">
        <v>146</v>
      </c>
      <c r="G49" t="s">
        <v>672</v>
      </c>
      <c r="H49" t="s">
        <v>148</v>
      </c>
      <c r="I49">
        <f>I48*J49</f>
        <v>2</v>
      </c>
      <c r="J49">
        <v>50</v>
      </c>
      <c r="O49">
        <f t="shared" si="14"/>
        <v>19598.080000000002</v>
      </c>
      <c r="P49">
        <f t="shared" si="15"/>
        <v>19598.080000000002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39610380</v>
      </c>
      <c r="AB49">
        <f t="shared" si="25"/>
        <v>2008</v>
      </c>
      <c r="AC49">
        <f t="shared" si="49"/>
        <v>2008</v>
      </c>
      <c r="AD49">
        <f t="shared" si="50"/>
        <v>0</v>
      </c>
      <c r="AE49">
        <f t="shared" si="51"/>
        <v>0</v>
      </c>
      <c r="AF49">
        <f t="shared" si="52"/>
        <v>0</v>
      </c>
      <c r="AG49">
        <f t="shared" si="27"/>
        <v>0</v>
      </c>
      <c r="AH49">
        <f t="shared" si="53"/>
        <v>0</v>
      </c>
      <c r="AI49">
        <f t="shared" si="54"/>
        <v>0</v>
      </c>
      <c r="AJ49">
        <f t="shared" si="29"/>
        <v>0</v>
      </c>
      <c r="AK49">
        <v>2008</v>
      </c>
      <c r="AL49">
        <v>2008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65</v>
      </c>
      <c r="AV49">
        <v>1</v>
      </c>
      <c r="AW49">
        <v>1</v>
      </c>
      <c r="AZ49">
        <v>4.88</v>
      </c>
      <c r="BA49">
        <v>1</v>
      </c>
      <c r="BB49">
        <v>1</v>
      </c>
      <c r="BC49">
        <v>4.88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149</v>
      </c>
      <c r="BM49">
        <v>108001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95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0"/>
        <v>19598.080000000002</v>
      </c>
      <c r="CQ49">
        <f t="shared" si="31"/>
        <v>9799.0399999999991</v>
      </c>
      <c r="CR49">
        <f t="shared" si="32"/>
        <v>0</v>
      </c>
      <c r="CS49">
        <f t="shared" si="33"/>
        <v>0</v>
      </c>
      <c r="CT49">
        <f t="shared" si="34"/>
        <v>0</v>
      </c>
      <c r="CU49">
        <f t="shared" si="35"/>
        <v>0</v>
      </c>
      <c r="CV49">
        <f t="shared" si="36"/>
        <v>0</v>
      </c>
      <c r="CW49">
        <f t="shared" si="37"/>
        <v>0</v>
      </c>
      <c r="CX49">
        <f t="shared" si="38"/>
        <v>0</v>
      </c>
      <c r="CY49">
        <f t="shared" si="39"/>
        <v>0</v>
      </c>
      <c r="CZ49">
        <f t="shared" si="40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148</v>
      </c>
      <c r="DW49" t="s">
        <v>148</v>
      </c>
      <c r="DX49">
        <v>100</v>
      </c>
      <c r="EE49">
        <v>39174386</v>
      </c>
      <c r="EF49">
        <v>3</v>
      </c>
      <c r="EG49" t="s">
        <v>20</v>
      </c>
      <c r="EH49">
        <v>0</v>
      </c>
      <c r="EI49" t="s">
        <v>3</v>
      </c>
      <c r="EJ49">
        <v>2</v>
      </c>
      <c r="EK49">
        <v>108001</v>
      </c>
      <c r="EL49" t="s">
        <v>21</v>
      </c>
      <c r="EM49" t="s">
        <v>22</v>
      </c>
      <c r="EO49" t="s">
        <v>3</v>
      </c>
      <c r="EQ49">
        <v>0</v>
      </c>
      <c r="ER49">
        <v>2008</v>
      </c>
      <c r="ES49">
        <v>2008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1"/>
        <v>0</v>
      </c>
      <c r="FS49">
        <v>0</v>
      </c>
      <c r="FX49">
        <v>95</v>
      </c>
      <c r="FY49">
        <v>65</v>
      </c>
      <c r="GA49" t="s">
        <v>3</v>
      </c>
      <c r="GD49">
        <v>0</v>
      </c>
      <c r="GF49">
        <v>-2133774843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2"/>
        <v>0</v>
      </c>
      <c r="GM49">
        <f t="shared" si="43"/>
        <v>19598.080000000002</v>
      </c>
      <c r="GN49">
        <f t="shared" si="44"/>
        <v>0</v>
      </c>
      <c r="GO49">
        <f t="shared" si="45"/>
        <v>19598.080000000002</v>
      </c>
      <c r="GP49">
        <f t="shared" si="46"/>
        <v>0</v>
      </c>
      <c r="GR49">
        <v>0</v>
      </c>
      <c r="GS49">
        <v>3</v>
      </c>
      <c r="GT49">
        <v>0</v>
      </c>
      <c r="GU49" t="s">
        <v>3</v>
      </c>
      <c r="GV49">
        <f t="shared" si="47"/>
        <v>0</v>
      </c>
      <c r="GW49">
        <v>1</v>
      </c>
      <c r="GX49">
        <f t="shared" si="48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127</v>
      </c>
      <c r="E50" t="s">
        <v>150</v>
      </c>
      <c r="F50" t="s">
        <v>151</v>
      </c>
      <c r="G50" t="s">
        <v>671</v>
      </c>
      <c r="H50" t="s">
        <v>148</v>
      </c>
      <c r="I50">
        <f>I48*J50</f>
        <v>2</v>
      </c>
      <c r="J50">
        <v>50</v>
      </c>
      <c r="O50">
        <f t="shared" si="14"/>
        <v>6851.52</v>
      </c>
      <c r="P50">
        <f t="shared" si="15"/>
        <v>6851.52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39610380</v>
      </c>
      <c r="AB50">
        <f t="shared" si="25"/>
        <v>702</v>
      </c>
      <c r="AC50">
        <f t="shared" si="49"/>
        <v>702</v>
      </c>
      <c r="AD50">
        <f t="shared" si="50"/>
        <v>0</v>
      </c>
      <c r="AE50">
        <f t="shared" si="51"/>
        <v>0</v>
      </c>
      <c r="AF50">
        <f t="shared" si="52"/>
        <v>0</v>
      </c>
      <c r="AG50">
        <f t="shared" si="27"/>
        <v>0</v>
      </c>
      <c r="AH50">
        <f t="shared" si="53"/>
        <v>0</v>
      </c>
      <c r="AI50">
        <f t="shared" si="54"/>
        <v>0</v>
      </c>
      <c r="AJ50">
        <f t="shared" si="29"/>
        <v>0</v>
      </c>
      <c r="AK50">
        <v>702</v>
      </c>
      <c r="AL50">
        <v>702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65</v>
      </c>
      <c r="AV50">
        <v>1</v>
      </c>
      <c r="AW50">
        <v>1</v>
      </c>
      <c r="AZ50">
        <v>4.88</v>
      </c>
      <c r="BA50">
        <v>1</v>
      </c>
      <c r="BB50">
        <v>1</v>
      </c>
      <c r="BC50">
        <v>4.88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2</v>
      </c>
      <c r="BJ50" t="s">
        <v>153</v>
      </c>
      <c r="BM50">
        <v>108001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95</v>
      </c>
      <c r="CA50">
        <v>65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0"/>
        <v>6851.52</v>
      </c>
      <c r="CQ50">
        <f t="shared" si="31"/>
        <v>3425.7599999999998</v>
      </c>
      <c r="CR50">
        <f t="shared" si="32"/>
        <v>0</v>
      </c>
      <c r="CS50">
        <f t="shared" si="33"/>
        <v>0</v>
      </c>
      <c r="CT50">
        <f t="shared" si="34"/>
        <v>0</v>
      </c>
      <c r="CU50">
        <f t="shared" si="35"/>
        <v>0</v>
      </c>
      <c r="CV50">
        <f t="shared" si="36"/>
        <v>0</v>
      </c>
      <c r="CW50">
        <f t="shared" si="37"/>
        <v>0</v>
      </c>
      <c r="CX50">
        <f t="shared" si="38"/>
        <v>0</v>
      </c>
      <c r="CY50">
        <f t="shared" si="39"/>
        <v>0</v>
      </c>
      <c r="CZ50">
        <f t="shared" si="40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148</v>
      </c>
      <c r="DW50" t="s">
        <v>148</v>
      </c>
      <c r="DX50">
        <v>100</v>
      </c>
      <c r="EE50">
        <v>39174386</v>
      </c>
      <c r="EF50">
        <v>3</v>
      </c>
      <c r="EG50" t="s">
        <v>20</v>
      </c>
      <c r="EH50">
        <v>0</v>
      </c>
      <c r="EI50" t="s">
        <v>3</v>
      </c>
      <c r="EJ50">
        <v>2</v>
      </c>
      <c r="EK50">
        <v>108001</v>
      </c>
      <c r="EL50" t="s">
        <v>21</v>
      </c>
      <c r="EM50" t="s">
        <v>22</v>
      </c>
      <c r="EO50" t="s">
        <v>3</v>
      </c>
      <c r="EQ50">
        <v>0</v>
      </c>
      <c r="ER50">
        <v>702</v>
      </c>
      <c r="ES50">
        <v>702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1"/>
        <v>0</v>
      </c>
      <c r="FS50">
        <v>0</v>
      </c>
      <c r="FX50">
        <v>95</v>
      </c>
      <c r="FY50">
        <v>65</v>
      </c>
      <c r="GA50" t="s">
        <v>3</v>
      </c>
      <c r="GD50">
        <v>0</v>
      </c>
      <c r="GF50">
        <v>981126882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2"/>
        <v>0</v>
      </c>
      <c r="GM50">
        <f t="shared" si="43"/>
        <v>6851.52</v>
      </c>
      <c r="GN50">
        <f t="shared" si="44"/>
        <v>0</v>
      </c>
      <c r="GO50">
        <f t="shared" si="45"/>
        <v>6851.52</v>
      </c>
      <c r="GP50">
        <f t="shared" si="46"/>
        <v>0</v>
      </c>
      <c r="GR50">
        <v>0</v>
      </c>
      <c r="GS50">
        <v>3</v>
      </c>
      <c r="GT50">
        <v>0</v>
      </c>
      <c r="GU50" t="s">
        <v>3</v>
      </c>
      <c r="GV50">
        <f t="shared" si="47"/>
        <v>0</v>
      </c>
      <c r="GW50">
        <v>1</v>
      </c>
      <c r="GX50">
        <f t="shared" si="48"/>
        <v>0</v>
      </c>
      <c r="HA50">
        <v>0</v>
      </c>
      <c r="HB50">
        <v>0</v>
      </c>
      <c r="IK50">
        <v>0</v>
      </c>
    </row>
    <row r="51" spans="1:245" x14ac:dyDescent="0.2">
      <c r="A51">
        <v>17</v>
      </c>
      <c r="B51">
        <v>1</v>
      </c>
      <c r="C51">
        <f>ROW(SmtRes!A139)</f>
        <v>139</v>
      </c>
      <c r="D51">
        <f>ROW(EtalonRes!A128)</f>
        <v>128</v>
      </c>
      <c r="E51" t="s">
        <v>154</v>
      </c>
      <c r="F51" t="s">
        <v>155</v>
      </c>
      <c r="G51" t="s">
        <v>156</v>
      </c>
      <c r="H51" t="s">
        <v>79</v>
      </c>
      <c r="I51">
        <f>ROUND(4/100,9)</f>
        <v>0.04</v>
      </c>
      <c r="J51">
        <v>0</v>
      </c>
      <c r="O51">
        <f t="shared" si="14"/>
        <v>130.30000000000001</v>
      </c>
      <c r="P51">
        <f t="shared" si="15"/>
        <v>31.25</v>
      </c>
      <c r="Q51">
        <f t="shared" si="16"/>
        <v>2.08</v>
      </c>
      <c r="R51">
        <f t="shared" si="17"/>
        <v>0.28999999999999998</v>
      </c>
      <c r="S51">
        <f t="shared" si="18"/>
        <v>96.97</v>
      </c>
      <c r="T51">
        <f t="shared" si="19"/>
        <v>0</v>
      </c>
      <c r="U51">
        <f t="shared" si="20"/>
        <v>2.0032000000000001</v>
      </c>
      <c r="V51">
        <f t="shared" si="21"/>
        <v>4.7999999999999996E-3</v>
      </c>
      <c r="W51">
        <f t="shared" si="22"/>
        <v>0</v>
      </c>
      <c r="X51">
        <f t="shared" si="23"/>
        <v>92.4</v>
      </c>
      <c r="Y51">
        <f t="shared" si="24"/>
        <v>63.22</v>
      </c>
      <c r="AA51">
        <v>39610380</v>
      </c>
      <c r="AB51">
        <f t="shared" si="25"/>
        <v>667.52</v>
      </c>
      <c r="AC51">
        <f t="shared" si="49"/>
        <v>160.07</v>
      </c>
      <c r="AD51">
        <f t="shared" si="50"/>
        <v>10.66</v>
      </c>
      <c r="AE51">
        <f t="shared" si="51"/>
        <v>1.51</v>
      </c>
      <c r="AF51">
        <f t="shared" si="52"/>
        <v>496.79</v>
      </c>
      <c r="AG51">
        <f t="shared" si="27"/>
        <v>0</v>
      </c>
      <c r="AH51">
        <f t="shared" si="53"/>
        <v>50.08</v>
      </c>
      <c r="AI51">
        <f t="shared" si="54"/>
        <v>0.12</v>
      </c>
      <c r="AJ51">
        <f t="shared" si="29"/>
        <v>0</v>
      </c>
      <c r="AK51">
        <v>667.52</v>
      </c>
      <c r="AL51">
        <v>160.07</v>
      </c>
      <c r="AM51">
        <v>10.66</v>
      </c>
      <c r="AN51">
        <v>1.51</v>
      </c>
      <c r="AO51">
        <v>496.79</v>
      </c>
      <c r="AP51">
        <v>0</v>
      </c>
      <c r="AQ51">
        <v>50.08</v>
      </c>
      <c r="AR51">
        <v>0.12</v>
      </c>
      <c r="AS51">
        <v>0</v>
      </c>
      <c r="AT51">
        <v>95</v>
      </c>
      <c r="AU51">
        <v>65</v>
      </c>
      <c r="AV51">
        <v>1</v>
      </c>
      <c r="AW51">
        <v>1</v>
      </c>
      <c r="AZ51">
        <v>4.88</v>
      </c>
      <c r="BA51">
        <v>4.88</v>
      </c>
      <c r="BB51">
        <v>4.88</v>
      </c>
      <c r="BC51">
        <v>4.88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2</v>
      </c>
      <c r="BJ51" t="s">
        <v>157</v>
      </c>
      <c r="BM51">
        <v>108001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4.88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95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0"/>
        <v>130.30000000000001</v>
      </c>
      <c r="CQ51">
        <f t="shared" si="31"/>
        <v>781.14159999999993</v>
      </c>
      <c r="CR51">
        <f t="shared" si="32"/>
        <v>52.020800000000001</v>
      </c>
      <c r="CS51">
        <f t="shared" si="33"/>
        <v>7.3688000000000002</v>
      </c>
      <c r="CT51">
        <f t="shared" si="34"/>
        <v>2424.3352</v>
      </c>
      <c r="CU51">
        <f t="shared" si="35"/>
        <v>0</v>
      </c>
      <c r="CV51">
        <f t="shared" si="36"/>
        <v>50.08</v>
      </c>
      <c r="CW51">
        <f t="shared" si="37"/>
        <v>0.12</v>
      </c>
      <c r="CX51">
        <f t="shared" si="38"/>
        <v>0</v>
      </c>
      <c r="CY51">
        <f t="shared" si="39"/>
        <v>92.397000000000006</v>
      </c>
      <c r="CZ51">
        <f t="shared" si="40"/>
        <v>63.219000000000008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79</v>
      </c>
      <c r="DW51" t="s">
        <v>79</v>
      </c>
      <c r="DX51">
        <v>1</v>
      </c>
      <c r="EE51">
        <v>39174386</v>
      </c>
      <c r="EF51">
        <v>3</v>
      </c>
      <c r="EG51" t="s">
        <v>20</v>
      </c>
      <c r="EH51">
        <v>0</v>
      </c>
      <c r="EI51" t="s">
        <v>3</v>
      </c>
      <c r="EJ51">
        <v>2</v>
      </c>
      <c r="EK51">
        <v>108001</v>
      </c>
      <c r="EL51" t="s">
        <v>21</v>
      </c>
      <c r="EM51" t="s">
        <v>22</v>
      </c>
      <c r="EO51" t="s">
        <v>3</v>
      </c>
      <c r="EQ51">
        <v>0</v>
      </c>
      <c r="ER51">
        <v>667.52</v>
      </c>
      <c r="ES51">
        <v>160.07</v>
      </c>
      <c r="ET51">
        <v>10.66</v>
      </c>
      <c r="EU51">
        <v>1.51</v>
      </c>
      <c r="EV51">
        <v>496.79</v>
      </c>
      <c r="EW51">
        <v>50.08</v>
      </c>
      <c r="EX51">
        <v>0.12</v>
      </c>
      <c r="EY51">
        <v>0</v>
      </c>
      <c r="FQ51">
        <v>0</v>
      </c>
      <c r="FR51">
        <f t="shared" si="41"/>
        <v>0</v>
      </c>
      <c r="FS51">
        <v>0</v>
      </c>
      <c r="FX51">
        <v>95</v>
      </c>
      <c r="FY51">
        <v>65</v>
      </c>
      <c r="GA51" t="s">
        <v>3</v>
      </c>
      <c r="GD51">
        <v>0</v>
      </c>
      <c r="GF51">
        <v>-2135649456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2"/>
        <v>0</v>
      </c>
      <c r="GM51">
        <f t="shared" si="43"/>
        <v>285.92</v>
      </c>
      <c r="GN51">
        <f t="shared" si="44"/>
        <v>0</v>
      </c>
      <c r="GO51">
        <f t="shared" si="45"/>
        <v>285.92</v>
      </c>
      <c r="GP51">
        <f t="shared" si="46"/>
        <v>0</v>
      </c>
      <c r="GR51">
        <v>0</v>
      </c>
      <c r="GS51">
        <v>3</v>
      </c>
      <c r="GT51">
        <v>0</v>
      </c>
      <c r="GU51" t="s">
        <v>3</v>
      </c>
      <c r="GV51">
        <f t="shared" si="47"/>
        <v>0</v>
      </c>
      <c r="GW51">
        <v>1</v>
      </c>
      <c r="GX51">
        <f t="shared" si="48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136</v>
      </c>
      <c r="E52" t="s">
        <v>158</v>
      </c>
      <c r="F52" t="s">
        <v>159</v>
      </c>
      <c r="G52" t="s">
        <v>160</v>
      </c>
      <c r="H52" t="s">
        <v>86</v>
      </c>
      <c r="I52">
        <f>I51*J52</f>
        <v>4</v>
      </c>
      <c r="J52">
        <v>100</v>
      </c>
      <c r="O52">
        <f t="shared" si="14"/>
        <v>7831.03</v>
      </c>
      <c r="P52">
        <f t="shared" si="15"/>
        <v>7831.03</v>
      </c>
      <c r="Q52">
        <f t="shared" si="16"/>
        <v>0</v>
      </c>
      <c r="R52">
        <f t="shared" si="17"/>
        <v>0</v>
      </c>
      <c r="S52">
        <f t="shared" si="18"/>
        <v>0</v>
      </c>
      <c r="T52">
        <f t="shared" si="19"/>
        <v>0</v>
      </c>
      <c r="U52">
        <f t="shared" si="20"/>
        <v>0</v>
      </c>
      <c r="V52">
        <f t="shared" si="21"/>
        <v>0</v>
      </c>
      <c r="W52">
        <f t="shared" si="22"/>
        <v>0</v>
      </c>
      <c r="X52">
        <f t="shared" si="23"/>
        <v>0</v>
      </c>
      <c r="Y52">
        <f t="shared" si="24"/>
        <v>0</v>
      </c>
      <c r="AA52">
        <v>39610380</v>
      </c>
      <c r="AB52">
        <f t="shared" si="25"/>
        <v>401.18</v>
      </c>
      <c r="AC52">
        <f t="shared" si="49"/>
        <v>401.18</v>
      </c>
      <c r="AD52">
        <f t="shared" si="50"/>
        <v>0</v>
      </c>
      <c r="AE52">
        <f t="shared" si="51"/>
        <v>0</v>
      </c>
      <c r="AF52">
        <f t="shared" si="52"/>
        <v>0</v>
      </c>
      <c r="AG52">
        <f t="shared" si="27"/>
        <v>0</v>
      </c>
      <c r="AH52">
        <f t="shared" si="53"/>
        <v>0</v>
      </c>
      <c r="AI52">
        <f t="shared" si="54"/>
        <v>0</v>
      </c>
      <c r="AJ52">
        <f t="shared" si="29"/>
        <v>0</v>
      </c>
      <c r="AK52">
        <v>401.18</v>
      </c>
      <c r="AL52">
        <v>401.18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4.88</v>
      </c>
      <c r="BA52">
        <v>1</v>
      </c>
      <c r="BB52">
        <v>1</v>
      </c>
      <c r="BC52">
        <v>4.88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2</v>
      </c>
      <c r="BJ52" t="s">
        <v>161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0"/>
        <v>7831.03</v>
      </c>
      <c r="CQ52">
        <f t="shared" si="31"/>
        <v>1957.7583999999999</v>
      </c>
      <c r="CR52">
        <f t="shared" si="32"/>
        <v>0</v>
      </c>
      <c r="CS52">
        <f t="shared" si="33"/>
        <v>0</v>
      </c>
      <c r="CT52">
        <f t="shared" si="34"/>
        <v>0</v>
      </c>
      <c r="CU52">
        <f t="shared" si="35"/>
        <v>0</v>
      </c>
      <c r="CV52">
        <f t="shared" si="36"/>
        <v>0</v>
      </c>
      <c r="CW52">
        <f t="shared" si="37"/>
        <v>0</v>
      </c>
      <c r="CX52">
        <f t="shared" si="38"/>
        <v>0</v>
      </c>
      <c r="CY52">
        <f t="shared" si="39"/>
        <v>0</v>
      </c>
      <c r="CZ52">
        <f t="shared" si="40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1010</v>
      </c>
      <c r="DV52" t="s">
        <v>86</v>
      </c>
      <c r="DW52" t="s">
        <v>86</v>
      </c>
      <c r="DX52">
        <v>1</v>
      </c>
      <c r="EE52">
        <v>39174386</v>
      </c>
      <c r="EF52">
        <v>3</v>
      </c>
      <c r="EG52" t="s">
        <v>20</v>
      </c>
      <c r="EH52">
        <v>0</v>
      </c>
      <c r="EI52" t="s">
        <v>3</v>
      </c>
      <c r="EJ52">
        <v>2</v>
      </c>
      <c r="EK52">
        <v>108001</v>
      </c>
      <c r="EL52" t="s">
        <v>21</v>
      </c>
      <c r="EM52" t="s">
        <v>22</v>
      </c>
      <c r="EO52" t="s">
        <v>3</v>
      </c>
      <c r="EQ52">
        <v>0</v>
      </c>
      <c r="ER52">
        <v>401.18</v>
      </c>
      <c r="ES52">
        <v>401.18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1"/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-172998309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2"/>
        <v>0</v>
      </c>
      <c r="GM52">
        <f t="shared" si="43"/>
        <v>7831.03</v>
      </c>
      <c r="GN52">
        <f t="shared" si="44"/>
        <v>0</v>
      </c>
      <c r="GO52">
        <f t="shared" si="45"/>
        <v>7831.03</v>
      </c>
      <c r="GP52">
        <f t="shared" si="46"/>
        <v>0</v>
      </c>
      <c r="GR52">
        <v>0</v>
      </c>
      <c r="GS52">
        <v>3</v>
      </c>
      <c r="GT52">
        <v>0</v>
      </c>
      <c r="GU52" t="s">
        <v>3</v>
      </c>
      <c r="GV52">
        <f t="shared" si="47"/>
        <v>0</v>
      </c>
      <c r="GW52">
        <v>1</v>
      </c>
      <c r="GX52">
        <f t="shared" si="48"/>
        <v>0</v>
      </c>
      <c r="HA52">
        <v>0</v>
      </c>
      <c r="HB52">
        <v>0</v>
      </c>
      <c r="IK52">
        <v>0</v>
      </c>
    </row>
    <row r="53" spans="1:245" x14ac:dyDescent="0.2">
      <c r="A53">
        <v>17</v>
      </c>
      <c r="B53">
        <v>1</v>
      </c>
      <c r="C53">
        <f>ROW(SmtRes!A159)</f>
        <v>159</v>
      </c>
      <c r="D53">
        <f>ROW(EtalonRes!A147)</f>
        <v>147</v>
      </c>
      <c r="E53" t="s">
        <v>162</v>
      </c>
      <c r="F53" t="s">
        <v>30</v>
      </c>
      <c r="G53" t="s">
        <v>163</v>
      </c>
      <c r="H53" t="s">
        <v>27</v>
      </c>
      <c r="I53">
        <v>1</v>
      </c>
      <c r="J53">
        <v>0</v>
      </c>
      <c r="O53">
        <f t="shared" si="14"/>
        <v>510.01</v>
      </c>
      <c r="P53">
        <f t="shared" si="15"/>
        <v>320.13</v>
      </c>
      <c r="Q53">
        <f t="shared" si="16"/>
        <v>14.88</v>
      </c>
      <c r="R53">
        <f t="shared" si="17"/>
        <v>1.27</v>
      </c>
      <c r="S53">
        <f t="shared" si="18"/>
        <v>175</v>
      </c>
      <c r="T53">
        <f t="shared" si="19"/>
        <v>0</v>
      </c>
      <c r="U53">
        <f t="shared" si="20"/>
        <v>3.86</v>
      </c>
      <c r="V53">
        <f t="shared" si="21"/>
        <v>0.02</v>
      </c>
      <c r="W53">
        <f t="shared" si="22"/>
        <v>0</v>
      </c>
      <c r="X53">
        <f t="shared" si="23"/>
        <v>167.46</v>
      </c>
      <c r="Y53">
        <f t="shared" si="24"/>
        <v>114.58</v>
      </c>
      <c r="AA53">
        <v>39610380</v>
      </c>
      <c r="AB53">
        <f t="shared" si="25"/>
        <v>104.51</v>
      </c>
      <c r="AC53">
        <f t="shared" si="49"/>
        <v>65.599999999999994</v>
      </c>
      <c r="AD53">
        <f t="shared" si="50"/>
        <v>3.05</v>
      </c>
      <c r="AE53">
        <f t="shared" si="51"/>
        <v>0.26</v>
      </c>
      <c r="AF53">
        <f t="shared" si="52"/>
        <v>35.86</v>
      </c>
      <c r="AG53">
        <f t="shared" si="27"/>
        <v>0</v>
      </c>
      <c r="AH53">
        <f t="shared" si="53"/>
        <v>3.86</v>
      </c>
      <c r="AI53">
        <f t="shared" si="54"/>
        <v>0.02</v>
      </c>
      <c r="AJ53">
        <f t="shared" si="29"/>
        <v>0</v>
      </c>
      <c r="AK53">
        <v>104.51</v>
      </c>
      <c r="AL53">
        <v>65.599999999999994</v>
      </c>
      <c r="AM53">
        <v>3.05</v>
      </c>
      <c r="AN53">
        <v>0.26</v>
      </c>
      <c r="AO53">
        <v>35.86</v>
      </c>
      <c r="AP53">
        <v>0</v>
      </c>
      <c r="AQ53">
        <v>3.86</v>
      </c>
      <c r="AR53">
        <v>0.02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4.88</v>
      </c>
      <c r="BA53">
        <v>4.88</v>
      </c>
      <c r="BB53">
        <v>4.88</v>
      </c>
      <c r="BC53">
        <v>4.88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2</v>
      </c>
      <c r="BJ53" t="s">
        <v>32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4.88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0"/>
        <v>510.01</v>
      </c>
      <c r="CQ53">
        <f t="shared" si="31"/>
        <v>320.12799999999999</v>
      </c>
      <c r="CR53">
        <f t="shared" si="32"/>
        <v>14.883999999999999</v>
      </c>
      <c r="CS53">
        <f t="shared" si="33"/>
        <v>1.2687999999999999</v>
      </c>
      <c r="CT53">
        <f t="shared" si="34"/>
        <v>174.99680000000001</v>
      </c>
      <c r="CU53">
        <f t="shared" si="35"/>
        <v>0</v>
      </c>
      <c r="CV53">
        <f t="shared" si="36"/>
        <v>3.86</v>
      </c>
      <c r="CW53">
        <f t="shared" si="37"/>
        <v>0.02</v>
      </c>
      <c r="CX53">
        <f t="shared" si="38"/>
        <v>0</v>
      </c>
      <c r="CY53">
        <f t="shared" si="39"/>
        <v>167.45650000000001</v>
      </c>
      <c r="CZ53">
        <f t="shared" si="40"/>
        <v>114.57550000000001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27</v>
      </c>
      <c r="DW53" t="s">
        <v>27</v>
      </c>
      <c r="DX53">
        <v>1</v>
      </c>
      <c r="EE53">
        <v>39174386</v>
      </c>
      <c r="EF53">
        <v>3</v>
      </c>
      <c r="EG53" t="s">
        <v>20</v>
      </c>
      <c r="EH53">
        <v>0</v>
      </c>
      <c r="EI53" t="s">
        <v>3</v>
      </c>
      <c r="EJ53">
        <v>2</v>
      </c>
      <c r="EK53">
        <v>108001</v>
      </c>
      <c r="EL53" t="s">
        <v>21</v>
      </c>
      <c r="EM53" t="s">
        <v>22</v>
      </c>
      <c r="EO53" t="s">
        <v>3</v>
      </c>
      <c r="EQ53">
        <v>0</v>
      </c>
      <c r="ER53">
        <v>104.51</v>
      </c>
      <c r="ES53">
        <v>65.599999999999994</v>
      </c>
      <c r="ET53">
        <v>3.05</v>
      </c>
      <c r="EU53">
        <v>0.26</v>
      </c>
      <c r="EV53">
        <v>35.86</v>
      </c>
      <c r="EW53">
        <v>3.86</v>
      </c>
      <c r="EX53">
        <v>0.02</v>
      </c>
      <c r="EY53">
        <v>0</v>
      </c>
      <c r="FQ53">
        <v>0</v>
      </c>
      <c r="FR53">
        <f t="shared" si="41"/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2049546426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2"/>
        <v>0</v>
      </c>
      <c r="GM53">
        <f t="shared" si="43"/>
        <v>792.05</v>
      </c>
      <c r="GN53">
        <f t="shared" si="44"/>
        <v>0</v>
      </c>
      <c r="GO53">
        <f t="shared" si="45"/>
        <v>792.05</v>
      </c>
      <c r="GP53">
        <f t="shared" si="46"/>
        <v>0</v>
      </c>
      <c r="GR53">
        <v>0</v>
      </c>
      <c r="GS53">
        <v>3</v>
      </c>
      <c r="GT53">
        <v>0</v>
      </c>
      <c r="GU53" t="s">
        <v>3</v>
      </c>
      <c r="GV53">
        <f t="shared" si="47"/>
        <v>0</v>
      </c>
      <c r="GW53">
        <v>1</v>
      </c>
      <c r="GX53">
        <f t="shared" si="48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158</v>
      </c>
      <c r="E54" t="s">
        <v>164</v>
      </c>
      <c r="F54" t="s">
        <v>165</v>
      </c>
      <c r="G54" t="s">
        <v>166</v>
      </c>
      <c r="H54" t="s">
        <v>86</v>
      </c>
      <c r="I54">
        <f>I53*J54</f>
        <v>1</v>
      </c>
      <c r="J54">
        <v>1</v>
      </c>
      <c r="O54">
        <f t="shared" si="14"/>
        <v>6493.33</v>
      </c>
      <c r="P54">
        <f t="shared" si="15"/>
        <v>6493.33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39610380</v>
      </c>
      <c r="AB54">
        <f t="shared" si="25"/>
        <v>1330.6</v>
      </c>
      <c r="AC54">
        <f t="shared" si="49"/>
        <v>1330.6</v>
      </c>
      <c r="AD54">
        <f t="shared" si="50"/>
        <v>0</v>
      </c>
      <c r="AE54">
        <f t="shared" si="51"/>
        <v>0</v>
      </c>
      <c r="AF54">
        <f t="shared" si="52"/>
        <v>0</v>
      </c>
      <c r="AG54">
        <f t="shared" si="27"/>
        <v>0</v>
      </c>
      <c r="AH54">
        <f t="shared" si="53"/>
        <v>0</v>
      </c>
      <c r="AI54">
        <f t="shared" si="54"/>
        <v>0</v>
      </c>
      <c r="AJ54">
        <f t="shared" si="29"/>
        <v>0</v>
      </c>
      <c r="AK54">
        <v>1330.6</v>
      </c>
      <c r="AL54">
        <v>1330.6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4.88</v>
      </c>
      <c r="BA54">
        <v>1</v>
      </c>
      <c r="BB54">
        <v>1</v>
      </c>
      <c r="BC54">
        <v>4.88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2</v>
      </c>
      <c r="BJ54" t="s">
        <v>167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0"/>
        <v>6493.33</v>
      </c>
      <c r="CQ54">
        <f t="shared" si="31"/>
        <v>6493.3279999999995</v>
      </c>
      <c r="CR54">
        <f t="shared" si="32"/>
        <v>0</v>
      </c>
      <c r="CS54">
        <f t="shared" si="33"/>
        <v>0</v>
      </c>
      <c r="CT54">
        <f t="shared" si="34"/>
        <v>0</v>
      </c>
      <c r="CU54">
        <f t="shared" si="35"/>
        <v>0</v>
      </c>
      <c r="CV54">
        <f t="shared" si="36"/>
        <v>0</v>
      </c>
      <c r="CW54">
        <f t="shared" si="37"/>
        <v>0</v>
      </c>
      <c r="CX54">
        <f t="shared" si="38"/>
        <v>0</v>
      </c>
      <c r="CY54">
        <f t="shared" si="39"/>
        <v>0</v>
      </c>
      <c r="CZ54">
        <f t="shared" si="40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1010</v>
      </c>
      <c r="DV54" t="s">
        <v>86</v>
      </c>
      <c r="DW54" t="s">
        <v>86</v>
      </c>
      <c r="DX54">
        <v>1</v>
      </c>
      <c r="EE54">
        <v>39174386</v>
      </c>
      <c r="EF54">
        <v>3</v>
      </c>
      <c r="EG54" t="s">
        <v>20</v>
      </c>
      <c r="EH54">
        <v>0</v>
      </c>
      <c r="EI54" t="s">
        <v>3</v>
      </c>
      <c r="EJ54">
        <v>2</v>
      </c>
      <c r="EK54">
        <v>108001</v>
      </c>
      <c r="EL54" t="s">
        <v>21</v>
      </c>
      <c r="EM54" t="s">
        <v>22</v>
      </c>
      <c r="EO54" t="s">
        <v>3</v>
      </c>
      <c r="EQ54">
        <v>0</v>
      </c>
      <c r="ER54">
        <v>1330.6</v>
      </c>
      <c r="ES54">
        <v>1330.6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1"/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158906669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2"/>
        <v>0</v>
      </c>
      <c r="GM54">
        <f t="shared" si="43"/>
        <v>6493.33</v>
      </c>
      <c r="GN54">
        <f t="shared" si="44"/>
        <v>0</v>
      </c>
      <c r="GO54">
        <f t="shared" si="45"/>
        <v>6493.33</v>
      </c>
      <c r="GP54">
        <f t="shared" si="46"/>
        <v>0</v>
      </c>
      <c r="GR54">
        <v>0</v>
      </c>
      <c r="GS54">
        <v>3</v>
      </c>
      <c r="GT54">
        <v>0</v>
      </c>
      <c r="GU54" t="s">
        <v>3</v>
      </c>
      <c r="GV54">
        <f t="shared" si="47"/>
        <v>0</v>
      </c>
      <c r="GW54">
        <v>1</v>
      </c>
      <c r="GX54">
        <f t="shared" si="48"/>
        <v>0</v>
      </c>
      <c r="HA54">
        <v>0</v>
      </c>
      <c r="HB54">
        <v>0</v>
      </c>
      <c r="IK54">
        <v>0</v>
      </c>
    </row>
    <row r="55" spans="1:245" x14ac:dyDescent="0.2">
      <c r="A55">
        <v>17</v>
      </c>
      <c r="B55">
        <v>1</v>
      </c>
      <c r="C55">
        <f>ROW(SmtRes!A169)</f>
        <v>169</v>
      </c>
      <c r="D55">
        <f>ROW(EtalonRes!A157)</f>
        <v>157</v>
      </c>
      <c r="E55" t="s">
        <v>168</v>
      </c>
      <c r="F55" t="s">
        <v>169</v>
      </c>
      <c r="G55" t="s">
        <v>170</v>
      </c>
      <c r="H55" t="s">
        <v>27</v>
      </c>
      <c r="I55">
        <v>40</v>
      </c>
      <c r="J55">
        <v>0</v>
      </c>
      <c r="O55">
        <f t="shared" si="14"/>
        <v>2945.57</v>
      </c>
      <c r="P55">
        <f t="shared" si="15"/>
        <v>0</v>
      </c>
      <c r="Q55">
        <f t="shared" si="16"/>
        <v>2379.4899999999998</v>
      </c>
      <c r="R55">
        <f t="shared" si="17"/>
        <v>234.24</v>
      </c>
      <c r="S55">
        <f t="shared" si="18"/>
        <v>566.08000000000004</v>
      </c>
      <c r="T55">
        <f t="shared" si="19"/>
        <v>0</v>
      </c>
      <c r="U55">
        <f t="shared" si="20"/>
        <v>11.040000000000001</v>
      </c>
      <c r="V55">
        <f t="shared" si="21"/>
        <v>3.5999999999999996</v>
      </c>
      <c r="W55">
        <f t="shared" si="22"/>
        <v>0</v>
      </c>
      <c r="X55">
        <f t="shared" si="23"/>
        <v>760.3</v>
      </c>
      <c r="Y55">
        <f t="shared" si="24"/>
        <v>520.21</v>
      </c>
      <c r="AA55">
        <v>39610380</v>
      </c>
      <c r="AB55">
        <f t="shared" si="25"/>
        <v>15.09</v>
      </c>
      <c r="AC55">
        <f>ROUND(((ES55*0)),2)</f>
        <v>0</v>
      </c>
      <c r="AD55">
        <f>ROUND(((((ET55*0.3))-((EU55*0.3)))+AE55),2)</f>
        <v>12.19</v>
      </c>
      <c r="AE55">
        <f>ROUND(((EU55*0.3)),2)</f>
        <v>1.2</v>
      </c>
      <c r="AF55">
        <f>ROUND(((EV55*0.3)),2)</f>
        <v>2.9</v>
      </c>
      <c r="AG55">
        <f t="shared" si="27"/>
        <v>0</v>
      </c>
      <c r="AH55">
        <f>((EW55*0.3))</f>
        <v>0.27600000000000002</v>
      </c>
      <c r="AI55">
        <f>((EX55*0.3))</f>
        <v>0.09</v>
      </c>
      <c r="AJ55">
        <f t="shared" si="29"/>
        <v>0</v>
      </c>
      <c r="AK55">
        <v>99.67</v>
      </c>
      <c r="AL55">
        <v>49.36</v>
      </c>
      <c r="AM55">
        <v>40.65</v>
      </c>
      <c r="AN55">
        <v>4.01</v>
      </c>
      <c r="AO55">
        <v>9.66</v>
      </c>
      <c r="AP55">
        <v>0</v>
      </c>
      <c r="AQ55">
        <v>0.92</v>
      </c>
      <c r="AR55">
        <v>0.3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4.88</v>
      </c>
      <c r="BA55">
        <v>4.88</v>
      </c>
      <c r="BB55">
        <v>4.88</v>
      </c>
      <c r="BC55">
        <v>4.88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2</v>
      </c>
      <c r="BJ55" t="s">
        <v>171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4.88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17</v>
      </c>
      <c r="CO55">
        <v>0</v>
      </c>
      <c r="CP55">
        <f t="shared" si="30"/>
        <v>2945.5699999999997</v>
      </c>
      <c r="CQ55">
        <f t="shared" si="31"/>
        <v>0</v>
      </c>
      <c r="CR55">
        <f t="shared" si="32"/>
        <v>59.487199999999994</v>
      </c>
      <c r="CS55">
        <f t="shared" si="33"/>
        <v>5.8559999999999999</v>
      </c>
      <c r="CT55">
        <f t="shared" si="34"/>
        <v>14.151999999999999</v>
      </c>
      <c r="CU55">
        <f t="shared" si="35"/>
        <v>0</v>
      </c>
      <c r="CV55">
        <f t="shared" si="36"/>
        <v>0.27600000000000002</v>
      </c>
      <c r="CW55">
        <f t="shared" si="37"/>
        <v>0.09</v>
      </c>
      <c r="CX55">
        <f t="shared" si="38"/>
        <v>0</v>
      </c>
      <c r="CY55">
        <f t="shared" si="39"/>
        <v>760.30400000000009</v>
      </c>
      <c r="CZ55">
        <f t="shared" si="40"/>
        <v>520.20800000000008</v>
      </c>
      <c r="DC55" t="s">
        <v>3</v>
      </c>
      <c r="DD55" t="s">
        <v>18</v>
      </c>
      <c r="DE55" t="s">
        <v>19</v>
      </c>
      <c r="DF55" t="s">
        <v>19</v>
      </c>
      <c r="DG55" t="s">
        <v>19</v>
      </c>
      <c r="DH55" t="s">
        <v>3</v>
      </c>
      <c r="DI55" t="s">
        <v>19</v>
      </c>
      <c r="DJ55" t="s">
        <v>19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27</v>
      </c>
      <c r="DW55" t="s">
        <v>27</v>
      </c>
      <c r="DX55">
        <v>1</v>
      </c>
      <c r="EE55">
        <v>39174386</v>
      </c>
      <c r="EF55">
        <v>3</v>
      </c>
      <c r="EG55" t="s">
        <v>20</v>
      </c>
      <c r="EH55">
        <v>0</v>
      </c>
      <c r="EI55" t="s">
        <v>3</v>
      </c>
      <c r="EJ55">
        <v>2</v>
      </c>
      <c r="EK55">
        <v>108001</v>
      </c>
      <c r="EL55" t="s">
        <v>21</v>
      </c>
      <c r="EM55" t="s">
        <v>22</v>
      </c>
      <c r="EO55" t="s">
        <v>23</v>
      </c>
      <c r="EQ55">
        <v>0</v>
      </c>
      <c r="ER55">
        <v>99.67</v>
      </c>
      <c r="ES55">
        <v>49.36</v>
      </c>
      <c r="ET55">
        <v>40.65</v>
      </c>
      <c r="EU55">
        <v>4.01</v>
      </c>
      <c r="EV55">
        <v>9.66</v>
      </c>
      <c r="EW55">
        <v>0.92</v>
      </c>
      <c r="EX55">
        <v>0.3</v>
      </c>
      <c r="EY55">
        <v>0</v>
      </c>
      <c r="FQ55">
        <v>0</v>
      </c>
      <c r="FR55">
        <f t="shared" si="41"/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-1830280419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2"/>
        <v>0</v>
      </c>
      <c r="GM55">
        <f t="shared" si="43"/>
        <v>4226.08</v>
      </c>
      <c r="GN55">
        <f t="shared" si="44"/>
        <v>0</v>
      </c>
      <c r="GO55">
        <f t="shared" si="45"/>
        <v>4226.08</v>
      </c>
      <c r="GP55">
        <f t="shared" si="46"/>
        <v>0</v>
      </c>
      <c r="GR55">
        <v>0</v>
      </c>
      <c r="GS55">
        <v>3</v>
      </c>
      <c r="GT55">
        <v>0</v>
      </c>
      <c r="GU55" t="s">
        <v>3</v>
      </c>
      <c r="GV55">
        <f t="shared" si="47"/>
        <v>0</v>
      </c>
      <c r="GW55">
        <v>1</v>
      </c>
      <c r="GX55">
        <f t="shared" si="48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ROW(SmtRes!A182)</f>
        <v>182</v>
      </c>
      <c r="D56">
        <f>ROW(EtalonRes!A169)</f>
        <v>169</v>
      </c>
      <c r="E56" t="s">
        <v>172</v>
      </c>
      <c r="F56" t="s">
        <v>173</v>
      </c>
      <c r="G56" t="s">
        <v>174</v>
      </c>
      <c r="H56" t="s">
        <v>79</v>
      </c>
      <c r="I56">
        <f>ROUND(40/100,9)</f>
        <v>0.4</v>
      </c>
      <c r="J56">
        <v>0</v>
      </c>
      <c r="O56">
        <f t="shared" ref="O56:O79" si="55">ROUND(CP56,2)</f>
        <v>39549.97</v>
      </c>
      <c r="P56">
        <f t="shared" ref="P56:P79" si="56">ROUND(CQ56*I56,2)</f>
        <v>2532.9899999999998</v>
      </c>
      <c r="Q56">
        <f t="shared" ref="Q56:Q79" si="57">ROUND(CR56*I56,2)</f>
        <v>30712.12</v>
      </c>
      <c r="R56">
        <f t="shared" ref="R56:R79" si="58">ROUND(CS56*I56,2)</f>
        <v>2922.07</v>
      </c>
      <c r="S56">
        <f t="shared" ref="S56:S79" si="59">ROUND(CT56*I56,2)</f>
        <v>6304.86</v>
      </c>
      <c r="T56">
        <f t="shared" ref="T56:T79" si="60">ROUND(CU56*I56,2)</f>
        <v>0</v>
      </c>
      <c r="U56">
        <f t="shared" ref="U56:U79" si="61">CV56*I56</f>
        <v>130.24</v>
      </c>
      <c r="V56">
        <f t="shared" ref="V56:V79" si="62">CW56*I56</f>
        <v>44.456000000000003</v>
      </c>
      <c r="W56">
        <f t="shared" ref="W56:W79" si="63">ROUND(CX56*I56,2)</f>
        <v>0</v>
      </c>
      <c r="X56">
        <f t="shared" ref="X56:X79" si="64">ROUND(CY56,2)</f>
        <v>8765.58</v>
      </c>
      <c r="Y56">
        <f t="shared" ref="Y56:Y79" si="65">ROUND(CZ56,2)</f>
        <v>5997.5</v>
      </c>
      <c r="AA56">
        <v>39610380</v>
      </c>
      <c r="AB56">
        <f t="shared" ref="AB56:AB79" si="66">ROUND((AC56+AD56+AF56),2)</f>
        <v>20261.259999999998</v>
      </c>
      <c r="AC56">
        <f t="shared" ref="AC56:AC79" si="67">ROUND((ES56),2)</f>
        <v>1297.6400000000001</v>
      </c>
      <c r="AD56">
        <f t="shared" ref="AD56:AD79" si="68">ROUND((((ET56)-(EU56))+AE56),2)</f>
        <v>15733.67</v>
      </c>
      <c r="AE56">
        <f t="shared" ref="AE56:AE76" si="69">ROUND((EU56),2)</f>
        <v>1496.96</v>
      </c>
      <c r="AF56">
        <f t="shared" ref="AF56:AF76" si="70">ROUND((EV56),2)</f>
        <v>3229.95</v>
      </c>
      <c r="AG56">
        <f t="shared" ref="AG56:AG79" si="71">ROUND((AP56),2)</f>
        <v>0</v>
      </c>
      <c r="AH56">
        <f t="shared" ref="AH56:AH76" si="72">(EW56)</f>
        <v>325.60000000000002</v>
      </c>
      <c r="AI56">
        <f t="shared" ref="AI56:AI76" si="73">(EX56)</f>
        <v>111.14</v>
      </c>
      <c r="AJ56">
        <f t="shared" ref="AJ56:AJ79" si="74">ROUND((AS56),2)</f>
        <v>0</v>
      </c>
      <c r="AK56">
        <v>20261.259999999998</v>
      </c>
      <c r="AL56">
        <v>1297.6400000000001</v>
      </c>
      <c r="AM56">
        <v>15733.67</v>
      </c>
      <c r="AN56">
        <v>1496.96</v>
      </c>
      <c r="AO56">
        <v>3229.95</v>
      </c>
      <c r="AP56">
        <v>0</v>
      </c>
      <c r="AQ56">
        <v>325.60000000000002</v>
      </c>
      <c r="AR56">
        <v>111.14</v>
      </c>
      <c r="AS56">
        <v>0</v>
      </c>
      <c r="AT56">
        <v>95</v>
      </c>
      <c r="AU56">
        <v>65</v>
      </c>
      <c r="AV56">
        <v>1</v>
      </c>
      <c r="AW56">
        <v>1</v>
      </c>
      <c r="AZ56">
        <v>4.88</v>
      </c>
      <c r="BA56">
        <v>4.88</v>
      </c>
      <c r="BB56">
        <v>4.88</v>
      </c>
      <c r="BC56">
        <v>4.88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2</v>
      </c>
      <c r="BJ56" t="s">
        <v>175</v>
      </c>
      <c r="BM56">
        <v>108001</v>
      </c>
      <c r="BN56">
        <v>0</v>
      </c>
      <c r="BO56" t="s">
        <v>3</v>
      </c>
      <c r="BP56">
        <v>0</v>
      </c>
      <c r="BQ56">
        <v>3</v>
      </c>
      <c r="BR56">
        <v>0</v>
      </c>
      <c r="BS56">
        <v>4.88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95</v>
      </c>
      <c r="CA56">
        <v>65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ref="CP56:CP79" si="75">(P56+Q56+S56)</f>
        <v>39549.97</v>
      </c>
      <c r="CQ56">
        <f t="shared" ref="CQ56:CQ79" si="76">AC56*BC56</f>
        <v>6332.4832000000006</v>
      </c>
      <c r="CR56">
        <f t="shared" ref="CR56:CR79" si="77">AD56*BB56</f>
        <v>76780.309599999993</v>
      </c>
      <c r="CS56">
        <f t="shared" ref="CS56:CS79" si="78">AE56*BS56</f>
        <v>7305.1648000000005</v>
      </c>
      <c r="CT56">
        <f t="shared" ref="CT56:CT79" si="79">AF56*BA56</f>
        <v>15762.155999999999</v>
      </c>
      <c r="CU56">
        <f t="shared" ref="CU56:CU79" si="80">AG56</f>
        <v>0</v>
      </c>
      <c r="CV56">
        <f t="shared" ref="CV56:CV79" si="81">AH56</f>
        <v>325.60000000000002</v>
      </c>
      <c r="CW56">
        <f t="shared" ref="CW56:CW79" si="82">AI56</f>
        <v>111.14</v>
      </c>
      <c r="CX56">
        <f t="shared" ref="CX56:CX79" si="83">AJ56</f>
        <v>0</v>
      </c>
      <c r="CY56">
        <f t="shared" ref="CY56:CY79" si="84">(((S56+R56)*AT56)/100)</f>
        <v>8765.5835000000006</v>
      </c>
      <c r="CZ56">
        <f t="shared" ref="CZ56:CZ79" si="85">(((S56+R56)*AU56)/100)</f>
        <v>5997.5045000000009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1013</v>
      </c>
      <c r="DV56" t="s">
        <v>79</v>
      </c>
      <c r="DW56" t="s">
        <v>79</v>
      </c>
      <c r="DX56">
        <v>1</v>
      </c>
      <c r="EE56">
        <v>39174386</v>
      </c>
      <c r="EF56">
        <v>3</v>
      </c>
      <c r="EG56" t="s">
        <v>20</v>
      </c>
      <c r="EH56">
        <v>0</v>
      </c>
      <c r="EI56" t="s">
        <v>3</v>
      </c>
      <c r="EJ56">
        <v>2</v>
      </c>
      <c r="EK56">
        <v>108001</v>
      </c>
      <c r="EL56" t="s">
        <v>21</v>
      </c>
      <c r="EM56" t="s">
        <v>22</v>
      </c>
      <c r="EO56" t="s">
        <v>3</v>
      </c>
      <c r="EQ56">
        <v>0</v>
      </c>
      <c r="ER56">
        <v>20261.259999999998</v>
      </c>
      <c r="ES56">
        <v>1297.6400000000001</v>
      </c>
      <c r="ET56">
        <v>15733.67</v>
      </c>
      <c r="EU56">
        <v>1496.96</v>
      </c>
      <c r="EV56">
        <v>3229.95</v>
      </c>
      <c r="EW56">
        <v>325.60000000000002</v>
      </c>
      <c r="EX56">
        <v>111.14</v>
      </c>
      <c r="EY56">
        <v>0</v>
      </c>
      <c r="FQ56">
        <v>0</v>
      </c>
      <c r="FR56">
        <f t="shared" ref="FR56:FR79" si="86">ROUND(IF(AND(BH56=3,BI56=3),P56,0),2)</f>
        <v>0</v>
      </c>
      <c r="FS56">
        <v>0</v>
      </c>
      <c r="FX56">
        <v>95</v>
      </c>
      <c r="FY56">
        <v>65</v>
      </c>
      <c r="GA56" t="s">
        <v>3</v>
      </c>
      <c r="GD56">
        <v>0</v>
      </c>
      <c r="GF56">
        <v>-220883286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ref="GL56:GL79" si="87">ROUND(IF(AND(BH56=3,BI56=3,FS56&lt;&gt;0),P56,0),2)</f>
        <v>0</v>
      </c>
      <c r="GM56">
        <f t="shared" ref="GM56:GM79" si="88">ROUND(O56+X56+Y56+GK56,2)+GX56</f>
        <v>54313.05</v>
      </c>
      <c r="GN56">
        <f t="shared" ref="GN56:GN79" si="89">IF(OR(BI56=0,BI56=1),ROUND(O56+X56+Y56+GK56,2),0)</f>
        <v>0</v>
      </c>
      <c r="GO56">
        <f t="shared" ref="GO56:GO79" si="90">IF(BI56=2,ROUND(O56+X56+Y56+GK56,2),0)</f>
        <v>54313.05</v>
      </c>
      <c r="GP56">
        <f t="shared" ref="GP56:GP79" si="91"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79" si="92">ROUND(GT56,2)</f>
        <v>0</v>
      </c>
      <c r="GW56">
        <v>1</v>
      </c>
      <c r="GX56">
        <f t="shared" ref="GX56:GX79" si="93"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180</v>
      </c>
      <c r="E57" t="s">
        <v>176</v>
      </c>
      <c r="F57" t="s">
        <v>177</v>
      </c>
      <c r="G57" t="s">
        <v>178</v>
      </c>
      <c r="H57" t="s">
        <v>86</v>
      </c>
      <c r="I57">
        <f>I56*J57</f>
        <v>40</v>
      </c>
      <c r="J57">
        <v>100</v>
      </c>
      <c r="O57">
        <f t="shared" si="55"/>
        <v>298558.40000000002</v>
      </c>
      <c r="P57">
        <f t="shared" si="56"/>
        <v>298558.40000000002</v>
      </c>
      <c r="Q57">
        <f t="shared" si="57"/>
        <v>0</v>
      </c>
      <c r="R57">
        <f t="shared" si="58"/>
        <v>0</v>
      </c>
      <c r="S57">
        <f t="shared" si="59"/>
        <v>0</v>
      </c>
      <c r="T57">
        <f t="shared" si="60"/>
        <v>0</v>
      </c>
      <c r="U57">
        <f t="shared" si="61"/>
        <v>0</v>
      </c>
      <c r="V57">
        <f t="shared" si="62"/>
        <v>0</v>
      </c>
      <c r="W57">
        <f t="shared" si="63"/>
        <v>0</v>
      </c>
      <c r="X57">
        <f t="shared" si="64"/>
        <v>0</v>
      </c>
      <c r="Y57">
        <f t="shared" si="65"/>
        <v>0</v>
      </c>
      <c r="AA57">
        <v>39610380</v>
      </c>
      <c r="AB57">
        <f t="shared" si="66"/>
        <v>1529.5</v>
      </c>
      <c r="AC57">
        <f t="shared" si="67"/>
        <v>1529.5</v>
      </c>
      <c r="AD57">
        <f t="shared" si="68"/>
        <v>0</v>
      </c>
      <c r="AE57">
        <f t="shared" si="69"/>
        <v>0</v>
      </c>
      <c r="AF57">
        <f t="shared" si="70"/>
        <v>0</v>
      </c>
      <c r="AG57">
        <f t="shared" si="71"/>
        <v>0</v>
      </c>
      <c r="AH57">
        <f t="shared" si="72"/>
        <v>0</v>
      </c>
      <c r="AI57">
        <f t="shared" si="73"/>
        <v>0</v>
      </c>
      <c r="AJ57">
        <f t="shared" si="74"/>
        <v>0</v>
      </c>
      <c r="AK57">
        <v>1529.5</v>
      </c>
      <c r="AL57">
        <v>1529.5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4.88</v>
      </c>
      <c r="BA57">
        <v>1</v>
      </c>
      <c r="BB57">
        <v>1</v>
      </c>
      <c r="BC57">
        <v>4.88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179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5"/>
        <v>298558.40000000002</v>
      </c>
      <c r="CQ57">
        <f t="shared" si="76"/>
        <v>7463.96</v>
      </c>
      <c r="CR57">
        <f t="shared" si="77"/>
        <v>0</v>
      </c>
      <c r="CS57">
        <f t="shared" si="78"/>
        <v>0</v>
      </c>
      <c r="CT57">
        <f t="shared" si="79"/>
        <v>0</v>
      </c>
      <c r="CU57">
        <f t="shared" si="80"/>
        <v>0</v>
      </c>
      <c r="CV57">
        <f t="shared" si="81"/>
        <v>0</v>
      </c>
      <c r="CW57">
        <f t="shared" si="82"/>
        <v>0</v>
      </c>
      <c r="CX57">
        <f t="shared" si="83"/>
        <v>0</v>
      </c>
      <c r="CY57">
        <f t="shared" si="84"/>
        <v>0</v>
      </c>
      <c r="CZ57">
        <f t="shared" si="85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1010</v>
      </c>
      <c r="DV57" t="s">
        <v>86</v>
      </c>
      <c r="DW57" t="s">
        <v>86</v>
      </c>
      <c r="DX57">
        <v>1</v>
      </c>
      <c r="EE57">
        <v>39174386</v>
      </c>
      <c r="EF57">
        <v>3</v>
      </c>
      <c r="EG57" t="s">
        <v>20</v>
      </c>
      <c r="EH57">
        <v>0</v>
      </c>
      <c r="EI57" t="s">
        <v>3</v>
      </c>
      <c r="EJ57">
        <v>2</v>
      </c>
      <c r="EK57">
        <v>108001</v>
      </c>
      <c r="EL57" t="s">
        <v>21</v>
      </c>
      <c r="EM57" t="s">
        <v>22</v>
      </c>
      <c r="EO57" t="s">
        <v>3</v>
      </c>
      <c r="EQ57">
        <v>0</v>
      </c>
      <c r="ER57">
        <v>1529.5</v>
      </c>
      <c r="ES57">
        <v>1529.5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6"/>
        <v>0</v>
      </c>
      <c r="FS57">
        <v>0</v>
      </c>
      <c r="FX57">
        <v>95</v>
      </c>
      <c r="FY57">
        <v>65</v>
      </c>
      <c r="GA57" t="s">
        <v>3</v>
      </c>
      <c r="GD57">
        <v>0</v>
      </c>
      <c r="GF57">
        <v>-420212918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87"/>
        <v>0</v>
      </c>
      <c r="GM57">
        <f t="shared" si="88"/>
        <v>298558.40000000002</v>
      </c>
      <c r="GN57">
        <f t="shared" si="89"/>
        <v>0</v>
      </c>
      <c r="GO57">
        <f t="shared" si="90"/>
        <v>298558.40000000002</v>
      </c>
      <c r="GP57">
        <f t="shared" si="91"/>
        <v>0</v>
      </c>
      <c r="GR57">
        <v>0</v>
      </c>
      <c r="GS57">
        <v>3</v>
      </c>
      <c r="GT57">
        <v>0</v>
      </c>
      <c r="GU57" t="s">
        <v>3</v>
      </c>
      <c r="GV57">
        <f t="shared" si="92"/>
        <v>0</v>
      </c>
      <c r="GW57">
        <v>1</v>
      </c>
      <c r="GX57">
        <f t="shared" si="93"/>
        <v>0</v>
      </c>
      <c r="HA57">
        <v>0</v>
      </c>
      <c r="HB57">
        <v>0</v>
      </c>
      <c r="IK57">
        <v>0</v>
      </c>
    </row>
    <row r="58" spans="1:245" x14ac:dyDescent="0.2">
      <c r="A58">
        <v>17</v>
      </c>
      <c r="B58">
        <v>1</v>
      </c>
      <c r="C58">
        <f>ROW(SmtRes!A191)</f>
        <v>191</v>
      </c>
      <c r="D58">
        <f>ROW(EtalonRes!A177)</f>
        <v>177</v>
      </c>
      <c r="E58" t="s">
        <v>180</v>
      </c>
      <c r="F58" t="s">
        <v>42</v>
      </c>
      <c r="G58" t="s">
        <v>181</v>
      </c>
      <c r="H58" t="s">
        <v>27</v>
      </c>
      <c r="I58">
        <v>8</v>
      </c>
      <c r="J58">
        <v>0</v>
      </c>
      <c r="O58">
        <f t="shared" si="55"/>
        <v>1287.93</v>
      </c>
      <c r="P58">
        <f t="shared" si="56"/>
        <v>241.66</v>
      </c>
      <c r="Q58">
        <f t="shared" si="57"/>
        <v>693.74</v>
      </c>
      <c r="R58">
        <f t="shared" si="58"/>
        <v>97.99</v>
      </c>
      <c r="S58">
        <f t="shared" si="59"/>
        <v>352.53</v>
      </c>
      <c r="T58">
        <f t="shared" si="60"/>
        <v>0</v>
      </c>
      <c r="U58">
        <f t="shared" si="61"/>
        <v>6.88</v>
      </c>
      <c r="V58">
        <f t="shared" si="62"/>
        <v>1.6</v>
      </c>
      <c r="W58">
        <f t="shared" si="63"/>
        <v>0</v>
      </c>
      <c r="X58">
        <f t="shared" si="64"/>
        <v>427.99</v>
      </c>
      <c r="Y58">
        <f t="shared" si="65"/>
        <v>292.83999999999997</v>
      </c>
      <c r="AA58">
        <v>39610380</v>
      </c>
      <c r="AB58">
        <f t="shared" si="66"/>
        <v>32.99</v>
      </c>
      <c r="AC58">
        <f t="shared" si="67"/>
        <v>6.19</v>
      </c>
      <c r="AD58">
        <f t="shared" si="68"/>
        <v>17.77</v>
      </c>
      <c r="AE58">
        <f t="shared" si="69"/>
        <v>2.5099999999999998</v>
      </c>
      <c r="AF58">
        <f t="shared" si="70"/>
        <v>9.0299999999999994</v>
      </c>
      <c r="AG58">
        <f t="shared" si="71"/>
        <v>0</v>
      </c>
      <c r="AH58">
        <f t="shared" si="72"/>
        <v>0.86</v>
      </c>
      <c r="AI58">
        <f t="shared" si="73"/>
        <v>0.2</v>
      </c>
      <c r="AJ58">
        <f t="shared" si="74"/>
        <v>0</v>
      </c>
      <c r="AK58">
        <v>32.99</v>
      </c>
      <c r="AL58">
        <v>6.19</v>
      </c>
      <c r="AM58">
        <v>17.77</v>
      </c>
      <c r="AN58">
        <v>2.5099999999999998</v>
      </c>
      <c r="AO58">
        <v>9.0299999999999994</v>
      </c>
      <c r="AP58">
        <v>0</v>
      </c>
      <c r="AQ58">
        <v>0.86</v>
      </c>
      <c r="AR58">
        <v>0.2</v>
      </c>
      <c r="AS58">
        <v>0</v>
      </c>
      <c r="AT58">
        <v>95</v>
      </c>
      <c r="AU58">
        <v>65</v>
      </c>
      <c r="AV58">
        <v>1</v>
      </c>
      <c r="AW58">
        <v>1</v>
      </c>
      <c r="AZ58">
        <v>4.88</v>
      </c>
      <c r="BA58">
        <v>4.88</v>
      </c>
      <c r="BB58">
        <v>4.88</v>
      </c>
      <c r="BC58">
        <v>4.88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2</v>
      </c>
      <c r="BJ58" t="s">
        <v>44</v>
      </c>
      <c r="BM58">
        <v>108001</v>
      </c>
      <c r="BN58">
        <v>0</v>
      </c>
      <c r="BO58" t="s">
        <v>3</v>
      </c>
      <c r="BP58">
        <v>0</v>
      </c>
      <c r="BQ58">
        <v>3</v>
      </c>
      <c r="BR58">
        <v>0</v>
      </c>
      <c r="BS58">
        <v>4.88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95</v>
      </c>
      <c r="CA58">
        <v>65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75"/>
        <v>1287.9299999999998</v>
      </c>
      <c r="CQ58">
        <f t="shared" si="76"/>
        <v>30.2072</v>
      </c>
      <c r="CR58">
        <f t="shared" si="77"/>
        <v>86.71759999999999</v>
      </c>
      <c r="CS58">
        <f t="shared" si="78"/>
        <v>12.248799999999999</v>
      </c>
      <c r="CT58">
        <f t="shared" si="79"/>
        <v>44.066399999999994</v>
      </c>
      <c r="CU58">
        <f t="shared" si="80"/>
        <v>0</v>
      </c>
      <c r="CV58">
        <f t="shared" si="81"/>
        <v>0.86</v>
      </c>
      <c r="CW58">
        <f t="shared" si="82"/>
        <v>0.2</v>
      </c>
      <c r="CX58">
        <f t="shared" si="83"/>
        <v>0</v>
      </c>
      <c r="CY58">
        <f t="shared" si="84"/>
        <v>427.99400000000003</v>
      </c>
      <c r="CZ58">
        <f t="shared" si="85"/>
        <v>292.83799999999997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1013</v>
      </c>
      <c r="DV58" t="s">
        <v>27</v>
      </c>
      <c r="DW58" t="s">
        <v>27</v>
      </c>
      <c r="DX58">
        <v>1</v>
      </c>
      <c r="EE58">
        <v>39174386</v>
      </c>
      <c r="EF58">
        <v>3</v>
      </c>
      <c r="EG58" t="s">
        <v>20</v>
      </c>
      <c r="EH58">
        <v>0</v>
      </c>
      <c r="EI58" t="s">
        <v>3</v>
      </c>
      <c r="EJ58">
        <v>2</v>
      </c>
      <c r="EK58">
        <v>108001</v>
      </c>
      <c r="EL58" t="s">
        <v>21</v>
      </c>
      <c r="EM58" t="s">
        <v>22</v>
      </c>
      <c r="EO58" t="s">
        <v>3</v>
      </c>
      <c r="EQ58">
        <v>0</v>
      </c>
      <c r="ER58">
        <v>32.99</v>
      </c>
      <c r="ES58">
        <v>6.19</v>
      </c>
      <c r="ET58">
        <v>17.77</v>
      </c>
      <c r="EU58">
        <v>2.5099999999999998</v>
      </c>
      <c r="EV58">
        <v>9.0299999999999994</v>
      </c>
      <c r="EW58">
        <v>0.86</v>
      </c>
      <c r="EX58">
        <v>0.2</v>
      </c>
      <c r="EY58">
        <v>0</v>
      </c>
      <c r="FQ58">
        <v>0</v>
      </c>
      <c r="FR58">
        <f t="shared" si="86"/>
        <v>0</v>
      </c>
      <c r="FS58">
        <v>0</v>
      </c>
      <c r="FX58">
        <v>95</v>
      </c>
      <c r="FY58">
        <v>65</v>
      </c>
      <c r="GA58" t="s">
        <v>3</v>
      </c>
      <c r="GD58">
        <v>0</v>
      </c>
      <c r="GF58">
        <v>1744174914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87"/>
        <v>0</v>
      </c>
      <c r="GM58">
        <f t="shared" si="88"/>
        <v>2008.76</v>
      </c>
      <c r="GN58">
        <f t="shared" si="89"/>
        <v>0</v>
      </c>
      <c r="GO58">
        <f t="shared" si="90"/>
        <v>2008.76</v>
      </c>
      <c r="GP58">
        <f t="shared" si="91"/>
        <v>0</v>
      </c>
      <c r="GR58">
        <v>0</v>
      </c>
      <c r="GS58">
        <v>3</v>
      </c>
      <c r="GT58">
        <v>0</v>
      </c>
      <c r="GU58" t="s">
        <v>3</v>
      </c>
      <c r="GV58">
        <f t="shared" si="92"/>
        <v>0</v>
      </c>
      <c r="GW58">
        <v>1</v>
      </c>
      <c r="GX58">
        <f t="shared" si="93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190</v>
      </c>
      <c r="E59" t="s">
        <v>182</v>
      </c>
      <c r="F59" t="s">
        <v>183</v>
      </c>
      <c r="G59" t="s">
        <v>184</v>
      </c>
      <c r="H59" t="s">
        <v>86</v>
      </c>
      <c r="I59">
        <f>I58*J59</f>
        <v>8</v>
      </c>
      <c r="J59">
        <v>1</v>
      </c>
      <c r="O59">
        <f t="shared" si="55"/>
        <v>148914.57</v>
      </c>
      <c r="P59">
        <f t="shared" si="56"/>
        <v>148914.57</v>
      </c>
      <c r="Q59">
        <f t="shared" si="57"/>
        <v>0</v>
      </c>
      <c r="R59">
        <f t="shared" si="58"/>
        <v>0</v>
      </c>
      <c r="S59">
        <f t="shared" si="59"/>
        <v>0</v>
      </c>
      <c r="T59">
        <f t="shared" si="60"/>
        <v>0</v>
      </c>
      <c r="U59">
        <f t="shared" si="61"/>
        <v>0</v>
      </c>
      <c r="V59">
        <f t="shared" si="62"/>
        <v>0</v>
      </c>
      <c r="W59">
        <f t="shared" si="63"/>
        <v>0</v>
      </c>
      <c r="X59">
        <f t="shared" si="64"/>
        <v>0</v>
      </c>
      <c r="Y59">
        <f t="shared" si="65"/>
        <v>0</v>
      </c>
      <c r="AA59">
        <v>39610380</v>
      </c>
      <c r="AB59">
        <f t="shared" si="66"/>
        <v>3814.41</v>
      </c>
      <c r="AC59">
        <f t="shared" si="67"/>
        <v>3814.41</v>
      </c>
      <c r="AD59">
        <f t="shared" si="68"/>
        <v>0</v>
      </c>
      <c r="AE59">
        <f t="shared" si="69"/>
        <v>0</v>
      </c>
      <c r="AF59">
        <f t="shared" si="70"/>
        <v>0</v>
      </c>
      <c r="AG59">
        <f t="shared" si="71"/>
        <v>0</v>
      </c>
      <c r="AH59">
        <f t="shared" si="72"/>
        <v>0</v>
      </c>
      <c r="AI59">
        <f t="shared" si="73"/>
        <v>0</v>
      </c>
      <c r="AJ59">
        <f t="shared" si="74"/>
        <v>0</v>
      </c>
      <c r="AK59">
        <v>3814.41</v>
      </c>
      <c r="AL59">
        <v>3814.41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4.88</v>
      </c>
      <c r="BA59">
        <v>1</v>
      </c>
      <c r="BB59">
        <v>1</v>
      </c>
      <c r="BC59">
        <v>4.88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185</v>
      </c>
      <c r="BM59">
        <v>108001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95</v>
      </c>
      <c r="CA59">
        <v>65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5"/>
        <v>148914.57</v>
      </c>
      <c r="CQ59">
        <f t="shared" si="76"/>
        <v>18614.320799999998</v>
      </c>
      <c r="CR59">
        <f t="shared" si="77"/>
        <v>0</v>
      </c>
      <c r="CS59">
        <f t="shared" si="78"/>
        <v>0</v>
      </c>
      <c r="CT59">
        <f t="shared" si="79"/>
        <v>0</v>
      </c>
      <c r="CU59">
        <f t="shared" si="80"/>
        <v>0</v>
      </c>
      <c r="CV59">
        <f t="shared" si="81"/>
        <v>0</v>
      </c>
      <c r="CW59">
        <f t="shared" si="82"/>
        <v>0</v>
      </c>
      <c r="CX59">
        <f t="shared" si="83"/>
        <v>0</v>
      </c>
      <c r="CY59">
        <f t="shared" si="84"/>
        <v>0</v>
      </c>
      <c r="CZ59">
        <f t="shared" si="85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86</v>
      </c>
      <c r="DW59" t="s">
        <v>86</v>
      </c>
      <c r="DX59">
        <v>1</v>
      </c>
      <c r="EE59">
        <v>39174386</v>
      </c>
      <c r="EF59">
        <v>3</v>
      </c>
      <c r="EG59" t="s">
        <v>20</v>
      </c>
      <c r="EH59">
        <v>0</v>
      </c>
      <c r="EI59" t="s">
        <v>3</v>
      </c>
      <c r="EJ59">
        <v>2</v>
      </c>
      <c r="EK59">
        <v>108001</v>
      </c>
      <c r="EL59" t="s">
        <v>21</v>
      </c>
      <c r="EM59" t="s">
        <v>22</v>
      </c>
      <c r="EO59" t="s">
        <v>3</v>
      </c>
      <c r="EQ59">
        <v>0</v>
      </c>
      <c r="ER59">
        <v>3814.41</v>
      </c>
      <c r="ES59">
        <v>3814.41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6"/>
        <v>0</v>
      </c>
      <c r="FS59">
        <v>0</v>
      </c>
      <c r="FX59">
        <v>95</v>
      </c>
      <c r="FY59">
        <v>65</v>
      </c>
      <c r="GA59" t="s">
        <v>186</v>
      </c>
      <c r="GD59">
        <v>0</v>
      </c>
      <c r="GF59">
        <v>320607938</v>
      </c>
      <c r="GG59">
        <v>1</v>
      </c>
      <c r="GH59">
        <v>0</v>
      </c>
      <c r="GI59">
        <v>4</v>
      </c>
      <c r="GJ59">
        <v>0</v>
      </c>
      <c r="GK59">
        <f>ROUND(R59*(R12)/100,2)</f>
        <v>0</v>
      </c>
      <c r="GL59">
        <f t="shared" si="87"/>
        <v>0</v>
      </c>
      <c r="GM59">
        <f t="shared" si="88"/>
        <v>148914.57</v>
      </c>
      <c r="GN59">
        <f t="shared" si="89"/>
        <v>0</v>
      </c>
      <c r="GO59">
        <f t="shared" si="90"/>
        <v>148914.57</v>
      </c>
      <c r="GP59">
        <f t="shared" si="91"/>
        <v>0</v>
      </c>
      <c r="GR59">
        <v>0</v>
      </c>
      <c r="GS59">
        <v>4</v>
      </c>
      <c r="GT59">
        <v>0</v>
      </c>
      <c r="GU59" t="s">
        <v>3</v>
      </c>
      <c r="GV59">
        <f t="shared" si="92"/>
        <v>0</v>
      </c>
      <c r="GW59">
        <v>1</v>
      </c>
      <c r="GX59">
        <f t="shared" si="93"/>
        <v>0</v>
      </c>
      <c r="HA59">
        <v>0</v>
      </c>
      <c r="HB59">
        <v>0</v>
      </c>
      <c r="IK59">
        <v>0</v>
      </c>
    </row>
    <row r="60" spans="1:245" x14ac:dyDescent="0.2">
      <c r="A60">
        <v>17</v>
      </c>
      <c r="B60">
        <v>1</v>
      </c>
      <c r="C60">
        <f>ROW(SmtRes!A196)</f>
        <v>196</v>
      </c>
      <c r="D60">
        <f>ROW(EtalonRes!A181)</f>
        <v>181</v>
      </c>
      <c r="E60" t="s">
        <v>187</v>
      </c>
      <c r="F60" t="s">
        <v>188</v>
      </c>
      <c r="G60" t="s">
        <v>189</v>
      </c>
      <c r="H60" t="s">
        <v>36</v>
      </c>
      <c r="I60">
        <f>ROUND(1350/100,9)</f>
        <v>13.5</v>
      </c>
      <c r="J60">
        <v>0</v>
      </c>
      <c r="O60">
        <f t="shared" si="55"/>
        <v>20309.490000000002</v>
      </c>
      <c r="P60">
        <f t="shared" si="56"/>
        <v>67.2</v>
      </c>
      <c r="Q60">
        <f t="shared" si="57"/>
        <v>16883.07</v>
      </c>
      <c r="R60">
        <f t="shared" si="58"/>
        <v>2980.41</v>
      </c>
      <c r="S60">
        <f t="shared" si="59"/>
        <v>3359.22</v>
      </c>
      <c r="T60">
        <f t="shared" si="60"/>
        <v>0</v>
      </c>
      <c r="U60">
        <f t="shared" si="61"/>
        <v>71.55</v>
      </c>
      <c r="V60">
        <f t="shared" si="62"/>
        <v>52.65</v>
      </c>
      <c r="W60">
        <f t="shared" si="63"/>
        <v>0</v>
      </c>
      <c r="X60">
        <f t="shared" si="64"/>
        <v>6022.65</v>
      </c>
      <c r="Y60">
        <f t="shared" si="65"/>
        <v>4120.76</v>
      </c>
      <c r="AA60">
        <v>39610380</v>
      </c>
      <c r="AB60">
        <f t="shared" si="66"/>
        <v>308.27999999999997</v>
      </c>
      <c r="AC60">
        <f t="shared" si="67"/>
        <v>1.02</v>
      </c>
      <c r="AD60">
        <f t="shared" si="68"/>
        <v>256.27</v>
      </c>
      <c r="AE60">
        <f t="shared" si="69"/>
        <v>45.24</v>
      </c>
      <c r="AF60">
        <f t="shared" si="70"/>
        <v>50.99</v>
      </c>
      <c r="AG60">
        <f t="shared" si="71"/>
        <v>0</v>
      </c>
      <c r="AH60">
        <f t="shared" si="72"/>
        <v>5.3</v>
      </c>
      <c r="AI60">
        <f t="shared" si="73"/>
        <v>3.9</v>
      </c>
      <c r="AJ60">
        <f t="shared" si="74"/>
        <v>0</v>
      </c>
      <c r="AK60">
        <v>308.27999999999997</v>
      </c>
      <c r="AL60">
        <v>1.02</v>
      </c>
      <c r="AM60">
        <v>256.27</v>
      </c>
      <c r="AN60">
        <v>45.24</v>
      </c>
      <c r="AO60">
        <v>50.99</v>
      </c>
      <c r="AP60">
        <v>0</v>
      </c>
      <c r="AQ60">
        <v>5.3</v>
      </c>
      <c r="AR60">
        <v>3.9</v>
      </c>
      <c r="AS60">
        <v>0</v>
      </c>
      <c r="AT60">
        <v>95</v>
      </c>
      <c r="AU60">
        <v>65</v>
      </c>
      <c r="AV60">
        <v>1</v>
      </c>
      <c r="AW60">
        <v>1</v>
      </c>
      <c r="AZ60">
        <v>4.88</v>
      </c>
      <c r="BA60">
        <v>4.88</v>
      </c>
      <c r="BB60">
        <v>4.88</v>
      </c>
      <c r="BC60">
        <v>4.88</v>
      </c>
      <c r="BD60" t="s">
        <v>3</v>
      </c>
      <c r="BE60" t="s">
        <v>3</v>
      </c>
      <c r="BF60" t="s">
        <v>3</v>
      </c>
      <c r="BG60" t="s">
        <v>3</v>
      </c>
      <c r="BH60">
        <v>0</v>
      </c>
      <c r="BI60">
        <v>2</v>
      </c>
      <c r="BJ60" t="s">
        <v>190</v>
      </c>
      <c r="BM60">
        <v>108001</v>
      </c>
      <c r="BN60">
        <v>0</v>
      </c>
      <c r="BO60" t="s">
        <v>3</v>
      </c>
      <c r="BP60">
        <v>0</v>
      </c>
      <c r="BQ60">
        <v>3</v>
      </c>
      <c r="BR60">
        <v>0</v>
      </c>
      <c r="BS60">
        <v>4.88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95</v>
      </c>
      <c r="CA60">
        <v>65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75"/>
        <v>20309.490000000002</v>
      </c>
      <c r="CQ60">
        <f t="shared" si="76"/>
        <v>4.9775999999999998</v>
      </c>
      <c r="CR60">
        <f t="shared" si="77"/>
        <v>1250.5975999999998</v>
      </c>
      <c r="CS60">
        <f t="shared" si="78"/>
        <v>220.77119999999999</v>
      </c>
      <c r="CT60">
        <f t="shared" si="79"/>
        <v>248.8312</v>
      </c>
      <c r="CU60">
        <f t="shared" si="80"/>
        <v>0</v>
      </c>
      <c r="CV60">
        <f t="shared" si="81"/>
        <v>5.3</v>
      </c>
      <c r="CW60">
        <f t="shared" si="82"/>
        <v>3.9</v>
      </c>
      <c r="CX60">
        <f t="shared" si="83"/>
        <v>0</v>
      </c>
      <c r="CY60">
        <f t="shared" si="84"/>
        <v>6022.6484999999993</v>
      </c>
      <c r="CZ60">
        <f t="shared" si="85"/>
        <v>4120.7594999999992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1003</v>
      </c>
      <c r="DV60" t="s">
        <v>36</v>
      </c>
      <c r="DW60" t="s">
        <v>36</v>
      </c>
      <c r="DX60">
        <v>100</v>
      </c>
      <c r="EE60">
        <v>39174386</v>
      </c>
      <c r="EF60">
        <v>3</v>
      </c>
      <c r="EG60" t="s">
        <v>20</v>
      </c>
      <c r="EH60">
        <v>0</v>
      </c>
      <c r="EI60" t="s">
        <v>3</v>
      </c>
      <c r="EJ60">
        <v>2</v>
      </c>
      <c r="EK60">
        <v>108001</v>
      </c>
      <c r="EL60" t="s">
        <v>21</v>
      </c>
      <c r="EM60" t="s">
        <v>22</v>
      </c>
      <c r="EO60" t="s">
        <v>3</v>
      </c>
      <c r="EQ60">
        <v>0</v>
      </c>
      <c r="ER60">
        <v>308.27999999999997</v>
      </c>
      <c r="ES60">
        <v>1.02</v>
      </c>
      <c r="ET60">
        <v>256.27</v>
      </c>
      <c r="EU60">
        <v>45.24</v>
      </c>
      <c r="EV60">
        <v>50.99</v>
      </c>
      <c r="EW60">
        <v>5.3</v>
      </c>
      <c r="EX60">
        <v>3.9</v>
      </c>
      <c r="EY60">
        <v>0</v>
      </c>
      <c r="FQ60">
        <v>0</v>
      </c>
      <c r="FR60">
        <f t="shared" si="86"/>
        <v>0</v>
      </c>
      <c r="FS60">
        <v>0</v>
      </c>
      <c r="FX60">
        <v>95</v>
      </c>
      <c r="FY60">
        <v>65</v>
      </c>
      <c r="GA60" t="s">
        <v>3</v>
      </c>
      <c r="GD60">
        <v>0</v>
      </c>
      <c r="GF60">
        <v>837540638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87"/>
        <v>0</v>
      </c>
      <c r="GM60">
        <f t="shared" si="88"/>
        <v>30452.9</v>
      </c>
      <c r="GN60">
        <f t="shared" si="89"/>
        <v>0</v>
      </c>
      <c r="GO60">
        <f t="shared" si="90"/>
        <v>30452.9</v>
      </c>
      <c r="GP60">
        <f t="shared" si="91"/>
        <v>0</v>
      </c>
      <c r="GR60">
        <v>0</v>
      </c>
      <c r="GS60">
        <v>3</v>
      </c>
      <c r="GT60">
        <v>0</v>
      </c>
      <c r="GU60" t="s">
        <v>3</v>
      </c>
      <c r="GV60">
        <f t="shared" si="92"/>
        <v>0</v>
      </c>
      <c r="GW60">
        <v>1</v>
      </c>
      <c r="GX60">
        <f t="shared" si="93"/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195</v>
      </c>
      <c r="E61" t="s">
        <v>191</v>
      </c>
      <c r="F61" t="s">
        <v>192</v>
      </c>
      <c r="G61" t="s">
        <v>193</v>
      </c>
      <c r="H61" t="s">
        <v>58</v>
      </c>
      <c r="I61">
        <f>I60*J61</f>
        <v>100.16129032258064</v>
      </c>
      <c r="J61">
        <v>7.419354838709677</v>
      </c>
      <c r="O61">
        <f t="shared" si="55"/>
        <v>29322.34</v>
      </c>
      <c r="P61">
        <f t="shared" si="56"/>
        <v>29322.34</v>
      </c>
      <c r="Q61">
        <f t="shared" si="57"/>
        <v>0</v>
      </c>
      <c r="R61">
        <f t="shared" si="58"/>
        <v>0</v>
      </c>
      <c r="S61">
        <f t="shared" si="59"/>
        <v>0</v>
      </c>
      <c r="T61">
        <f t="shared" si="60"/>
        <v>0</v>
      </c>
      <c r="U61">
        <f t="shared" si="61"/>
        <v>0</v>
      </c>
      <c r="V61">
        <f t="shared" si="62"/>
        <v>0</v>
      </c>
      <c r="W61">
        <f t="shared" si="63"/>
        <v>0</v>
      </c>
      <c r="X61">
        <f t="shared" si="64"/>
        <v>0</v>
      </c>
      <c r="Y61">
        <f t="shared" si="65"/>
        <v>0</v>
      </c>
      <c r="AA61">
        <v>39610380</v>
      </c>
      <c r="AB61">
        <f t="shared" si="66"/>
        <v>59.99</v>
      </c>
      <c r="AC61">
        <f t="shared" si="67"/>
        <v>59.99</v>
      </c>
      <c r="AD61">
        <f t="shared" si="68"/>
        <v>0</v>
      </c>
      <c r="AE61">
        <f t="shared" si="69"/>
        <v>0</v>
      </c>
      <c r="AF61">
        <f t="shared" si="70"/>
        <v>0</v>
      </c>
      <c r="AG61">
        <f t="shared" si="71"/>
        <v>0</v>
      </c>
      <c r="AH61">
        <f t="shared" si="72"/>
        <v>0</v>
      </c>
      <c r="AI61">
        <f t="shared" si="73"/>
        <v>0</v>
      </c>
      <c r="AJ61">
        <f t="shared" si="74"/>
        <v>0</v>
      </c>
      <c r="AK61">
        <v>59.99</v>
      </c>
      <c r="AL61">
        <v>59.99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4.88</v>
      </c>
      <c r="BA61">
        <v>1</v>
      </c>
      <c r="BB61">
        <v>1</v>
      </c>
      <c r="BC61">
        <v>4.88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2</v>
      </c>
      <c r="BJ61" t="s">
        <v>194</v>
      </c>
      <c r="BM61">
        <v>108001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95</v>
      </c>
      <c r="CA61">
        <v>65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5"/>
        <v>29322.34</v>
      </c>
      <c r="CQ61">
        <f t="shared" si="76"/>
        <v>292.75119999999998</v>
      </c>
      <c r="CR61">
        <f t="shared" si="77"/>
        <v>0</v>
      </c>
      <c r="CS61">
        <f t="shared" si="78"/>
        <v>0</v>
      </c>
      <c r="CT61">
        <f t="shared" si="79"/>
        <v>0</v>
      </c>
      <c r="CU61">
        <f t="shared" si="80"/>
        <v>0</v>
      </c>
      <c r="CV61">
        <f t="shared" si="81"/>
        <v>0</v>
      </c>
      <c r="CW61">
        <f t="shared" si="82"/>
        <v>0</v>
      </c>
      <c r="CX61">
        <f t="shared" si="83"/>
        <v>0</v>
      </c>
      <c r="CY61">
        <f t="shared" si="84"/>
        <v>0</v>
      </c>
      <c r="CZ61">
        <f t="shared" si="85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58</v>
      </c>
      <c r="DW61" t="s">
        <v>58</v>
      </c>
      <c r="DX61">
        <v>1</v>
      </c>
      <c r="EE61">
        <v>39174386</v>
      </c>
      <c r="EF61">
        <v>3</v>
      </c>
      <c r="EG61" t="s">
        <v>20</v>
      </c>
      <c r="EH61">
        <v>0</v>
      </c>
      <c r="EI61" t="s">
        <v>3</v>
      </c>
      <c r="EJ61">
        <v>2</v>
      </c>
      <c r="EK61">
        <v>108001</v>
      </c>
      <c r="EL61" t="s">
        <v>21</v>
      </c>
      <c r="EM61" t="s">
        <v>22</v>
      </c>
      <c r="EO61" t="s">
        <v>3</v>
      </c>
      <c r="EQ61">
        <v>0</v>
      </c>
      <c r="ER61">
        <v>59.99</v>
      </c>
      <c r="ES61">
        <v>59.99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6"/>
        <v>0</v>
      </c>
      <c r="FS61">
        <v>0</v>
      </c>
      <c r="FX61">
        <v>95</v>
      </c>
      <c r="FY61">
        <v>65</v>
      </c>
      <c r="GA61" t="s">
        <v>3</v>
      </c>
      <c r="GD61">
        <v>0</v>
      </c>
      <c r="GF61">
        <v>-702506104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87"/>
        <v>0</v>
      </c>
      <c r="GM61">
        <f t="shared" si="88"/>
        <v>29322.34</v>
      </c>
      <c r="GN61">
        <f t="shared" si="89"/>
        <v>0</v>
      </c>
      <c r="GO61">
        <f t="shared" si="90"/>
        <v>29322.34</v>
      </c>
      <c r="GP61">
        <f t="shared" si="91"/>
        <v>0</v>
      </c>
      <c r="GR61">
        <v>0</v>
      </c>
      <c r="GS61">
        <v>3</v>
      </c>
      <c r="GT61">
        <v>0</v>
      </c>
      <c r="GU61" t="s">
        <v>3</v>
      </c>
      <c r="GV61">
        <f t="shared" si="92"/>
        <v>0</v>
      </c>
      <c r="GW61">
        <v>1</v>
      </c>
      <c r="GX61">
        <f t="shared" si="93"/>
        <v>0</v>
      </c>
      <c r="HA61">
        <v>0</v>
      </c>
      <c r="HB61">
        <v>0</v>
      </c>
      <c r="IK61">
        <v>0</v>
      </c>
    </row>
    <row r="62" spans="1:245" x14ac:dyDescent="0.2">
      <c r="A62">
        <v>17</v>
      </c>
      <c r="B62">
        <v>1</v>
      </c>
      <c r="C62">
        <f>ROW(SmtRes!A209)</f>
        <v>209</v>
      </c>
      <c r="D62">
        <f>ROW(EtalonRes!A193)</f>
        <v>193</v>
      </c>
      <c r="E62" t="s">
        <v>195</v>
      </c>
      <c r="F62" t="s">
        <v>196</v>
      </c>
      <c r="G62" t="s">
        <v>197</v>
      </c>
      <c r="H62" t="s">
        <v>36</v>
      </c>
      <c r="I62">
        <f>ROUND(450/100,9)</f>
        <v>4.5</v>
      </c>
      <c r="J62">
        <v>0</v>
      </c>
      <c r="O62">
        <f t="shared" si="55"/>
        <v>5941.94</v>
      </c>
      <c r="P62">
        <f t="shared" si="56"/>
        <v>1614.72</v>
      </c>
      <c r="Q62">
        <f t="shared" si="57"/>
        <v>1992.87</v>
      </c>
      <c r="R62">
        <f t="shared" si="58"/>
        <v>248.15</v>
      </c>
      <c r="S62">
        <f t="shared" si="59"/>
        <v>2334.35</v>
      </c>
      <c r="T62">
        <f t="shared" si="60"/>
        <v>0</v>
      </c>
      <c r="U62">
        <f t="shared" si="61"/>
        <v>49.725000000000001</v>
      </c>
      <c r="V62">
        <f t="shared" si="62"/>
        <v>4.05</v>
      </c>
      <c r="W62">
        <f t="shared" si="63"/>
        <v>0</v>
      </c>
      <c r="X62">
        <f t="shared" si="64"/>
        <v>2453.38</v>
      </c>
      <c r="Y62">
        <f t="shared" si="65"/>
        <v>1678.63</v>
      </c>
      <c r="AA62">
        <v>39610380</v>
      </c>
      <c r="AB62">
        <f t="shared" si="66"/>
        <v>270.58</v>
      </c>
      <c r="AC62">
        <f t="shared" si="67"/>
        <v>73.53</v>
      </c>
      <c r="AD62">
        <f t="shared" si="68"/>
        <v>90.75</v>
      </c>
      <c r="AE62">
        <f t="shared" si="69"/>
        <v>11.3</v>
      </c>
      <c r="AF62">
        <f t="shared" si="70"/>
        <v>106.3</v>
      </c>
      <c r="AG62">
        <f t="shared" si="71"/>
        <v>0</v>
      </c>
      <c r="AH62">
        <f t="shared" si="72"/>
        <v>11.05</v>
      </c>
      <c r="AI62">
        <f t="shared" si="73"/>
        <v>0.9</v>
      </c>
      <c r="AJ62">
        <f t="shared" si="74"/>
        <v>0</v>
      </c>
      <c r="AK62">
        <v>270.58</v>
      </c>
      <c r="AL62">
        <v>73.53</v>
      </c>
      <c r="AM62">
        <v>90.75</v>
      </c>
      <c r="AN62">
        <v>11.3</v>
      </c>
      <c r="AO62">
        <v>106.3</v>
      </c>
      <c r="AP62">
        <v>0</v>
      </c>
      <c r="AQ62">
        <v>11.05</v>
      </c>
      <c r="AR62">
        <v>0.9</v>
      </c>
      <c r="AS62">
        <v>0</v>
      </c>
      <c r="AT62">
        <v>95</v>
      </c>
      <c r="AU62">
        <v>65</v>
      </c>
      <c r="AV62">
        <v>1</v>
      </c>
      <c r="AW62">
        <v>1</v>
      </c>
      <c r="AZ62">
        <v>4.88</v>
      </c>
      <c r="BA62">
        <v>4.88</v>
      </c>
      <c r="BB62">
        <v>4.88</v>
      </c>
      <c r="BC62">
        <v>4.88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2</v>
      </c>
      <c r="BJ62" t="s">
        <v>198</v>
      </c>
      <c r="BM62">
        <v>108001</v>
      </c>
      <c r="BN62">
        <v>0</v>
      </c>
      <c r="BO62" t="s">
        <v>3</v>
      </c>
      <c r="BP62">
        <v>0</v>
      </c>
      <c r="BQ62">
        <v>3</v>
      </c>
      <c r="BR62">
        <v>0</v>
      </c>
      <c r="BS62">
        <v>4.88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95</v>
      </c>
      <c r="CA62">
        <v>65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5"/>
        <v>5941.9400000000005</v>
      </c>
      <c r="CQ62">
        <f t="shared" si="76"/>
        <v>358.82639999999998</v>
      </c>
      <c r="CR62">
        <f t="shared" si="77"/>
        <v>442.86</v>
      </c>
      <c r="CS62">
        <f t="shared" si="78"/>
        <v>55.144000000000005</v>
      </c>
      <c r="CT62">
        <f t="shared" si="79"/>
        <v>518.74400000000003</v>
      </c>
      <c r="CU62">
        <f t="shared" si="80"/>
        <v>0</v>
      </c>
      <c r="CV62">
        <f t="shared" si="81"/>
        <v>11.05</v>
      </c>
      <c r="CW62">
        <f t="shared" si="82"/>
        <v>0.9</v>
      </c>
      <c r="CX62">
        <f t="shared" si="83"/>
        <v>0</v>
      </c>
      <c r="CY62">
        <f t="shared" si="84"/>
        <v>2453.375</v>
      </c>
      <c r="CZ62">
        <f t="shared" si="85"/>
        <v>1678.625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1003</v>
      </c>
      <c r="DV62" t="s">
        <v>36</v>
      </c>
      <c r="DW62" t="s">
        <v>36</v>
      </c>
      <c r="DX62">
        <v>100</v>
      </c>
      <c r="EE62">
        <v>39174386</v>
      </c>
      <c r="EF62">
        <v>3</v>
      </c>
      <c r="EG62" t="s">
        <v>20</v>
      </c>
      <c r="EH62">
        <v>0</v>
      </c>
      <c r="EI62" t="s">
        <v>3</v>
      </c>
      <c r="EJ62">
        <v>2</v>
      </c>
      <c r="EK62">
        <v>108001</v>
      </c>
      <c r="EL62" t="s">
        <v>21</v>
      </c>
      <c r="EM62" t="s">
        <v>22</v>
      </c>
      <c r="EO62" t="s">
        <v>3</v>
      </c>
      <c r="EQ62">
        <v>0</v>
      </c>
      <c r="ER62">
        <v>270.58</v>
      </c>
      <c r="ES62">
        <v>73.53</v>
      </c>
      <c r="ET62">
        <v>90.75</v>
      </c>
      <c r="EU62">
        <v>11.3</v>
      </c>
      <c r="EV62">
        <v>106.3</v>
      </c>
      <c r="EW62">
        <v>11.05</v>
      </c>
      <c r="EX62">
        <v>0.9</v>
      </c>
      <c r="EY62">
        <v>0</v>
      </c>
      <c r="FQ62">
        <v>0</v>
      </c>
      <c r="FR62">
        <f t="shared" si="86"/>
        <v>0</v>
      </c>
      <c r="FS62">
        <v>0</v>
      </c>
      <c r="FX62">
        <v>95</v>
      </c>
      <c r="FY62">
        <v>65</v>
      </c>
      <c r="GA62" t="s">
        <v>3</v>
      </c>
      <c r="GD62">
        <v>0</v>
      </c>
      <c r="GF62">
        <v>171373453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87"/>
        <v>0</v>
      </c>
      <c r="GM62">
        <f t="shared" si="88"/>
        <v>10073.950000000001</v>
      </c>
      <c r="GN62">
        <f t="shared" si="89"/>
        <v>0</v>
      </c>
      <c r="GO62">
        <f t="shared" si="90"/>
        <v>10073.950000000001</v>
      </c>
      <c r="GP62">
        <f t="shared" si="91"/>
        <v>0</v>
      </c>
      <c r="GR62">
        <v>0</v>
      </c>
      <c r="GS62">
        <v>3</v>
      </c>
      <c r="GT62">
        <v>0</v>
      </c>
      <c r="GU62" t="s">
        <v>3</v>
      </c>
      <c r="GV62">
        <f t="shared" si="92"/>
        <v>0</v>
      </c>
      <c r="GW62">
        <v>1</v>
      </c>
      <c r="GX62">
        <f t="shared" si="93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208</v>
      </c>
      <c r="E63" t="s">
        <v>199</v>
      </c>
      <c r="F63" t="s">
        <v>200</v>
      </c>
      <c r="G63" t="s">
        <v>201</v>
      </c>
      <c r="H63" t="s">
        <v>202</v>
      </c>
      <c r="I63">
        <f>I62*J63</f>
        <v>0.45</v>
      </c>
      <c r="J63">
        <v>0.1</v>
      </c>
      <c r="O63">
        <f t="shared" si="55"/>
        <v>850563.17</v>
      </c>
      <c r="P63">
        <f t="shared" si="56"/>
        <v>850563.17</v>
      </c>
      <c r="Q63">
        <f t="shared" si="57"/>
        <v>0</v>
      </c>
      <c r="R63">
        <f t="shared" si="58"/>
        <v>0</v>
      </c>
      <c r="S63">
        <f t="shared" si="59"/>
        <v>0</v>
      </c>
      <c r="T63">
        <f t="shared" si="60"/>
        <v>0</v>
      </c>
      <c r="U63">
        <f t="shared" si="61"/>
        <v>0</v>
      </c>
      <c r="V63">
        <f t="shared" si="62"/>
        <v>0</v>
      </c>
      <c r="W63">
        <f t="shared" si="63"/>
        <v>0</v>
      </c>
      <c r="X63">
        <f t="shared" si="64"/>
        <v>0</v>
      </c>
      <c r="Y63">
        <f t="shared" si="65"/>
        <v>0</v>
      </c>
      <c r="AA63">
        <v>39610380</v>
      </c>
      <c r="AB63">
        <f t="shared" si="66"/>
        <v>387323.85</v>
      </c>
      <c r="AC63">
        <f t="shared" si="67"/>
        <v>387323.85</v>
      </c>
      <c r="AD63">
        <f t="shared" si="68"/>
        <v>0</v>
      </c>
      <c r="AE63">
        <f t="shared" si="69"/>
        <v>0</v>
      </c>
      <c r="AF63">
        <f t="shared" si="70"/>
        <v>0</v>
      </c>
      <c r="AG63">
        <f t="shared" si="71"/>
        <v>0</v>
      </c>
      <c r="AH63">
        <f t="shared" si="72"/>
        <v>0</v>
      </c>
      <c r="AI63">
        <f t="shared" si="73"/>
        <v>0</v>
      </c>
      <c r="AJ63">
        <f t="shared" si="74"/>
        <v>0</v>
      </c>
      <c r="AK63">
        <v>387323.85</v>
      </c>
      <c r="AL63">
        <v>387323.85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4.88</v>
      </c>
      <c r="BA63">
        <v>1</v>
      </c>
      <c r="BB63">
        <v>1</v>
      </c>
      <c r="BC63">
        <v>4.88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2</v>
      </c>
      <c r="BJ63" t="s">
        <v>203</v>
      </c>
      <c r="BM63">
        <v>108001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95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5"/>
        <v>850563.17</v>
      </c>
      <c r="CQ63">
        <f t="shared" si="76"/>
        <v>1890140.3879999998</v>
      </c>
      <c r="CR63">
        <f t="shared" si="77"/>
        <v>0</v>
      </c>
      <c r="CS63">
        <f t="shared" si="78"/>
        <v>0</v>
      </c>
      <c r="CT63">
        <f t="shared" si="79"/>
        <v>0</v>
      </c>
      <c r="CU63">
        <f t="shared" si="80"/>
        <v>0</v>
      </c>
      <c r="CV63">
        <f t="shared" si="81"/>
        <v>0</v>
      </c>
      <c r="CW63">
        <f t="shared" si="82"/>
        <v>0</v>
      </c>
      <c r="CX63">
        <f t="shared" si="83"/>
        <v>0</v>
      </c>
      <c r="CY63">
        <f t="shared" si="84"/>
        <v>0</v>
      </c>
      <c r="CZ63">
        <f t="shared" si="85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202</v>
      </c>
      <c r="DW63" t="s">
        <v>204</v>
      </c>
      <c r="DX63">
        <v>1</v>
      </c>
      <c r="EE63">
        <v>39174386</v>
      </c>
      <c r="EF63">
        <v>3</v>
      </c>
      <c r="EG63" t="s">
        <v>20</v>
      </c>
      <c r="EH63">
        <v>0</v>
      </c>
      <c r="EI63" t="s">
        <v>3</v>
      </c>
      <c r="EJ63">
        <v>2</v>
      </c>
      <c r="EK63">
        <v>108001</v>
      </c>
      <c r="EL63" t="s">
        <v>21</v>
      </c>
      <c r="EM63" t="s">
        <v>22</v>
      </c>
      <c r="EO63" t="s">
        <v>3</v>
      </c>
      <c r="EQ63">
        <v>0</v>
      </c>
      <c r="ER63">
        <v>387323.85</v>
      </c>
      <c r="ES63">
        <v>387323.85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6"/>
        <v>0</v>
      </c>
      <c r="FS63">
        <v>0</v>
      </c>
      <c r="FX63">
        <v>95</v>
      </c>
      <c r="FY63">
        <v>65</v>
      </c>
      <c r="GA63" t="s">
        <v>186</v>
      </c>
      <c r="GD63">
        <v>0</v>
      </c>
      <c r="GF63">
        <v>1402638695</v>
      </c>
      <c r="GG63">
        <v>1</v>
      </c>
      <c r="GH63">
        <v>0</v>
      </c>
      <c r="GI63">
        <v>4</v>
      </c>
      <c r="GJ63">
        <v>0</v>
      </c>
      <c r="GK63">
        <f>ROUND(R63*(R12)/100,2)</f>
        <v>0</v>
      </c>
      <c r="GL63">
        <f t="shared" si="87"/>
        <v>0</v>
      </c>
      <c r="GM63">
        <f t="shared" si="88"/>
        <v>850563.17</v>
      </c>
      <c r="GN63">
        <f t="shared" si="89"/>
        <v>0</v>
      </c>
      <c r="GO63">
        <f t="shared" si="90"/>
        <v>850563.17</v>
      </c>
      <c r="GP63">
        <f t="shared" si="91"/>
        <v>0</v>
      </c>
      <c r="GR63">
        <v>0</v>
      </c>
      <c r="GS63">
        <v>4</v>
      </c>
      <c r="GT63">
        <v>0</v>
      </c>
      <c r="GU63" t="s">
        <v>3</v>
      </c>
      <c r="GV63">
        <f t="shared" si="92"/>
        <v>0</v>
      </c>
      <c r="GW63">
        <v>1</v>
      </c>
      <c r="GX63">
        <f t="shared" si="93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ROW(SmtRes!A224)</f>
        <v>224</v>
      </c>
      <c r="D64">
        <f>ROW(EtalonRes!A205)</f>
        <v>205</v>
      </c>
      <c r="E64" t="s">
        <v>205</v>
      </c>
      <c r="F64" t="s">
        <v>206</v>
      </c>
      <c r="G64" t="s">
        <v>207</v>
      </c>
      <c r="H64" t="s">
        <v>36</v>
      </c>
      <c r="I64">
        <f>ROUND(900/100,9)</f>
        <v>9</v>
      </c>
      <c r="J64">
        <v>0</v>
      </c>
      <c r="O64">
        <f t="shared" si="55"/>
        <v>10774.02</v>
      </c>
      <c r="P64">
        <f t="shared" si="56"/>
        <v>3229</v>
      </c>
      <c r="Q64">
        <f t="shared" si="57"/>
        <v>2893.01</v>
      </c>
      <c r="R64">
        <f t="shared" si="58"/>
        <v>342.14</v>
      </c>
      <c r="S64">
        <f t="shared" si="59"/>
        <v>4652.01</v>
      </c>
      <c r="T64">
        <f t="shared" si="60"/>
        <v>0</v>
      </c>
      <c r="U64">
        <f t="shared" si="61"/>
        <v>99.09</v>
      </c>
      <c r="V64">
        <f t="shared" si="62"/>
        <v>5.58</v>
      </c>
      <c r="W64">
        <f t="shared" si="63"/>
        <v>0</v>
      </c>
      <c r="X64">
        <f t="shared" si="64"/>
        <v>4744.4399999999996</v>
      </c>
      <c r="Y64">
        <f t="shared" si="65"/>
        <v>3246.2</v>
      </c>
      <c r="AA64">
        <v>39610380</v>
      </c>
      <c r="AB64">
        <f t="shared" si="66"/>
        <v>245.31</v>
      </c>
      <c r="AC64">
        <f t="shared" si="67"/>
        <v>73.52</v>
      </c>
      <c r="AD64">
        <f t="shared" si="68"/>
        <v>65.87</v>
      </c>
      <c r="AE64">
        <f t="shared" si="69"/>
        <v>7.79</v>
      </c>
      <c r="AF64">
        <f t="shared" si="70"/>
        <v>105.92</v>
      </c>
      <c r="AG64">
        <f t="shared" si="71"/>
        <v>0</v>
      </c>
      <c r="AH64">
        <f t="shared" si="72"/>
        <v>11.01</v>
      </c>
      <c r="AI64">
        <f t="shared" si="73"/>
        <v>0.62</v>
      </c>
      <c r="AJ64">
        <f t="shared" si="74"/>
        <v>0</v>
      </c>
      <c r="AK64">
        <v>245.31</v>
      </c>
      <c r="AL64">
        <v>73.52</v>
      </c>
      <c r="AM64">
        <v>65.87</v>
      </c>
      <c r="AN64">
        <v>7.79</v>
      </c>
      <c r="AO64">
        <v>105.92</v>
      </c>
      <c r="AP64">
        <v>0</v>
      </c>
      <c r="AQ64">
        <v>11.01</v>
      </c>
      <c r="AR64">
        <v>0.62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4.88</v>
      </c>
      <c r="BA64">
        <v>4.88</v>
      </c>
      <c r="BB64">
        <v>4.88</v>
      </c>
      <c r="BC64">
        <v>4.88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2</v>
      </c>
      <c r="BJ64" t="s">
        <v>208</v>
      </c>
      <c r="BM64">
        <v>108001</v>
      </c>
      <c r="BN64">
        <v>0</v>
      </c>
      <c r="BO64" t="s">
        <v>3</v>
      </c>
      <c r="BP64">
        <v>0</v>
      </c>
      <c r="BQ64">
        <v>3</v>
      </c>
      <c r="BR64">
        <v>0</v>
      </c>
      <c r="BS64">
        <v>4.88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5"/>
        <v>10774.02</v>
      </c>
      <c r="CQ64">
        <f t="shared" si="76"/>
        <v>358.77759999999995</v>
      </c>
      <c r="CR64">
        <f t="shared" si="77"/>
        <v>321.44560000000001</v>
      </c>
      <c r="CS64">
        <f t="shared" si="78"/>
        <v>38.0152</v>
      </c>
      <c r="CT64">
        <f t="shared" si="79"/>
        <v>516.88959999999997</v>
      </c>
      <c r="CU64">
        <f t="shared" si="80"/>
        <v>0</v>
      </c>
      <c r="CV64">
        <f t="shared" si="81"/>
        <v>11.01</v>
      </c>
      <c r="CW64">
        <f t="shared" si="82"/>
        <v>0.62</v>
      </c>
      <c r="CX64">
        <f t="shared" si="83"/>
        <v>0</v>
      </c>
      <c r="CY64">
        <f t="shared" si="84"/>
        <v>4744.442500000001</v>
      </c>
      <c r="CZ64">
        <f t="shared" si="85"/>
        <v>3246.1975000000007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1003</v>
      </c>
      <c r="DV64" t="s">
        <v>36</v>
      </c>
      <c r="DW64" t="s">
        <v>36</v>
      </c>
      <c r="DX64">
        <v>100</v>
      </c>
      <c r="EE64">
        <v>39174386</v>
      </c>
      <c r="EF64">
        <v>3</v>
      </c>
      <c r="EG64" t="s">
        <v>20</v>
      </c>
      <c r="EH64">
        <v>0</v>
      </c>
      <c r="EI64" t="s">
        <v>3</v>
      </c>
      <c r="EJ64">
        <v>2</v>
      </c>
      <c r="EK64">
        <v>108001</v>
      </c>
      <c r="EL64" t="s">
        <v>21</v>
      </c>
      <c r="EM64" t="s">
        <v>22</v>
      </c>
      <c r="EO64" t="s">
        <v>3</v>
      </c>
      <c r="EQ64">
        <v>0</v>
      </c>
      <c r="ER64">
        <v>245.31</v>
      </c>
      <c r="ES64">
        <v>73.52</v>
      </c>
      <c r="ET64">
        <v>65.87</v>
      </c>
      <c r="EU64">
        <v>7.79</v>
      </c>
      <c r="EV64">
        <v>105.92</v>
      </c>
      <c r="EW64">
        <v>11.01</v>
      </c>
      <c r="EX64">
        <v>0.62</v>
      </c>
      <c r="EY64">
        <v>0</v>
      </c>
      <c r="FQ64">
        <v>0</v>
      </c>
      <c r="FR64">
        <f t="shared" si="86"/>
        <v>0</v>
      </c>
      <c r="FS64">
        <v>0</v>
      </c>
      <c r="FX64">
        <v>95</v>
      </c>
      <c r="FY64">
        <v>65</v>
      </c>
      <c r="GA64" t="s">
        <v>3</v>
      </c>
      <c r="GD64">
        <v>0</v>
      </c>
      <c r="GF64">
        <v>-1888348944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87"/>
        <v>0</v>
      </c>
      <c r="GM64">
        <f t="shared" si="88"/>
        <v>18764.66</v>
      </c>
      <c r="GN64">
        <f t="shared" si="89"/>
        <v>0</v>
      </c>
      <c r="GO64">
        <f t="shared" si="90"/>
        <v>18764.66</v>
      </c>
      <c r="GP64">
        <f t="shared" si="91"/>
        <v>0</v>
      </c>
      <c r="GR64">
        <v>0</v>
      </c>
      <c r="GS64">
        <v>3</v>
      </c>
      <c r="GT64">
        <v>0</v>
      </c>
      <c r="GU64" t="s">
        <v>3</v>
      </c>
      <c r="GV64">
        <f t="shared" si="92"/>
        <v>0</v>
      </c>
      <c r="GW64">
        <v>1</v>
      </c>
      <c r="GX64">
        <f t="shared" si="93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223</v>
      </c>
      <c r="E65" t="s">
        <v>209</v>
      </c>
      <c r="F65" t="s">
        <v>210</v>
      </c>
      <c r="G65" t="s">
        <v>211</v>
      </c>
      <c r="H65" t="s">
        <v>202</v>
      </c>
      <c r="I65">
        <f>I64*J65</f>
        <v>0.3</v>
      </c>
      <c r="J65">
        <v>3.3333333333333333E-2</v>
      </c>
      <c r="O65">
        <f t="shared" si="55"/>
        <v>203342.21</v>
      </c>
      <c r="P65">
        <f t="shared" si="56"/>
        <v>203342.21</v>
      </c>
      <c r="Q65">
        <f t="shared" si="57"/>
        <v>0</v>
      </c>
      <c r="R65">
        <f t="shared" si="58"/>
        <v>0</v>
      </c>
      <c r="S65">
        <f t="shared" si="59"/>
        <v>0</v>
      </c>
      <c r="T65">
        <f t="shared" si="60"/>
        <v>0</v>
      </c>
      <c r="U65">
        <f t="shared" si="61"/>
        <v>0</v>
      </c>
      <c r="V65">
        <f t="shared" si="62"/>
        <v>0</v>
      </c>
      <c r="W65">
        <f t="shared" si="63"/>
        <v>0</v>
      </c>
      <c r="X65">
        <f t="shared" si="64"/>
        <v>0</v>
      </c>
      <c r="Y65">
        <f t="shared" si="65"/>
        <v>0</v>
      </c>
      <c r="AA65">
        <v>39610380</v>
      </c>
      <c r="AB65">
        <f t="shared" si="66"/>
        <v>138894.95000000001</v>
      </c>
      <c r="AC65">
        <f t="shared" si="67"/>
        <v>138894.95000000001</v>
      </c>
      <c r="AD65">
        <f t="shared" si="68"/>
        <v>0</v>
      </c>
      <c r="AE65">
        <f t="shared" si="69"/>
        <v>0</v>
      </c>
      <c r="AF65">
        <f t="shared" si="70"/>
        <v>0</v>
      </c>
      <c r="AG65">
        <f t="shared" si="71"/>
        <v>0</v>
      </c>
      <c r="AH65">
        <f t="shared" si="72"/>
        <v>0</v>
      </c>
      <c r="AI65">
        <f t="shared" si="73"/>
        <v>0</v>
      </c>
      <c r="AJ65">
        <f t="shared" si="74"/>
        <v>0</v>
      </c>
      <c r="AK65">
        <v>138894.95000000001</v>
      </c>
      <c r="AL65">
        <v>138894.95000000001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4.88</v>
      </c>
      <c r="BA65">
        <v>1</v>
      </c>
      <c r="BB65">
        <v>1</v>
      </c>
      <c r="BC65">
        <v>4.88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212</v>
      </c>
      <c r="BM65">
        <v>108001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5"/>
        <v>203342.21</v>
      </c>
      <c r="CQ65">
        <f t="shared" si="76"/>
        <v>677807.35600000003</v>
      </c>
      <c r="CR65">
        <f t="shared" si="77"/>
        <v>0</v>
      </c>
      <c r="CS65">
        <f t="shared" si="78"/>
        <v>0</v>
      </c>
      <c r="CT65">
        <f t="shared" si="79"/>
        <v>0</v>
      </c>
      <c r="CU65">
        <f t="shared" si="80"/>
        <v>0</v>
      </c>
      <c r="CV65">
        <f t="shared" si="81"/>
        <v>0</v>
      </c>
      <c r="CW65">
        <f t="shared" si="82"/>
        <v>0</v>
      </c>
      <c r="CX65">
        <f t="shared" si="83"/>
        <v>0</v>
      </c>
      <c r="CY65">
        <f t="shared" si="84"/>
        <v>0</v>
      </c>
      <c r="CZ65">
        <f t="shared" si="85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202</v>
      </c>
      <c r="DW65" t="s">
        <v>204</v>
      </c>
      <c r="DX65">
        <v>1</v>
      </c>
      <c r="EE65">
        <v>39174386</v>
      </c>
      <c r="EF65">
        <v>3</v>
      </c>
      <c r="EG65" t="s">
        <v>20</v>
      </c>
      <c r="EH65">
        <v>0</v>
      </c>
      <c r="EI65" t="s">
        <v>3</v>
      </c>
      <c r="EJ65">
        <v>2</v>
      </c>
      <c r="EK65">
        <v>108001</v>
      </c>
      <c r="EL65" t="s">
        <v>21</v>
      </c>
      <c r="EM65" t="s">
        <v>22</v>
      </c>
      <c r="EO65" t="s">
        <v>3</v>
      </c>
      <c r="EQ65">
        <v>0</v>
      </c>
      <c r="ER65">
        <v>138894.95000000001</v>
      </c>
      <c r="ES65">
        <v>138894.95000000001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6"/>
        <v>0</v>
      </c>
      <c r="FS65">
        <v>0</v>
      </c>
      <c r="FX65">
        <v>95</v>
      </c>
      <c r="FY65">
        <v>65</v>
      </c>
      <c r="GA65" t="s">
        <v>3</v>
      </c>
      <c r="GD65">
        <v>0</v>
      </c>
      <c r="GF65">
        <v>1034766100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87"/>
        <v>0</v>
      </c>
      <c r="GM65">
        <f t="shared" si="88"/>
        <v>203342.21</v>
      </c>
      <c r="GN65">
        <f t="shared" si="89"/>
        <v>0</v>
      </c>
      <c r="GO65">
        <f t="shared" si="90"/>
        <v>203342.21</v>
      </c>
      <c r="GP65">
        <f t="shared" si="91"/>
        <v>0</v>
      </c>
      <c r="GR65">
        <v>0</v>
      </c>
      <c r="GS65">
        <v>3</v>
      </c>
      <c r="GT65">
        <v>0</v>
      </c>
      <c r="GU65" t="s">
        <v>3</v>
      </c>
      <c r="GV65">
        <f t="shared" si="92"/>
        <v>0</v>
      </c>
      <c r="GW65">
        <v>1</v>
      </c>
      <c r="GX65">
        <f t="shared" si="93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222</v>
      </c>
      <c r="E66" t="s">
        <v>213</v>
      </c>
      <c r="F66" t="s">
        <v>214</v>
      </c>
      <c r="G66" t="s">
        <v>215</v>
      </c>
      <c r="H66" t="s">
        <v>202</v>
      </c>
      <c r="I66">
        <f>I64*J66</f>
        <v>0.3</v>
      </c>
      <c r="J66">
        <v>3.3333333333333333E-2</v>
      </c>
      <c r="O66">
        <f t="shared" si="55"/>
        <v>150081.78</v>
      </c>
      <c r="P66">
        <f t="shared" si="56"/>
        <v>150081.78</v>
      </c>
      <c r="Q66">
        <f t="shared" si="57"/>
        <v>0</v>
      </c>
      <c r="R66">
        <f t="shared" si="58"/>
        <v>0</v>
      </c>
      <c r="S66">
        <f t="shared" si="59"/>
        <v>0</v>
      </c>
      <c r="T66">
        <f t="shared" si="60"/>
        <v>0</v>
      </c>
      <c r="U66">
        <f t="shared" si="61"/>
        <v>0</v>
      </c>
      <c r="V66">
        <f t="shared" si="62"/>
        <v>0</v>
      </c>
      <c r="W66">
        <f t="shared" si="63"/>
        <v>0</v>
      </c>
      <c r="X66">
        <f t="shared" si="64"/>
        <v>0</v>
      </c>
      <c r="Y66">
        <f t="shared" si="65"/>
        <v>0</v>
      </c>
      <c r="AA66">
        <v>39610380</v>
      </c>
      <c r="AB66">
        <f t="shared" si="66"/>
        <v>102514.88</v>
      </c>
      <c r="AC66">
        <f t="shared" si="67"/>
        <v>102514.88</v>
      </c>
      <c r="AD66">
        <f t="shared" si="68"/>
        <v>0</v>
      </c>
      <c r="AE66">
        <f t="shared" si="69"/>
        <v>0</v>
      </c>
      <c r="AF66">
        <f t="shared" si="70"/>
        <v>0</v>
      </c>
      <c r="AG66">
        <f t="shared" si="71"/>
        <v>0</v>
      </c>
      <c r="AH66">
        <f t="shared" si="72"/>
        <v>0</v>
      </c>
      <c r="AI66">
        <f t="shared" si="73"/>
        <v>0</v>
      </c>
      <c r="AJ66">
        <f t="shared" si="74"/>
        <v>0</v>
      </c>
      <c r="AK66">
        <v>102514.88</v>
      </c>
      <c r="AL66">
        <v>102514.88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95</v>
      </c>
      <c r="AU66">
        <v>65</v>
      </c>
      <c r="AV66">
        <v>1</v>
      </c>
      <c r="AW66">
        <v>1</v>
      </c>
      <c r="AZ66">
        <v>4.88</v>
      </c>
      <c r="BA66">
        <v>1</v>
      </c>
      <c r="BB66">
        <v>1</v>
      </c>
      <c r="BC66">
        <v>4.88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2</v>
      </c>
      <c r="BJ66" t="s">
        <v>216</v>
      </c>
      <c r="BM66">
        <v>108001</v>
      </c>
      <c r="BN66">
        <v>0</v>
      </c>
      <c r="BO66" t="s">
        <v>3</v>
      </c>
      <c r="BP66">
        <v>0</v>
      </c>
      <c r="BQ66">
        <v>3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95</v>
      </c>
      <c r="CA66">
        <v>65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5"/>
        <v>150081.78</v>
      </c>
      <c r="CQ66">
        <f t="shared" si="76"/>
        <v>500272.61440000002</v>
      </c>
      <c r="CR66">
        <f t="shared" si="77"/>
        <v>0</v>
      </c>
      <c r="CS66">
        <f t="shared" si="78"/>
        <v>0</v>
      </c>
      <c r="CT66">
        <f t="shared" si="79"/>
        <v>0</v>
      </c>
      <c r="CU66">
        <f t="shared" si="80"/>
        <v>0</v>
      </c>
      <c r="CV66">
        <f t="shared" si="81"/>
        <v>0</v>
      </c>
      <c r="CW66">
        <f t="shared" si="82"/>
        <v>0</v>
      </c>
      <c r="CX66">
        <f t="shared" si="83"/>
        <v>0</v>
      </c>
      <c r="CY66">
        <f t="shared" si="84"/>
        <v>0</v>
      </c>
      <c r="CZ66">
        <f t="shared" si="85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1013</v>
      </c>
      <c r="DV66" t="s">
        <v>202</v>
      </c>
      <c r="DW66" t="s">
        <v>204</v>
      </c>
      <c r="DX66">
        <v>1</v>
      </c>
      <c r="EE66">
        <v>39174386</v>
      </c>
      <c r="EF66">
        <v>3</v>
      </c>
      <c r="EG66" t="s">
        <v>20</v>
      </c>
      <c r="EH66">
        <v>0</v>
      </c>
      <c r="EI66" t="s">
        <v>3</v>
      </c>
      <c r="EJ66">
        <v>2</v>
      </c>
      <c r="EK66">
        <v>108001</v>
      </c>
      <c r="EL66" t="s">
        <v>21</v>
      </c>
      <c r="EM66" t="s">
        <v>22</v>
      </c>
      <c r="EO66" t="s">
        <v>3</v>
      </c>
      <c r="EQ66">
        <v>0</v>
      </c>
      <c r="ER66">
        <v>102514.88</v>
      </c>
      <c r="ES66">
        <v>102514.88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86"/>
        <v>0</v>
      </c>
      <c r="FS66">
        <v>0</v>
      </c>
      <c r="FX66">
        <v>95</v>
      </c>
      <c r="FY66">
        <v>65</v>
      </c>
      <c r="GA66" t="s">
        <v>186</v>
      </c>
      <c r="GD66">
        <v>0</v>
      </c>
      <c r="GF66">
        <v>-614344224</v>
      </c>
      <c r="GG66">
        <v>1</v>
      </c>
      <c r="GH66">
        <v>0</v>
      </c>
      <c r="GI66">
        <v>4</v>
      </c>
      <c r="GJ66">
        <v>0</v>
      </c>
      <c r="GK66">
        <f>ROUND(R66*(R12)/100,2)</f>
        <v>0</v>
      </c>
      <c r="GL66">
        <f t="shared" si="87"/>
        <v>0</v>
      </c>
      <c r="GM66">
        <f t="shared" si="88"/>
        <v>150081.78</v>
      </c>
      <c r="GN66">
        <f t="shared" si="89"/>
        <v>0</v>
      </c>
      <c r="GO66">
        <f t="shared" si="90"/>
        <v>150081.78</v>
      </c>
      <c r="GP66">
        <f t="shared" si="91"/>
        <v>0</v>
      </c>
      <c r="GR66">
        <v>0</v>
      </c>
      <c r="GS66">
        <v>4</v>
      </c>
      <c r="GT66">
        <v>0</v>
      </c>
      <c r="GU66" t="s">
        <v>3</v>
      </c>
      <c r="GV66">
        <f t="shared" si="92"/>
        <v>0</v>
      </c>
      <c r="GW66">
        <v>1</v>
      </c>
      <c r="GX66">
        <f t="shared" si="93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221</v>
      </c>
      <c r="E67" t="s">
        <v>217</v>
      </c>
      <c r="F67" t="s">
        <v>218</v>
      </c>
      <c r="G67" t="s">
        <v>219</v>
      </c>
      <c r="H67" t="s">
        <v>202</v>
      </c>
      <c r="I67">
        <f>I64*J67</f>
        <v>0.3</v>
      </c>
      <c r="J67">
        <v>3.3333333333333333E-2</v>
      </c>
      <c r="O67">
        <f t="shared" si="55"/>
        <v>129389.23</v>
      </c>
      <c r="P67">
        <f t="shared" si="56"/>
        <v>129389.23</v>
      </c>
      <c r="Q67">
        <f t="shared" si="57"/>
        <v>0</v>
      </c>
      <c r="R67">
        <f t="shared" si="58"/>
        <v>0</v>
      </c>
      <c r="S67">
        <f t="shared" si="59"/>
        <v>0</v>
      </c>
      <c r="T67">
        <f t="shared" si="60"/>
        <v>0</v>
      </c>
      <c r="U67">
        <f t="shared" si="61"/>
        <v>0</v>
      </c>
      <c r="V67">
        <f t="shared" si="62"/>
        <v>0</v>
      </c>
      <c r="W67">
        <f t="shared" si="63"/>
        <v>0</v>
      </c>
      <c r="X67">
        <f t="shared" si="64"/>
        <v>0</v>
      </c>
      <c r="Y67">
        <f t="shared" si="65"/>
        <v>0</v>
      </c>
      <c r="AA67">
        <v>39610380</v>
      </c>
      <c r="AB67">
        <f t="shared" si="66"/>
        <v>88380.62</v>
      </c>
      <c r="AC67">
        <f t="shared" si="67"/>
        <v>88380.62</v>
      </c>
      <c r="AD67">
        <f t="shared" si="68"/>
        <v>0</v>
      </c>
      <c r="AE67">
        <f t="shared" si="69"/>
        <v>0</v>
      </c>
      <c r="AF67">
        <f t="shared" si="70"/>
        <v>0</v>
      </c>
      <c r="AG67">
        <f t="shared" si="71"/>
        <v>0</v>
      </c>
      <c r="AH67">
        <f t="shared" si="72"/>
        <v>0</v>
      </c>
      <c r="AI67">
        <f t="shared" si="73"/>
        <v>0</v>
      </c>
      <c r="AJ67">
        <f t="shared" si="74"/>
        <v>0</v>
      </c>
      <c r="AK67">
        <v>88380.62</v>
      </c>
      <c r="AL67">
        <v>88380.62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65</v>
      </c>
      <c r="AV67">
        <v>1</v>
      </c>
      <c r="AW67">
        <v>1</v>
      </c>
      <c r="AZ67">
        <v>4.88</v>
      </c>
      <c r="BA67">
        <v>1</v>
      </c>
      <c r="BB67">
        <v>1</v>
      </c>
      <c r="BC67">
        <v>4.88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2</v>
      </c>
      <c r="BJ67" t="s">
        <v>220</v>
      </c>
      <c r="BM67">
        <v>108001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95</v>
      </c>
      <c r="CA67">
        <v>65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5"/>
        <v>129389.23</v>
      </c>
      <c r="CQ67">
        <f t="shared" si="76"/>
        <v>431297.42559999996</v>
      </c>
      <c r="CR67">
        <f t="shared" si="77"/>
        <v>0</v>
      </c>
      <c r="CS67">
        <f t="shared" si="78"/>
        <v>0</v>
      </c>
      <c r="CT67">
        <f t="shared" si="79"/>
        <v>0</v>
      </c>
      <c r="CU67">
        <f t="shared" si="80"/>
        <v>0</v>
      </c>
      <c r="CV67">
        <f t="shared" si="81"/>
        <v>0</v>
      </c>
      <c r="CW67">
        <f t="shared" si="82"/>
        <v>0</v>
      </c>
      <c r="CX67">
        <f t="shared" si="83"/>
        <v>0</v>
      </c>
      <c r="CY67">
        <f t="shared" si="84"/>
        <v>0</v>
      </c>
      <c r="CZ67">
        <f t="shared" si="85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202</v>
      </c>
      <c r="DW67" t="s">
        <v>204</v>
      </c>
      <c r="DX67">
        <v>1</v>
      </c>
      <c r="EE67">
        <v>39174386</v>
      </c>
      <c r="EF67">
        <v>3</v>
      </c>
      <c r="EG67" t="s">
        <v>20</v>
      </c>
      <c r="EH67">
        <v>0</v>
      </c>
      <c r="EI67" t="s">
        <v>3</v>
      </c>
      <c r="EJ67">
        <v>2</v>
      </c>
      <c r="EK67">
        <v>108001</v>
      </c>
      <c r="EL67" t="s">
        <v>21</v>
      </c>
      <c r="EM67" t="s">
        <v>22</v>
      </c>
      <c r="EO67" t="s">
        <v>3</v>
      </c>
      <c r="EQ67">
        <v>0</v>
      </c>
      <c r="ER67">
        <v>88380.62</v>
      </c>
      <c r="ES67">
        <v>88380.62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6"/>
        <v>0</v>
      </c>
      <c r="FS67">
        <v>0</v>
      </c>
      <c r="FX67">
        <v>95</v>
      </c>
      <c r="FY67">
        <v>65</v>
      </c>
      <c r="GA67" t="s">
        <v>186</v>
      </c>
      <c r="GD67">
        <v>0</v>
      </c>
      <c r="GF67">
        <v>-1577402658</v>
      </c>
      <c r="GG67">
        <v>1</v>
      </c>
      <c r="GH67">
        <v>0</v>
      </c>
      <c r="GI67">
        <v>4</v>
      </c>
      <c r="GJ67">
        <v>0</v>
      </c>
      <c r="GK67">
        <f>ROUND(R67*(R12)/100,2)</f>
        <v>0</v>
      </c>
      <c r="GL67">
        <f t="shared" si="87"/>
        <v>0</v>
      </c>
      <c r="GM67">
        <f t="shared" si="88"/>
        <v>129389.23</v>
      </c>
      <c r="GN67">
        <f t="shared" si="89"/>
        <v>0</v>
      </c>
      <c r="GO67">
        <f t="shared" si="90"/>
        <v>129389.23</v>
      </c>
      <c r="GP67">
        <f t="shared" si="91"/>
        <v>0</v>
      </c>
      <c r="GR67">
        <v>0</v>
      </c>
      <c r="GS67">
        <v>4</v>
      </c>
      <c r="GT67">
        <v>0</v>
      </c>
      <c r="GU67" t="s">
        <v>3</v>
      </c>
      <c r="GV67">
        <f t="shared" si="92"/>
        <v>0</v>
      </c>
      <c r="GW67">
        <v>1</v>
      </c>
      <c r="GX67">
        <f t="shared" si="93"/>
        <v>0</v>
      </c>
      <c r="HA67">
        <v>0</v>
      </c>
      <c r="HB67">
        <v>0</v>
      </c>
      <c r="IK67">
        <v>0</v>
      </c>
    </row>
    <row r="68" spans="1:245" x14ac:dyDescent="0.2">
      <c r="A68">
        <v>17</v>
      </c>
      <c r="B68">
        <v>1</v>
      </c>
      <c r="C68">
        <f>ROW(SmtRes!A228)</f>
        <v>228</v>
      </c>
      <c r="D68">
        <f>ROW(EtalonRes!A208)</f>
        <v>208</v>
      </c>
      <c r="E68" t="s">
        <v>221</v>
      </c>
      <c r="F68" t="s">
        <v>222</v>
      </c>
      <c r="G68" t="s">
        <v>223</v>
      </c>
      <c r="H68" t="s">
        <v>36</v>
      </c>
      <c r="I68">
        <f>ROUND(200/100,9)</f>
        <v>2</v>
      </c>
      <c r="J68">
        <v>0</v>
      </c>
      <c r="O68">
        <f t="shared" si="55"/>
        <v>1525.78</v>
      </c>
      <c r="P68">
        <f t="shared" si="56"/>
        <v>163.87</v>
      </c>
      <c r="Q68">
        <f t="shared" si="57"/>
        <v>0</v>
      </c>
      <c r="R68">
        <f t="shared" si="58"/>
        <v>0</v>
      </c>
      <c r="S68">
        <f t="shared" si="59"/>
        <v>1361.91</v>
      </c>
      <c r="T68">
        <f t="shared" si="60"/>
        <v>0</v>
      </c>
      <c r="U68">
        <f t="shared" si="61"/>
        <v>30.4</v>
      </c>
      <c r="V68">
        <f t="shared" si="62"/>
        <v>0</v>
      </c>
      <c r="W68">
        <f t="shared" si="63"/>
        <v>0</v>
      </c>
      <c r="X68">
        <f t="shared" si="64"/>
        <v>1293.81</v>
      </c>
      <c r="Y68">
        <f t="shared" si="65"/>
        <v>885.24</v>
      </c>
      <c r="AA68">
        <v>39610380</v>
      </c>
      <c r="AB68">
        <f t="shared" si="66"/>
        <v>156.33000000000001</v>
      </c>
      <c r="AC68">
        <f t="shared" si="67"/>
        <v>16.79</v>
      </c>
      <c r="AD68">
        <f t="shared" si="68"/>
        <v>0</v>
      </c>
      <c r="AE68">
        <f t="shared" si="69"/>
        <v>0</v>
      </c>
      <c r="AF68">
        <f t="shared" si="70"/>
        <v>139.54</v>
      </c>
      <c r="AG68">
        <f t="shared" si="71"/>
        <v>0</v>
      </c>
      <c r="AH68">
        <f t="shared" si="72"/>
        <v>15.2</v>
      </c>
      <c r="AI68">
        <f t="shared" si="73"/>
        <v>0</v>
      </c>
      <c r="AJ68">
        <f t="shared" si="74"/>
        <v>0</v>
      </c>
      <c r="AK68">
        <v>156.33000000000001</v>
      </c>
      <c r="AL68">
        <v>16.79</v>
      </c>
      <c r="AM68">
        <v>0</v>
      </c>
      <c r="AN68">
        <v>0</v>
      </c>
      <c r="AO68">
        <v>139.54</v>
      </c>
      <c r="AP68">
        <v>0</v>
      </c>
      <c r="AQ68">
        <v>15.2</v>
      </c>
      <c r="AR68">
        <v>0</v>
      </c>
      <c r="AS68">
        <v>0</v>
      </c>
      <c r="AT68">
        <v>95</v>
      </c>
      <c r="AU68">
        <v>65</v>
      </c>
      <c r="AV68">
        <v>1</v>
      </c>
      <c r="AW68">
        <v>1</v>
      </c>
      <c r="AZ68">
        <v>4.88</v>
      </c>
      <c r="BA68">
        <v>4.88</v>
      </c>
      <c r="BB68">
        <v>4.88</v>
      </c>
      <c r="BC68">
        <v>4.88</v>
      </c>
      <c r="BD68" t="s">
        <v>3</v>
      </c>
      <c r="BE68" t="s">
        <v>3</v>
      </c>
      <c r="BF68" t="s">
        <v>3</v>
      </c>
      <c r="BG68" t="s">
        <v>3</v>
      </c>
      <c r="BH68">
        <v>0</v>
      </c>
      <c r="BI68">
        <v>2</v>
      </c>
      <c r="BJ68" t="s">
        <v>224</v>
      </c>
      <c r="BM68">
        <v>108001</v>
      </c>
      <c r="BN68">
        <v>0</v>
      </c>
      <c r="BO68" t="s">
        <v>3</v>
      </c>
      <c r="BP68">
        <v>0</v>
      </c>
      <c r="BQ68">
        <v>3</v>
      </c>
      <c r="BR68">
        <v>0</v>
      </c>
      <c r="BS68">
        <v>4.88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95</v>
      </c>
      <c r="CA68">
        <v>65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5"/>
        <v>1525.7800000000002</v>
      </c>
      <c r="CQ68">
        <f t="shared" si="76"/>
        <v>81.935199999999995</v>
      </c>
      <c r="CR68">
        <f t="shared" si="77"/>
        <v>0</v>
      </c>
      <c r="CS68">
        <f t="shared" si="78"/>
        <v>0</v>
      </c>
      <c r="CT68">
        <f t="shared" si="79"/>
        <v>680.95519999999999</v>
      </c>
      <c r="CU68">
        <f t="shared" si="80"/>
        <v>0</v>
      </c>
      <c r="CV68">
        <f t="shared" si="81"/>
        <v>15.2</v>
      </c>
      <c r="CW68">
        <f t="shared" si="82"/>
        <v>0</v>
      </c>
      <c r="CX68">
        <f t="shared" si="83"/>
        <v>0</v>
      </c>
      <c r="CY68">
        <f t="shared" si="84"/>
        <v>1293.8145000000002</v>
      </c>
      <c r="CZ68">
        <f t="shared" si="85"/>
        <v>885.24150000000009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1003</v>
      </c>
      <c r="DV68" t="s">
        <v>36</v>
      </c>
      <c r="DW68" t="s">
        <v>36</v>
      </c>
      <c r="DX68">
        <v>100</v>
      </c>
      <c r="EE68">
        <v>39174386</v>
      </c>
      <c r="EF68">
        <v>3</v>
      </c>
      <c r="EG68" t="s">
        <v>20</v>
      </c>
      <c r="EH68">
        <v>0</v>
      </c>
      <c r="EI68" t="s">
        <v>3</v>
      </c>
      <c r="EJ68">
        <v>2</v>
      </c>
      <c r="EK68">
        <v>108001</v>
      </c>
      <c r="EL68" t="s">
        <v>21</v>
      </c>
      <c r="EM68" t="s">
        <v>22</v>
      </c>
      <c r="EO68" t="s">
        <v>3</v>
      </c>
      <c r="EQ68">
        <v>0</v>
      </c>
      <c r="ER68">
        <v>156.33000000000001</v>
      </c>
      <c r="ES68">
        <v>16.79</v>
      </c>
      <c r="ET68">
        <v>0</v>
      </c>
      <c r="EU68">
        <v>0</v>
      </c>
      <c r="EV68">
        <v>139.54</v>
      </c>
      <c r="EW68">
        <v>15.2</v>
      </c>
      <c r="EX68">
        <v>0</v>
      </c>
      <c r="EY68">
        <v>0</v>
      </c>
      <c r="FQ68">
        <v>0</v>
      </c>
      <c r="FR68">
        <f t="shared" si="86"/>
        <v>0</v>
      </c>
      <c r="FS68">
        <v>0</v>
      </c>
      <c r="FX68">
        <v>95</v>
      </c>
      <c r="FY68">
        <v>65</v>
      </c>
      <c r="GA68" t="s">
        <v>3</v>
      </c>
      <c r="GD68">
        <v>0</v>
      </c>
      <c r="GF68">
        <v>-596386547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87"/>
        <v>0</v>
      </c>
      <c r="GM68">
        <f t="shared" si="88"/>
        <v>3704.83</v>
      </c>
      <c r="GN68">
        <f t="shared" si="89"/>
        <v>0</v>
      </c>
      <c r="GO68">
        <f t="shared" si="90"/>
        <v>3704.83</v>
      </c>
      <c r="GP68">
        <f t="shared" si="91"/>
        <v>0</v>
      </c>
      <c r="GR68">
        <v>0</v>
      </c>
      <c r="GS68">
        <v>3</v>
      </c>
      <c r="GT68">
        <v>0</v>
      </c>
      <c r="GU68" t="s">
        <v>3</v>
      </c>
      <c r="GV68">
        <f t="shared" si="92"/>
        <v>0</v>
      </c>
      <c r="GW68">
        <v>1</v>
      </c>
      <c r="GX68">
        <f t="shared" si="93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227</v>
      </c>
      <c r="E69" t="s">
        <v>225</v>
      </c>
      <c r="F69" t="s">
        <v>226</v>
      </c>
      <c r="G69" t="s">
        <v>227</v>
      </c>
      <c r="H69" t="s">
        <v>228</v>
      </c>
      <c r="I69">
        <f>I68*J69</f>
        <v>20</v>
      </c>
      <c r="J69">
        <v>10</v>
      </c>
      <c r="O69">
        <f t="shared" si="55"/>
        <v>3874.72</v>
      </c>
      <c r="P69">
        <f t="shared" si="56"/>
        <v>3874.72</v>
      </c>
      <c r="Q69">
        <f t="shared" si="57"/>
        <v>0</v>
      </c>
      <c r="R69">
        <f t="shared" si="58"/>
        <v>0</v>
      </c>
      <c r="S69">
        <f t="shared" si="59"/>
        <v>0</v>
      </c>
      <c r="T69">
        <f t="shared" si="60"/>
        <v>0</v>
      </c>
      <c r="U69">
        <f t="shared" si="61"/>
        <v>0</v>
      </c>
      <c r="V69">
        <f t="shared" si="62"/>
        <v>0</v>
      </c>
      <c r="W69">
        <f t="shared" si="63"/>
        <v>0</v>
      </c>
      <c r="X69">
        <f t="shared" si="64"/>
        <v>0</v>
      </c>
      <c r="Y69">
        <f t="shared" si="65"/>
        <v>0</v>
      </c>
      <c r="AA69">
        <v>39610380</v>
      </c>
      <c r="AB69">
        <f t="shared" si="66"/>
        <v>39.700000000000003</v>
      </c>
      <c r="AC69">
        <f t="shared" si="67"/>
        <v>39.700000000000003</v>
      </c>
      <c r="AD69">
        <f t="shared" si="68"/>
        <v>0</v>
      </c>
      <c r="AE69">
        <f t="shared" si="69"/>
        <v>0</v>
      </c>
      <c r="AF69">
        <f t="shared" si="70"/>
        <v>0</v>
      </c>
      <c r="AG69">
        <f t="shared" si="71"/>
        <v>0</v>
      </c>
      <c r="AH69">
        <f t="shared" si="72"/>
        <v>0</v>
      </c>
      <c r="AI69">
        <f t="shared" si="73"/>
        <v>0</v>
      </c>
      <c r="AJ69">
        <f t="shared" si="74"/>
        <v>0</v>
      </c>
      <c r="AK69">
        <v>39.700000000000003</v>
      </c>
      <c r="AL69">
        <v>39.700000000000003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4.88</v>
      </c>
      <c r="BA69">
        <v>1</v>
      </c>
      <c r="BB69">
        <v>1</v>
      </c>
      <c r="BC69">
        <v>4.88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2</v>
      </c>
      <c r="BJ69" t="s">
        <v>229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5"/>
        <v>3874.72</v>
      </c>
      <c r="CQ69">
        <f t="shared" si="76"/>
        <v>193.73600000000002</v>
      </c>
      <c r="CR69">
        <f t="shared" si="77"/>
        <v>0</v>
      </c>
      <c r="CS69">
        <f t="shared" si="78"/>
        <v>0</v>
      </c>
      <c r="CT69">
        <f t="shared" si="79"/>
        <v>0</v>
      </c>
      <c r="CU69">
        <f t="shared" si="80"/>
        <v>0</v>
      </c>
      <c r="CV69">
        <f t="shared" si="81"/>
        <v>0</v>
      </c>
      <c r="CW69">
        <f t="shared" si="82"/>
        <v>0</v>
      </c>
      <c r="CX69">
        <f t="shared" si="83"/>
        <v>0</v>
      </c>
      <c r="CY69">
        <f t="shared" si="84"/>
        <v>0</v>
      </c>
      <c r="CZ69">
        <f t="shared" si="85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228</v>
      </c>
      <c r="DW69" t="s">
        <v>228</v>
      </c>
      <c r="DX69">
        <v>10</v>
      </c>
      <c r="EE69">
        <v>39174386</v>
      </c>
      <c r="EF69">
        <v>3</v>
      </c>
      <c r="EG69" t="s">
        <v>20</v>
      </c>
      <c r="EH69">
        <v>0</v>
      </c>
      <c r="EI69" t="s">
        <v>3</v>
      </c>
      <c r="EJ69">
        <v>2</v>
      </c>
      <c r="EK69">
        <v>108001</v>
      </c>
      <c r="EL69" t="s">
        <v>21</v>
      </c>
      <c r="EM69" t="s">
        <v>22</v>
      </c>
      <c r="EO69" t="s">
        <v>3</v>
      </c>
      <c r="EQ69">
        <v>0</v>
      </c>
      <c r="ER69">
        <v>39.700000000000003</v>
      </c>
      <c r="ES69">
        <v>39.700000000000003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6"/>
        <v>0</v>
      </c>
      <c r="FS69">
        <v>0</v>
      </c>
      <c r="FX69">
        <v>95</v>
      </c>
      <c r="FY69">
        <v>65</v>
      </c>
      <c r="GA69" t="s">
        <v>186</v>
      </c>
      <c r="GD69">
        <v>0</v>
      </c>
      <c r="GF69">
        <v>897518530</v>
      </c>
      <c r="GG69">
        <v>1</v>
      </c>
      <c r="GH69">
        <v>0</v>
      </c>
      <c r="GI69">
        <v>4</v>
      </c>
      <c r="GJ69">
        <v>0</v>
      </c>
      <c r="GK69">
        <f>ROUND(R69*(R12)/100,2)</f>
        <v>0</v>
      </c>
      <c r="GL69">
        <f t="shared" si="87"/>
        <v>0</v>
      </c>
      <c r="GM69">
        <f t="shared" si="88"/>
        <v>3874.72</v>
      </c>
      <c r="GN69">
        <f t="shared" si="89"/>
        <v>0</v>
      </c>
      <c r="GO69">
        <f t="shared" si="90"/>
        <v>3874.72</v>
      </c>
      <c r="GP69">
        <f t="shared" si="91"/>
        <v>0</v>
      </c>
      <c r="GR69">
        <v>0</v>
      </c>
      <c r="GS69">
        <v>4</v>
      </c>
      <c r="GT69">
        <v>0</v>
      </c>
      <c r="GU69" t="s">
        <v>3</v>
      </c>
      <c r="GV69">
        <f t="shared" si="92"/>
        <v>0</v>
      </c>
      <c r="GW69">
        <v>1</v>
      </c>
      <c r="GX69">
        <f t="shared" si="93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ROW(SmtRes!A237)</f>
        <v>237</v>
      </c>
      <c r="D70">
        <f>ROW(EtalonRes!A216)</f>
        <v>216</v>
      </c>
      <c r="E70" t="s">
        <v>230</v>
      </c>
      <c r="F70" t="s">
        <v>231</v>
      </c>
      <c r="G70" t="s">
        <v>232</v>
      </c>
      <c r="H70" t="s">
        <v>36</v>
      </c>
      <c r="I70">
        <f>ROUND(20/100,9)</f>
        <v>0.2</v>
      </c>
      <c r="J70">
        <v>0</v>
      </c>
      <c r="O70">
        <f t="shared" si="55"/>
        <v>1088.73</v>
      </c>
      <c r="P70">
        <f t="shared" si="56"/>
        <v>873.53</v>
      </c>
      <c r="Q70">
        <f t="shared" si="57"/>
        <v>62.9</v>
      </c>
      <c r="R70">
        <f t="shared" si="58"/>
        <v>5.39</v>
      </c>
      <c r="S70">
        <f t="shared" si="59"/>
        <v>152.30000000000001</v>
      </c>
      <c r="T70">
        <f t="shared" si="60"/>
        <v>0</v>
      </c>
      <c r="U70">
        <f t="shared" si="61"/>
        <v>3.3200000000000003</v>
      </c>
      <c r="V70">
        <f t="shared" si="62"/>
        <v>8.8000000000000009E-2</v>
      </c>
      <c r="W70">
        <f t="shared" si="63"/>
        <v>0</v>
      </c>
      <c r="X70">
        <f t="shared" si="64"/>
        <v>149.81</v>
      </c>
      <c r="Y70">
        <f t="shared" si="65"/>
        <v>102.5</v>
      </c>
      <c r="AA70">
        <v>39610380</v>
      </c>
      <c r="AB70">
        <f t="shared" si="66"/>
        <v>1115.5</v>
      </c>
      <c r="AC70">
        <f t="shared" si="67"/>
        <v>895.01</v>
      </c>
      <c r="AD70">
        <f t="shared" si="68"/>
        <v>64.45</v>
      </c>
      <c r="AE70">
        <f t="shared" si="69"/>
        <v>5.52</v>
      </c>
      <c r="AF70">
        <f t="shared" si="70"/>
        <v>156.04</v>
      </c>
      <c r="AG70">
        <f t="shared" si="71"/>
        <v>0</v>
      </c>
      <c r="AH70">
        <f t="shared" si="72"/>
        <v>16.600000000000001</v>
      </c>
      <c r="AI70">
        <f t="shared" si="73"/>
        <v>0.44</v>
      </c>
      <c r="AJ70">
        <f t="shared" si="74"/>
        <v>0</v>
      </c>
      <c r="AK70">
        <v>1115.5</v>
      </c>
      <c r="AL70">
        <v>895.01</v>
      </c>
      <c r="AM70">
        <v>64.45</v>
      </c>
      <c r="AN70">
        <v>5.52</v>
      </c>
      <c r="AO70">
        <v>156.04</v>
      </c>
      <c r="AP70">
        <v>0</v>
      </c>
      <c r="AQ70">
        <v>16.600000000000001</v>
      </c>
      <c r="AR70">
        <v>0.44</v>
      </c>
      <c r="AS70">
        <v>0</v>
      </c>
      <c r="AT70">
        <v>95</v>
      </c>
      <c r="AU70">
        <v>65</v>
      </c>
      <c r="AV70">
        <v>1</v>
      </c>
      <c r="AW70">
        <v>1</v>
      </c>
      <c r="AZ70">
        <v>4.88</v>
      </c>
      <c r="BA70">
        <v>4.88</v>
      </c>
      <c r="BB70">
        <v>4.88</v>
      </c>
      <c r="BC70">
        <v>4.88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2</v>
      </c>
      <c r="BJ70" t="s">
        <v>233</v>
      </c>
      <c r="BM70">
        <v>108001</v>
      </c>
      <c r="BN70">
        <v>0</v>
      </c>
      <c r="BO70" t="s">
        <v>3</v>
      </c>
      <c r="BP70">
        <v>0</v>
      </c>
      <c r="BQ70">
        <v>3</v>
      </c>
      <c r="BR70">
        <v>0</v>
      </c>
      <c r="BS70">
        <v>4.88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65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5"/>
        <v>1088.73</v>
      </c>
      <c r="CQ70">
        <f t="shared" si="76"/>
        <v>4367.6487999999999</v>
      </c>
      <c r="CR70">
        <f t="shared" si="77"/>
        <v>314.51600000000002</v>
      </c>
      <c r="CS70">
        <f t="shared" si="78"/>
        <v>26.937599999999996</v>
      </c>
      <c r="CT70">
        <f t="shared" si="79"/>
        <v>761.47519999999997</v>
      </c>
      <c r="CU70">
        <f t="shared" si="80"/>
        <v>0</v>
      </c>
      <c r="CV70">
        <f t="shared" si="81"/>
        <v>16.600000000000001</v>
      </c>
      <c r="CW70">
        <f t="shared" si="82"/>
        <v>0.44</v>
      </c>
      <c r="CX70">
        <f t="shared" si="83"/>
        <v>0</v>
      </c>
      <c r="CY70">
        <f t="shared" si="84"/>
        <v>149.80549999999999</v>
      </c>
      <c r="CZ70">
        <f t="shared" si="85"/>
        <v>102.49850000000001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1003</v>
      </c>
      <c r="DV70" t="s">
        <v>36</v>
      </c>
      <c r="DW70" t="s">
        <v>36</v>
      </c>
      <c r="DX70">
        <v>100</v>
      </c>
      <c r="EE70">
        <v>39174386</v>
      </c>
      <c r="EF70">
        <v>3</v>
      </c>
      <c r="EG70" t="s">
        <v>20</v>
      </c>
      <c r="EH70">
        <v>0</v>
      </c>
      <c r="EI70" t="s">
        <v>3</v>
      </c>
      <c r="EJ70">
        <v>2</v>
      </c>
      <c r="EK70">
        <v>108001</v>
      </c>
      <c r="EL70" t="s">
        <v>21</v>
      </c>
      <c r="EM70" t="s">
        <v>22</v>
      </c>
      <c r="EO70" t="s">
        <v>3</v>
      </c>
      <c r="EQ70">
        <v>0</v>
      </c>
      <c r="ER70">
        <v>1115.5</v>
      </c>
      <c r="ES70">
        <v>895.01</v>
      </c>
      <c r="ET70">
        <v>64.45</v>
      </c>
      <c r="EU70">
        <v>5.52</v>
      </c>
      <c r="EV70">
        <v>156.04</v>
      </c>
      <c r="EW70">
        <v>16.600000000000001</v>
      </c>
      <c r="EX70">
        <v>0.44</v>
      </c>
      <c r="EY70">
        <v>0</v>
      </c>
      <c r="FQ70">
        <v>0</v>
      </c>
      <c r="FR70">
        <f t="shared" si="86"/>
        <v>0</v>
      </c>
      <c r="FS70">
        <v>0</v>
      </c>
      <c r="FX70">
        <v>95</v>
      </c>
      <c r="FY70">
        <v>65</v>
      </c>
      <c r="GA70" t="s">
        <v>3</v>
      </c>
      <c r="GD70">
        <v>0</v>
      </c>
      <c r="GF70">
        <v>-211123153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87"/>
        <v>0</v>
      </c>
      <c r="GM70">
        <f t="shared" si="88"/>
        <v>1341.04</v>
      </c>
      <c r="GN70">
        <f t="shared" si="89"/>
        <v>0</v>
      </c>
      <c r="GO70">
        <f t="shared" si="90"/>
        <v>1341.04</v>
      </c>
      <c r="GP70">
        <f t="shared" si="91"/>
        <v>0</v>
      </c>
      <c r="GR70">
        <v>0</v>
      </c>
      <c r="GS70">
        <v>3</v>
      </c>
      <c r="GT70">
        <v>0</v>
      </c>
      <c r="GU70" t="s">
        <v>3</v>
      </c>
      <c r="GV70">
        <f t="shared" si="92"/>
        <v>0</v>
      </c>
      <c r="GW70">
        <v>1</v>
      </c>
      <c r="GX70">
        <f t="shared" si="93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235</v>
      </c>
      <c r="E71" t="s">
        <v>234</v>
      </c>
      <c r="F71" t="s">
        <v>235</v>
      </c>
      <c r="G71" t="s">
        <v>236</v>
      </c>
      <c r="H71" t="s">
        <v>237</v>
      </c>
      <c r="I71">
        <f>I70*J71</f>
        <v>9.8000000000000004E-2</v>
      </c>
      <c r="J71">
        <v>0.49</v>
      </c>
      <c r="O71">
        <f t="shared" si="55"/>
        <v>2917.26</v>
      </c>
      <c r="P71">
        <f t="shared" si="56"/>
        <v>2917.26</v>
      </c>
      <c r="Q71">
        <f t="shared" si="57"/>
        <v>0</v>
      </c>
      <c r="R71">
        <f t="shared" si="58"/>
        <v>0</v>
      </c>
      <c r="S71">
        <f t="shared" si="59"/>
        <v>0</v>
      </c>
      <c r="T71">
        <f t="shared" si="60"/>
        <v>0</v>
      </c>
      <c r="U71">
        <f t="shared" si="61"/>
        <v>0</v>
      </c>
      <c r="V71">
        <f t="shared" si="62"/>
        <v>0</v>
      </c>
      <c r="W71">
        <f t="shared" si="63"/>
        <v>0</v>
      </c>
      <c r="X71">
        <f t="shared" si="64"/>
        <v>0</v>
      </c>
      <c r="Y71">
        <f t="shared" si="65"/>
        <v>0</v>
      </c>
      <c r="AA71">
        <v>39610380</v>
      </c>
      <c r="AB71">
        <f t="shared" si="66"/>
        <v>6100</v>
      </c>
      <c r="AC71">
        <f t="shared" si="67"/>
        <v>6100</v>
      </c>
      <c r="AD71">
        <f t="shared" si="68"/>
        <v>0</v>
      </c>
      <c r="AE71">
        <f t="shared" si="69"/>
        <v>0</v>
      </c>
      <c r="AF71">
        <f t="shared" si="70"/>
        <v>0</v>
      </c>
      <c r="AG71">
        <f t="shared" si="71"/>
        <v>0</v>
      </c>
      <c r="AH71">
        <f t="shared" si="72"/>
        <v>0</v>
      </c>
      <c r="AI71">
        <f t="shared" si="73"/>
        <v>0</v>
      </c>
      <c r="AJ71">
        <f t="shared" si="74"/>
        <v>0</v>
      </c>
      <c r="AK71">
        <v>6100</v>
      </c>
      <c r="AL71">
        <v>6100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4.88</v>
      </c>
      <c r="BA71">
        <v>1</v>
      </c>
      <c r="BB71">
        <v>1</v>
      </c>
      <c r="BC71">
        <v>4.88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238</v>
      </c>
      <c r="BM71">
        <v>108001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65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5"/>
        <v>2917.26</v>
      </c>
      <c r="CQ71">
        <f t="shared" si="76"/>
        <v>29768</v>
      </c>
      <c r="CR71">
        <f t="shared" si="77"/>
        <v>0</v>
      </c>
      <c r="CS71">
        <f t="shared" si="78"/>
        <v>0</v>
      </c>
      <c r="CT71">
        <f t="shared" si="79"/>
        <v>0</v>
      </c>
      <c r="CU71">
        <f t="shared" si="80"/>
        <v>0</v>
      </c>
      <c r="CV71">
        <f t="shared" si="81"/>
        <v>0</v>
      </c>
      <c r="CW71">
        <f t="shared" si="82"/>
        <v>0</v>
      </c>
      <c r="CX71">
        <f t="shared" si="83"/>
        <v>0</v>
      </c>
      <c r="CY71">
        <f t="shared" si="84"/>
        <v>0</v>
      </c>
      <c r="CZ71">
        <f t="shared" si="85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237</v>
      </c>
      <c r="DW71" t="s">
        <v>237</v>
      </c>
      <c r="DX71">
        <v>1000</v>
      </c>
      <c r="EE71">
        <v>39174386</v>
      </c>
      <c r="EF71">
        <v>3</v>
      </c>
      <c r="EG71" t="s">
        <v>20</v>
      </c>
      <c r="EH71">
        <v>0</v>
      </c>
      <c r="EI71" t="s">
        <v>3</v>
      </c>
      <c r="EJ71">
        <v>2</v>
      </c>
      <c r="EK71">
        <v>108001</v>
      </c>
      <c r="EL71" t="s">
        <v>21</v>
      </c>
      <c r="EM71" t="s">
        <v>22</v>
      </c>
      <c r="EO71" t="s">
        <v>3</v>
      </c>
      <c r="EQ71">
        <v>0</v>
      </c>
      <c r="ER71">
        <v>6100</v>
      </c>
      <c r="ES71">
        <v>6100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6"/>
        <v>0</v>
      </c>
      <c r="FS71">
        <v>0</v>
      </c>
      <c r="FX71">
        <v>95</v>
      </c>
      <c r="FY71">
        <v>65</v>
      </c>
      <c r="GA71" t="s">
        <v>3</v>
      </c>
      <c r="GD71">
        <v>0</v>
      </c>
      <c r="GF71">
        <v>-512066668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87"/>
        <v>0</v>
      </c>
      <c r="GM71">
        <f t="shared" si="88"/>
        <v>2917.26</v>
      </c>
      <c r="GN71">
        <f t="shared" si="89"/>
        <v>0</v>
      </c>
      <c r="GO71">
        <f t="shared" si="90"/>
        <v>2917.26</v>
      </c>
      <c r="GP71">
        <f t="shared" si="91"/>
        <v>0</v>
      </c>
      <c r="GR71">
        <v>0</v>
      </c>
      <c r="GS71">
        <v>3</v>
      </c>
      <c r="GT71">
        <v>0</v>
      </c>
      <c r="GU71" t="s">
        <v>3</v>
      </c>
      <c r="GV71">
        <f t="shared" si="92"/>
        <v>0</v>
      </c>
      <c r="GW71">
        <v>1</v>
      </c>
      <c r="GX71">
        <f t="shared" si="93"/>
        <v>0</v>
      </c>
      <c r="HA71">
        <v>0</v>
      </c>
      <c r="HB71">
        <v>0</v>
      </c>
      <c r="IK71">
        <v>0</v>
      </c>
    </row>
    <row r="72" spans="1:245" x14ac:dyDescent="0.2">
      <c r="A72">
        <v>17</v>
      </c>
      <c r="B72">
        <v>1</v>
      </c>
      <c r="C72">
        <f>ROW(SmtRes!A248)</f>
        <v>248</v>
      </c>
      <c r="D72">
        <f>ROW(EtalonRes!A226)</f>
        <v>226</v>
      </c>
      <c r="E72" t="s">
        <v>239</v>
      </c>
      <c r="F72" t="s">
        <v>240</v>
      </c>
      <c r="G72" t="s">
        <v>241</v>
      </c>
      <c r="H72" t="s">
        <v>36</v>
      </c>
      <c r="I72">
        <f>ROUND(200/100,9)</f>
        <v>2</v>
      </c>
      <c r="J72">
        <v>0</v>
      </c>
      <c r="O72">
        <f t="shared" si="55"/>
        <v>670.51</v>
      </c>
      <c r="P72">
        <f t="shared" si="56"/>
        <v>141.32</v>
      </c>
      <c r="Q72">
        <f t="shared" si="57"/>
        <v>34.65</v>
      </c>
      <c r="R72">
        <f t="shared" si="58"/>
        <v>4.88</v>
      </c>
      <c r="S72">
        <f t="shared" si="59"/>
        <v>494.54</v>
      </c>
      <c r="T72">
        <f t="shared" si="60"/>
        <v>0</v>
      </c>
      <c r="U72">
        <f t="shared" si="61"/>
        <v>10.78</v>
      </c>
      <c r="V72">
        <f t="shared" si="62"/>
        <v>0.08</v>
      </c>
      <c r="W72">
        <f t="shared" si="63"/>
        <v>0</v>
      </c>
      <c r="X72">
        <f t="shared" si="64"/>
        <v>474.45</v>
      </c>
      <c r="Y72">
        <f t="shared" si="65"/>
        <v>324.62</v>
      </c>
      <c r="AA72">
        <v>39610380</v>
      </c>
      <c r="AB72">
        <f t="shared" si="66"/>
        <v>68.7</v>
      </c>
      <c r="AC72">
        <f t="shared" si="67"/>
        <v>14.48</v>
      </c>
      <c r="AD72">
        <f t="shared" si="68"/>
        <v>3.55</v>
      </c>
      <c r="AE72">
        <f t="shared" si="69"/>
        <v>0.5</v>
      </c>
      <c r="AF72">
        <f t="shared" si="70"/>
        <v>50.67</v>
      </c>
      <c r="AG72">
        <f t="shared" si="71"/>
        <v>0</v>
      </c>
      <c r="AH72">
        <f t="shared" si="72"/>
        <v>5.39</v>
      </c>
      <c r="AI72">
        <f t="shared" si="73"/>
        <v>0.04</v>
      </c>
      <c r="AJ72">
        <f t="shared" si="74"/>
        <v>0</v>
      </c>
      <c r="AK72">
        <v>68.7</v>
      </c>
      <c r="AL72">
        <v>14.48</v>
      </c>
      <c r="AM72">
        <v>3.55</v>
      </c>
      <c r="AN72">
        <v>0.5</v>
      </c>
      <c r="AO72">
        <v>50.67</v>
      </c>
      <c r="AP72">
        <v>0</v>
      </c>
      <c r="AQ72">
        <v>5.39</v>
      </c>
      <c r="AR72">
        <v>0.04</v>
      </c>
      <c r="AS72">
        <v>0</v>
      </c>
      <c r="AT72">
        <v>95</v>
      </c>
      <c r="AU72">
        <v>65</v>
      </c>
      <c r="AV72">
        <v>1</v>
      </c>
      <c r="AW72">
        <v>1</v>
      </c>
      <c r="AZ72">
        <v>4.88</v>
      </c>
      <c r="BA72">
        <v>4.88</v>
      </c>
      <c r="BB72">
        <v>4.88</v>
      </c>
      <c r="BC72">
        <v>4.88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2</v>
      </c>
      <c r="BJ72" t="s">
        <v>242</v>
      </c>
      <c r="BM72">
        <v>108001</v>
      </c>
      <c r="BN72">
        <v>0</v>
      </c>
      <c r="BO72" t="s">
        <v>3</v>
      </c>
      <c r="BP72">
        <v>0</v>
      </c>
      <c r="BQ72">
        <v>3</v>
      </c>
      <c r="BR72">
        <v>0</v>
      </c>
      <c r="BS72">
        <v>4.88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95</v>
      </c>
      <c r="CA72">
        <v>65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5"/>
        <v>670.51</v>
      </c>
      <c r="CQ72">
        <f t="shared" si="76"/>
        <v>70.662400000000005</v>
      </c>
      <c r="CR72">
        <f t="shared" si="77"/>
        <v>17.323999999999998</v>
      </c>
      <c r="CS72">
        <f t="shared" si="78"/>
        <v>2.44</v>
      </c>
      <c r="CT72">
        <f t="shared" si="79"/>
        <v>247.2696</v>
      </c>
      <c r="CU72">
        <f t="shared" si="80"/>
        <v>0</v>
      </c>
      <c r="CV72">
        <f t="shared" si="81"/>
        <v>5.39</v>
      </c>
      <c r="CW72">
        <f t="shared" si="82"/>
        <v>0.04</v>
      </c>
      <c r="CX72">
        <f t="shared" si="83"/>
        <v>0</v>
      </c>
      <c r="CY72">
        <f t="shared" si="84"/>
        <v>474.44900000000001</v>
      </c>
      <c r="CZ72">
        <f t="shared" si="85"/>
        <v>324.62299999999999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1003</v>
      </c>
      <c r="DV72" t="s">
        <v>36</v>
      </c>
      <c r="DW72" t="s">
        <v>36</v>
      </c>
      <c r="DX72">
        <v>100</v>
      </c>
      <c r="EE72">
        <v>39174386</v>
      </c>
      <c r="EF72">
        <v>3</v>
      </c>
      <c r="EG72" t="s">
        <v>20</v>
      </c>
      <c r="EH72">
        <v>0</v>
      </c>
      <c r="EI72" t="s">
        <v>3</v>
      </c>
      <c r="EJ72">
        <v>2</v>
      </c>
      <c r="EK72">
        <v>108001</v>
      </c>
      <c r="EL72" t="s">
        <v>21</v>
      </c>
      <c r="EM72" t="s">
        <v>22</v>
      </c>
      <c r="EO72" t="s">
        <v>3</v>
      </c>
      <c r="EQ72">
        <v>0</v>
      </c>
      <c r="ER72">
        <v>68.7</v>
      </c>
      <c r="ES72">
        <v>14.48</v>
      </c>
      <c r="ET72">
        <v>3.55</v>
      </c>
      <c r="EU72">
        <v>0.5</v>
      </c>
      <c r="EV72">
        <v>50.67</v>
      </c>
      <c r="EW72">
        <v>5.39</v>
      </c>
      <c r="EX72">
        <v>0.04</v>
      </c>
      <c r="EY72">
        <v>0</v>
      </c>
      <c r="FQ72">
        <v>0</v>
      </c>
      <c r="FR72">
        <f t="shared" si="86"/>
        <v>0</v>
      </c>
      <c r="FS72">
        <v>0</v>
      </c>
      <c r="FX72">
        <v>95</v>
      </c>
      <c r="FY72">
        <v>65</v>
      </c>
      <c r="GA72" t="s">
        <v>3</v>
      </c>
      <c r="GD72">
        <v>0</v>
      </c>
      <c r="GF72">
        <v>-1215790049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87"/>
        <v>0</v>
      </c>
      <c r="GM72">
        <f t="shared" si="88"/>
        <v>1469.58</v>
      </c>
      <c r="GN72">
        <f t="shared" si="89"/>
        <v>0</v>
      </c>
      <c r="GO72">
        <f t="shared" si="90"/>
        <v>1469.58</v>
      </c>
      <c r="GP72">
        <f t="shared" si="91"/>
        <v>0</v>
      </c>
      <c r="GR72">
        <v>0</v>
      </c>
      <c r="GS72">
        <v>3</v>
      </c>
      <c r="GT72">
        <v>0</v>
      </c>
      <c r="GU72" t="s">
        <v>3</v>
      </c>
      <c r="GV72">
        <f t="shared" si="92"/>
        <v>0</v>
      </c>
      <c r="GW72">
        <v>1</v>
      </c>
      <c r="GX72">
        <f t="shared" si="93"/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247</v>
      </c>
      <c r="E73" t="s">
        <v>243</v>
      </c>
      <c r="F73" t="s">
        <v>244</v>
      </c>
      <c r="G73" t="s">
        <v>245</v>
      </c>
      <c r="H73" t="s">
        <v>202</v>
      </c>
      <c r="I73">
        <f>I72*J73</f>
        <v>0.2</v>
      </c>
      <c r="J73">
        <v>0.1</v>
      </c>
      <c r="O73">
        <f t="shared" si="55"/>
        <v>4716.1499999999996</v>
      </c>
      <c r="P73">
        <f t="shared" si="56"/>
        <v>4716.1499999999996</v>
      </c>
      <c r="Q73">
        <f t="shared" si="57"/>
        <v>0</v>
      </c>
      <c r="R73">
        <f t="shared" si="58"/>
        <v>0</v>
      </c>
      <c r="S73">
        <f t="shared" si="59"/>
        <v>0</v>
      </c>
      <c r="T73">
        <f t="shared" si="60"/>
        <v>0</v>
      </c>
      <c r="U73">
        <f t="shared" si="61"/>
        <v>0</v>
      </c>
      <c r="V73">
        <f t="shared" si="62"/>
        <v>0</v>
      </c>
      <c r="W73">
        <f t="shared" si="63"/>
        <v>0</v>
      </c>
      <c r="X73">
        <f t="shared" si="64"/>
        <v>0</v>
      </c>
      <c r="Y73">
        <f t="shared" si="65"/>
        <v>0</v>
      </c>
      <c r="AA73">
        <v>39610380</v>
      </c>
      <c r="AB73">
        <f t="shared" si="66"/>
        <v>4832.12</v>
      </c>
      <c r="AC73">
        <f t="shared" si="67"/>
        <v>4832.12</v>
      </c>
      <c r="AD73">
        <f t="shared" si="68"/>
        <v>0</v>
      </c>
      <c r="AE73">
        <f t="shared" si="69"/>
        <v>0</v>
      </c>
      <c r="AF73">
        <f t="shared" si="70"/>
        <v>0</v>
      </c>
      <c r="AG73">
        <f t="shared" si="71"/>
        <v>0</v>
      </c>
      <c r="AH73">
        <f t="shared" si="72"/>
        <v>0</v>
      </c>
      <c r="AI73">
        <f t="shared" si="73"/>
        <v>0</v>
      </c>
      <c r="AJ73">
        <f t="shared" si="74"/>
        <v>0</v>
      </c>
      <c r="AK73">
        <v>4832.12</v>
      </c>
      <c r="AL73">
        <v>4832.12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65</v>
      </c>
      <c r="AV73">
        <v>1</v>
      </c>
      <c r="AW73">
        <v>1</v>
      </c>
      <c r="AZ73">
        <v>4.88</v>
      </c>
      <c r="BA73">
        <v>1</v>
      </c>
      <c r="BB73">
        <v>1</v>
      </c>
      <c r="BC73">
        <v>4.88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2</v>
      </c>
      <c r="BJ73" t="s">
        <v>246</v>
      </c>
      <c r="BM73">
        <v>108001</v>
      </c>
      <c r="BN73">
        <v>0</v>
      </c>
      <c r="BO73" t="s">
        <v>3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95</v>
      </c>
      <c r="CA73">
        <v>65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5"/>
        <v>4716.1499999999996</v>
      </c>
      <c r="CQ73">
        <f t="shared" si="76"/>
        <v>23580.745599999998</v>
      </c>
      <c r="CR73">
        <f t="shared" si="77"/>
        <v>0</v>
      </c>
      <c r="CS73">
        <f t="shared" si="78"/>
        <v>0</v>
      </c>
      <c r="CT73">
        <f t="shared" si="79"/>
        <v>0</v>
      </c>
      <c r="CU73">
        <f t="shared" si="80"/>
        <v>0</v>
      </c>
      <c r="CV73">
        <f t="shared" si="81"/>
        <v>0</v>
      </c>
      <c r="CW73">
        <f t="shared" si="82"/>
        <v>0</v>
      </c>
      <c r="CX73">
        <f t="shared" si="83"/>
        <v>0</v>
      </c>
      <c r="CY73">
        <f t="shared" si="84"/>
        <v>0</v>
      </c>
      <c r="CZ73">
        <f t="shared" si="85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202</v>
      </c>
      <c r="DW73" t="s">
        <v>204</v>
      </c>
      <c r="DX73">
        <v>1</v>
      </c>
      <c r="EE73">
        <v>39174386</v>
      </c>
      <c r="EF73">
        <v>3</v>
      </c>
      <c r="EG73" t="s">
        <v>20</v>
      </c>
      <c r="EH73">
        <v>0</v>
      </c>
      <c r="EI73" t="s">
        <v>3</v>
      </c>
      <c r="EJ73">
        <v>2</v>
      </c>
      <c r="EK73">
        <v>108001</v>
      </c>
      <c r="EL73" t="s">
        <v>21</v>
      </c>
      <c r="EM73" t="s">
        <v>22</v>
      </c>
      <c r="EO73" t="s">
        <v>3</v>
      </c>
      <c r="EQ73">
        <v>0</v>
      </c>
      <c r="ER73">
        <v>4832.12</v>
      </c>
      <c r="ES73">
        <v>4832.12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6"/>
        <v>0</v>
      </c>
      <c r="FS73">
        <v>0</v>
      </c>
      <c r="FX73">
        <v>95</v>
      </c>
      <c r="FY73">
        <v>65</v>
      </c>
      <c r="GA73" t="s">
        <v>3</v>
      </c>
      <c r="GD73">
        <v>0</v>
      </c>
      <c r="GF73">
        <v>-1479501953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87"/>
        <v>0</v>
      </c>
      <c r="GM73">
        <f t="shared" si="88"/>
        <v>4716.1499999999996</v>
      </c>
      <c r="GN73">
        <f t="shared" si="89"/>
        <v>0</v>
      </c>
      <c r="GO73">
        <f t="shared" si="90"/>
        <v>4716.1499999999996</v>
      </c>
      <c r="GP73">
        <f t="shared" si="91"/>
        <v>0</v>
      </c>
      <c r="GR73">
        <v>0</v>
      </c>
      <c r="GS73">
        <v>3</v>
      </c>
      <c r="GT73">
        <v>0</v>
      </c>
      <c r="GU73" t="s">
        <v>3</v>
      </c>
      <c r="GV73">
        <f t="shared" si="92"/>
        <v>0</v>
      </c>
      <c r="GW73">
        <v>1</v>
      </c>
      <c r="GX73">
        <f t="shared" si="93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ROW(SmtRes!A253)</f>
        <v>253</v>
      </c>
      <c r="D74">
        <f>ROW(EtalonRes!A231)</f>
        <v>231</v>
      </c>
      <c r="E74" t="s">
        <v>247</v>
      </c>
      <c r="F74" t="s">
        <v>248</v>
      </c>
      <c r="G74" t="s">
        <v>249</v>
      </c>
      <c r="H74" t="s">
        <v>36</v>
      </c>
      <c r="I74">
        <f>ROUND(1350/100,9)</f>
        <v>13.5</v>
      </c>
      <c r="J74">
        <v>0</v>
      </c>
      <c r="O74">
        <f t="shared" si="55"/>
        <v>23620.62</v>
      </c>
      <c r="P74">
        <f t="shared" si="56"/>
        <v>65.88</v>
      </c>
      <c r="Q74">
        <f t="shared" si="57"/>
        <v>20252.830000000002</v>
      </c>
      <c r="R74">
        <f t="shared" si="58"/>
        <v>2861.17</v>
      </c>
      <c r="S74">
        <f t="shared" si="59"/>
        <v>3301.91</v>
      </c>
      <c r="T74">
        <f t="shared" si="60"/>
        <v>0</v>
      </c>
      <c r="U74">
        <f t="shared" si="61"/>
        <v>70.334999999999994</v>
      </c>
      <c r="V74">
        <f t="shared" si="62"/>
        <v>46.71</v>
      </c>
      <c r="W74">
        <f t="shared" si="63"/>
        <v>0</v>
      </c>
      <c r="X74">
        <f t="shared" si="64"/>
        <v>5854.93</v>
      </c>
      <c r="Y74">
        <f t="shared" si="65"/>
        <v>4006</v>
      </c>
      <c r="AA74">
        <v>39610380</v>
      </c>
      <c r="AB74">
        <f t="shared" si="66"/>
        <v>358.54</v>
      </c>
      <c r="AC74">
        <f t="shared" si="67"/>
        <v>1</v>
      </c>
      <c r="AD74">
        <f t="shared" si="68"/>
        <v>307.42</v>
      </c>
      <c r="AE74">
        <f t="shared" si="69"/>
        <v>43.43</v>
      </c>
      <c r="AF74">
        <f t="shared" si="70"/>
        <v>50.12</v>
      </c>
      <c r="AG74">
        <f t="shared" si="71"/>
        <v>0</v>
      </c>
      <c r="AH74">
        <f t="shared" si="72"/>
        <v>5.21</v>
      </c>
      <c r="AI74">
        <f t="shared" si="73"/>
        <v>3.46</v>
      </c>
      <c r="AJ74">
        <f t="shared" si="74"/>
        <v>0</v>
      </c>
      <c r="AK74">
        <v>358.54</v>
      </c>
      <c r="AL74">
        <v>1</v>
      </c>
      <c r="AM74">
        <v>307.42</v>
      </c>
      <c r="AN74">
        <v>43.43</v>
      </c>
      <c r="AO74">
        <v>50.12</v>
      </c>
      <c r="AP74">
        <v>0</v>
      </c>
      <c r="AQ74">
        <v>5.21</v>
      </c>
      <c r="AR74">
        <v>3.46</v>
      </c>
      <c r="AS74">
        <v>0</v>
      </c>
      <c r="AT74">
        <v>95</v>
      </c>
      <c r="AU74">
        <v>65</v>
      </c>
      <c r="AV74">
        <v>1</v>
      </c>
      <c r="AW74">
        <v>1</v>
      </c>
      <c r="AZ74">
        <v>4.88</v>
      </c>
      <c r="BA74">
        <v>4.88</v>
      </c>
      <c r="BB74">
        <v>4.88</v>
      </c>
      <c r="BC74">
        <v>4.88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2</v>
      </c>
      <c r="BJ74" t="s">
        <v>250</v>
      </c>
      <c r="BM74">
        <v>108001</v>
      </c>
      <c r="BN74">
        <v>0</v>
      </c>
      <c r="BO74" t="s">
        <v>3</v>
      </c>
      <c r="BP74">
        <v>0</v>
      </c>
      <c r="BQ74">
        <v>3</v>
      </c>
      <c r="BR74">
        <v>0</v>
      </c>
      <c r="BS74">
        <v>4.88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95</v>
      </c>
      <c r="CA74">
        <v>65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5"/>
        <v>23620.620000000003</v>
      </c>
      <c r="CQ74">
        <f t="shared" si="76"/>
        <v>4.88</v>
      </c>
      <c r="CR74">
        <f t="shared" si="77"/>
        <v>1500.2096000000001</v>
      </c>
      <c r="CS74">
        <f t="shared" si="78"/>
        <v>211.9384</v>
      </c>
      <c r="CT74">
        <f t="shared" si="79"/>
        <v>244.58559999999997</v>
      </c>
      <c r="CU74">
        <f t="shared" si="80"/>
        <v>0</v>
      </c>
      <c r="CV74">
        <f t="shared" si="81"/>
        <v>5.21</v>
      </c>
      <c r="CW74">
        <f t="shared" si="82"/>
        <v>3.46</v>
      </c>
      <c r="CX74">
        <f t="shared" si="83"/>
        <v>0</v>
      </c>
      <c r="CY74">
        <f t="shared" si="84"/>
        <v>5854.9259999999995</v>
      </c>
      <c r="CZ74">
        <f t="shared" si="85"/>
        <v>4006.002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36</v>
      </c>
      <c r="DW74" t="s">
        <v>36</v>
      </c>
      <c r="DX74">
        <v>100</v>
      </c>
      <c r="EE74">
        <v>39174386</v>
      </c>
      <c r="EF74">
        <v>3</v>
      </c>
      <c r="EG74" t="s">
        <v>20</v>
      </c>
      <c r="EH74">
        <v>0</v>
      </c>
      <c r="EI74" t="s">
        <v>3</v>
      </c>
      <c r="EJ74">
        <v>2</v>
      </c>
      <c r="EK74">
        <v>108001</v>
      </c>
      <c r="EL74" t="s">
        <v>21</v>
      </c>
      <c r="EM74" t="s">
        <v>22</v>
      </c>
      <c r="EO74" t="s">
        <v>3</v>
      </c>
      <c r="EQ74">
        <v>0</v>
      </c>
      <c r="ER74">
        <v>358.54</v>
      </c>
      <c r="ES74">
        <v>1</v>
      </c>
      <c r="ET74">
        <v>307.42</v>
      </c>
      <c r="EU74">
        <v>43.43</v>
      </c>
      <c r="EV74">
        <v>50.12</v>
      </c>
      <c r="EW74">
        <v>5.21</v>
      </c>
      <c r="EX74">
        <v>3.46</v>
      </c>
      <c r="EY74">
        <v>0</v>
      </c>
      <c r="FQ74">
        <v>0</v>
      </c>
      <c r="FR74">
        <f t="shared" si="86"/>
        <v>0</v>
      </c>
      <c r="FS74">
        <v>0</v>
      </c>
      <c r="FX74">
        <v>95</v>
      </c>
      <c r="FY74">
        <v>65</v>
      </c>
      <c r="GA74" t="s">
        <v>3</v>
      </c>
      <c r="GD74">
        <v>0</v>
      </c>
      <c r="GF74">
        <v>-883256235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87"/>
        <v>0</v>
      </c>
      <c r="GM74">
        <f t="shared" si="88"/>
        <v>33481.550000000003</v>
      </c>
      <c r="GN74">
        <f t="shared" si="89"/>
        <v>0</v>
      </c>
      <c r="GO74">
        <f t="shared" si="90"/>
        <v>33481.550000000003</v>
      </c>
      <c r="GP74">
        <f t="shared" si="91"/>
        <v>0</v>
      </c>
      <c r="GR74">
        <v>0</v>
      </c>
      <c r="GS74">
        <v>3</v>
      </c>
      <c r="GT74">
        <v>0</v>
      </c>
      <c r="GU74" t="s">
        <v>3</v>
      </c>
      <c r="GV74">
        <f t="shared" si="92"/>
        <v>0</v>
      </c>
      <c r="GW74">
        <v>1</v>
      </c>
      <c r="GX74">
        <f t="shared" si="93"/>
        <v>0</v>
      </c>
      <c r="HA74">
        <v>0</v>
      </c>
      <c r="HB74">
        <v>0</v>
      </c>
      <c r="IK74">
        <v>0</v>
      </c>
    </row>
    <row r="75" spans="1:245" x14ac:dyDescent="0.2">
      <c r="A75">
        <v>17</v>
      </c>
      <c r="B75">
        <v>1</v>
      </c>
      <c r="C75">
        <f>ROW(SmtRes!A255)</f>
        <v>255</v>
      </c>
      <c r="D75">
        <f>ROW(EtalonRes!A233)</f>
        <v>233</v>
      </c>
      <c r="E75" t="s">
        <v>251</v>
      </c>
      <c r="F75" t="s">
        <v>252</v>
      </c>
      <c r="G75" t="s">
        <v>253</v>
      </c>
      <c r="H75" t="s">
        <v>254</v>
      </c>
      <c r="I75">
        <f>ROUND(920/1000,9)</f>
        <v>0.92</v>
      </c>
      <c r="J75">
        <v>0</v>
      </c>
      <c r="O75">
        <f t="shared" si="55"/>
        <v>2368.2600000000002</v>
      </c>
      <c r="P75">
        <f t="shared" si="56"/>
        <v>0</v>
      </c>
      <c r="Q75">
        <f t="shared" si="57"/>
        <v>2368.2600000000002</v>
      </c>
      <c r="R75">
        <f t="shared" si="58"/>
        <v>461.93</v>
      </c>
      <c r="S75">
        <f t="shared" si="59"/>
        <v>0</v>
      </c>
      <c r="T75">
        <f t="shared" si="60"/>
        <v>0</v>
      </c>
      <c r="U75">
        <f t="shared" si="61"/>
        <v>0</v>
      </c>
      <c r="V75">
        <f t="shared" si="62"/>
        <v>8.1603999999999992</v>
      </c>
      <c r="W75">
        <f t="shared" si="63"/>
        <v>0</v>
      </c>
      <c r="X75">
        <f t="shared" si="64"/>
        <v>397.26</v>
      </c>
      <c r="Y75">
        <f t="shared" si="65"/>
        <v>198.63</v>
      </c>
      <c r="AA75">
        <v>39610380</v>
      </c>
      <c r="AB75">
        <f t="shared" si="66"/>
        <v>527.5</v>
      </c>
      <c r="AC75">
        <f t="shared" si="67"/>
        <v>0</v>
      </c>
      <c r="AD75">
        <f t="shared" si="68"/>
        <v>527.5</v>
      </c>
      <c r="AE75">
        <f t="shared" si="69"/>
        <v>102.89</v>
      </c>
      <c r="AF75">
        <f t="shared" si="70"/>
        <v>0</v>
      </c>
      <c r="AG75">
        <f t="shared" si="71"/>
        <v>0</v>
      </c>
      <c r="AH75">
        <f t="shared" si="72"/>
        <v>0</v>
      </c>
      <c r="AI75">
        <f t="shared" si="73"/>
        <v>8.8699999999999992</v>
      </c>
      <c r="AJ75">
        <f t="shared" si="74"/>
        <v>0</v>
      </c>
      <c r="AK75">
        <v>527.5</v>
      </c>
      <c r="AL75">
        <v>0</v>
      </c>
      <c r="AM75">
        <v>527.5</v>
      </c>
      <c r="AN75">
        <v>102.89</v>
      </c>
      <c r="AO75">
        <v>0</v>
      </c>
      <c r="AP75">
        <v>0</v>
      </c>
      <c r="AQ75">
        <v>0</v>
      </c>
      <c r="AR75">
        <v>8.8699999999999992</v>
      </c>
      <c r="AS75">
        <v>0</v>
      </c>
      <c r="AT75">
        <v>86</v>
      </c>
      <c r="AU75">
        <v>43</v>
      </c>
      <c r="AV75">
        <v>1</v>
      </c>
      <c r="AW75">
        <v>1</v>
      </c>
      <c r="AZ75">
        <v>4.88</v>
      </c>
      <c r="BA75">
        <v>4.88</v>
      </c>
      <c r="BB75">
        <v>4.88</v>
      </c>
      <c r="BC75">
        <v>4.88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255</v>
      </c>
      <c r="BM75">
        <v>1001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4.88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95</v>
      </c>
      <c r="CA75">
        <v>50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5"/>
        <v>2368.2600000000002</v>
      </c>
      <c r="CQ75">
        <f t="shared" si="76"/>
        <v>0</v>
      </c>
      <c r="CR75">
        <f t="shared" si="77"/>
        <v>2574.1999999999998</v>
      </c>
      <c r="CS75">
        <f t="shared" si="78"/>
        <v>502.10320000000002</v>
      </c>
      <c r="CT75">
        <f t="shared" si="79"/>
        <v>0</v>
      </c>
      <c r="CU75">
        <f t="shared" si="80"/>
        <v>0</v>
      </c>
      <c r="CV75">
        <f t="shared" si="81"/>
        <v>0</v>
      </c>
      <c r="CW75">
        <f t="shared" si="82"/>
        <v>8.8699999999999992</v>
      </c>
      <c r="CX75">
        <f t="shared" si="83"/>
        <v>0</v>
      </c>
      <c r="CY75">
        <f t="shared" si="84"/>
        <v>397.25980000000004</v>
      </c>
      <c r="CZ75">
        <f t="shared" si="85"/>
        <v>198.62990000000002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1007</v>
      </c>
      <c r="DV75" t="s">
        <v>254</v>
      </c>
      <c r="DW75" t="s">
        <v>254</v>
      </c>
      <c r="DX75">
        <v>1000</v>
      </c>
      <c r="EE75">
        <v>39174477</v>
      </c>
      <c r="EF75">
        <v>2</v>
      </c>
      <c r="EG75" t="s">
        <v>50</v>
      </c>
      <c r="EH75">
        <v>0</v>
      </c>
      <c r="EI75" t="s">
        <v>3</v>
      </c>
      <c r="EJ75">
        <v>1</v>
      </c>
      <c r="EK75">
        <v>1001</v>
      </c>
      <c r="EL75" t="s">
        <v>256</v>
      </c>
      <c r="EM75" t="s">
        <v>52</v>
      </c>
      <c r="EO75" t="s">
        <v>3</v>
      </c>
      <c r="EQ75">
        <v>0</v>
      </c>
      <c r="ER75">
        <v>527.5</v>
      </c>
      <c r="ES75">
        <v>0</v>
      </c>
      <c r="ET75">
        <v>527.5</v>
      </c>
      <c r="EU75">
        <v>102.89</v>
      </c>
      <c r="EV75">
        <v>0</v>
      </c>
      <c r="EW75">
        <v>0</v>
      </c>
      <c r="EX75">
        <v>8.8699999999999992</v>
      </c>
      <c r="EY75">
        <v>0</v>
      </c>
      <c r="FQ75">
        <v>0</v>
      </c>
      <c r="FR75">
        <f t="shared" si="86"/>
        <v>0</v>
      </c>
      <c r="FS75">
        <v>0</v>
      </c>
      <c r="FT75" t="s">
        <v>53</v>
      </c>
      <c r="FU75" t="s">
        <v>54</v>
      </c>
      <c r="FX75">
        <v>85.5</v>
      </c>
      <c r="FY75">
        <v>42.5</v>
      </c>
      <c r="GA75" t="s">
        <v>3</v>
      </c>
      <c r="GD75">
        <v>0</v>
      </c>
      <c r="GF75">
        <v>97447917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87"/>
        <v>0</v>
      </c>
      <c r="GM75">
        <f t="shared" si="88"/>
        <v>2964.15</v>
      </c>
      <c r="GN75">
        <f t="shared" si="89"/>
        <v>2964.15</v>
      </c>
      <c r="GO75">
        <f t="shared" si="90"/>
        <v>0</v>
      </c>
      <c r="GP75">
        <f t="shared" si="91"/>
        <v>0</v>
      </c>
      <c r="GR75">
        <v>0</v>
      </c>
      <c r="GS75">
        <v>3</v>
      </c>
      <c r="GT75">
        <v>0</v>
      </c>
      <c r="GU75" t="s">
        <v>3</v>
      </c>
      <c r="GV75">
        <f t="shared" si="92"/>
        <v>0</v>
      </c>
      <c r="GW75">
        <v>1</v>
      </c>
      <c r="GX75">
        <f t="shared" si="93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ROW(SmtRes!A256)</f>
        <v>256</v>
      </c>
      <c r="D76">
        <f>ROW(EtalonRes!A234)</f>
        <v>234</v>
      </c>
      <c r="E76" t="s">
        <v>257</v>
      </c>
      <c r="F76" t="s">
        <v>258</v>
      </c>
      <c r="G76" t="s">
        <v>259</v>
      </c>
      <c r="H76" t="s">
        <v>260</v>
      </c>
      <c r="I76">
        <f>ROUND(430/100,9)</f>
        <v>4.3</v>
      </c>
      <c r="J76">
        <v>0</v>
      </c>
      <c r="O76">
        <f t="shared" si="55"/>
        <v>1621.64</v>
      </c>
      <c r="P76">
        <f t="shared" si="56"/>
        <v>0</v>
      </c>
      <c r="Q76">
        <f t="shared" si="57"/>
        <v>0</v>
      </c>
      <c r="R76">
        <f t="shared" si="58"/>
        <v>0</v>
      </c>
      <c r="S76">
        <f t="shared" si="59"/>
        <v>1621.64</v>
      </c>
      <c r="T76">
        <f t="shared" si="60"/>
        <v>0</v>
      </c>
      <c r="U76">
        <f t="shared" si="61"/>
        <v>38.957999999999998</v>
      </c>
      <c r="V76">
        <f t="shared" si="62"/>
        <v>0</v>
      </c>
      <c r="W76">
        <f t="shared" si="63"/>
        <v>0</v>
      </c>
      <c r="X76">
        <f t="shared" si="64"/>
        <v>1167.58</v>
      </c>
      <c r="Y76">
        <f t="shared" si="65"/>
        <v>616.22</v>
      </c>
      <c r="AA76">
        <v>39610380</v>
      </c>
      <c r="AB76">
        <f t="shared" si="66"/>
        <v>77.28</v>
      </c>
      <c r="AC76">
        <f t="shared" si="67"/>
        <v>0</v>
      </c>
      <c r="AD76">
        <f t="shared" si="68"/>
        <v>0</v>
      </c>
      <c r="AE76">
        <f t="shared" si="69"/>
        <v>0</v>
      </c>
      <c r="AF76">
        <f t="shared" si="70"/>
        <v>77.28</v>
      </c>
      <c r="AG76">
        <f t="shared" si="71"/>
        <v>0</v>
      </c>
      <c r="AH76">
        <f t="shared" si="72"/>
        <v>9.06</v>
      </c>
      <c r="AI76">
        <f t="shared" si="73"/>
        <v>0</v>
      </c>
      <c r="AJ76">
        <f t="shared" si="74"/>
        <v>0</v>
      </c>
      <c r="AK76">
        <v>77.28</v>
      </c>
      <c r="AL76">
        <v>0</v>
      </c>
      <c r="AM76">
        <v>0</v>
      </c>
      <c r="AN76">
        <v>0</v>
      </c>
      <c r="AO76">
        <v>77.28</v>
      </c>
      <c r="AP76">
        <v>0</v>
      </c>
      <c r="AQ76">
        <v>9.06</v>
      </c>
      <c r="AR76">
        <v>0</v>
      </c>
      <c r="AS76">
        <v>0</v>
      </c>
      <c r="AT76">
        <v>72</v>
      </c>
      <c r="AU76">
        <v>38</v>
      </c>
      <c r="AV76">
        <v>1</v>
      </c>
      <c r="AW76">
        <v>1</v>
      </c>
      <c r="AZ76">
        <v>4.88</v>
      </c>
      <c r="BA76">
        <v>4.88</v>
      </c>
      <c r="BB76">
        <v>4.88</v>
      </c>
      <c r="BC76">
        <v>4.88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261</v>
      </c>
      <c r="BM76">
        <v>1007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4.88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80</v>
      </c>
      <c r="CA76">
        <v>45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5"/>
        <v>1621.64</v>
      </c>
      <c r="CQ76">
        <f t="shared" si="76"/>
        <v>0</v>
      </c>
      <c r="CR76">
        <f t="shared" si="77"/>
        <v>0</v>
      </c>
      <c r="CS76">
        <f t="shared" si="78"/>
        <v>0</v>
      </c>
      <c r="CT76">
        <f t="shared" si="79"/>
        <v>377.12639999999999</v>
      </c>
      <c r="CU76">
        <f t="shared" si="80"/>
        <v>0</v>
      </c>
      <c r="CV76">
        <f t="shared" si="81"/>
        <v>9.06</v>
      </c>
      <c r="CW76">
        <f t="shared" si="82"/>
        <v>0</v>
      </c>
      <c r="CX76">
        <f t="shared" si="83"/>
        <v>0</v>
      </c>
      <c r="CY76">
        <f t="shared" si="84"/>
        <v>1167.5808</v>
      </c>
      <c r="CZ76">
        <f t="shared" si="85"/>
        <v>616.22320000000002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260</v>
      </c>
      <c r="DW76" t="s">
        <v>260</v>
      </c>
      <c r="DX76">
        <v>100</v>
      </c>
      <c r="EE76">
        <v>39174482</v>
      </c>
      <c r="EF76">
        <v>2</v>
      </c>
      <c r="EG76" t="s">
        <v>50</v>
      </c>
      <c r="EH76">
        <v>0</v>
      </c>
      <c r="EI76" t="s">
        <v>3</v>
      </c>
      <c r="EJ76">
        <v>1</v>
      </c>
      <c r="EK76">
        <v>1007</v>
      </c>
      <c r="EL76" t="s">
        <v>262</v>
      </c>
      <c r="EM76" t="s">
        <v>52</v>
      </c>
      <c r="EO76" t="s">
        <v>3</v>
      </c>
      <c r="EQ76">
        <v>0</v>
      </c>
      <c r="ER76">
        <v>77.28</v>
      </c>
      <c r="ES76">
        <v>0</v>
      </c>
      <c r="ET76">
        <v>0</v>
      </c>
      <c r="EU76">
        <v>0</v>
      </c>
      <c r="EV76">
        <v>77.28</v>
      </c>
      <c r="EW76">
        <v>9.06</v>
      </c>
      <c r="EX76">
        <v>0</v>
      </c>
      <c r="EY76">
        <v>0</v>
      </c>
      <c r="FQ76">
        <v>0</v>
      </c>
      <c r="FR76">
        <f t="shared" si="86"/>
        <v>0</v>
      </c>
      <c r="FS76">
        <v>0</v>
      </c>
      <c r="FT76" t="s">
        <v>53</v>
      </c>
      <c r="FU76" t="s">
        <v>54</v>
      </c>
      <c r="FX76">
        <v>72</v>
      </c>
      <c r="FY76">
        <v>38.25</v>
      </c>
      <c r="GA76" t="s">
        <v>3</v>
      </c>
      <c r="GD76">
        <v>0</v>
      </c>
      <c r="GF76">
        <v>-2142205839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87"/>
        <v>0</v>
      </c>
      <c r="GM76">
        <f t="shared" si="88"/>
        <v>3405.44</v>
      </c>
      <c r="GN76">
        <f t="shared" si="89"/>
        <v>3405.44</v>
      </c>
      <c r="GO76">
        <f t="shared" si="90"/>
        <v>0</v>
      </c>
      <c r="GP76">
        <f t="shared" si="91"/>
        <v>0</v>
      </c>
      <c r="GR76">
        <v>0</v>
      </c>
      <c r="GS76">
        <v>3</v>
      </c>
      <c r="GT76">
        <v>0</v>
      </c>
      <c r="GU76" t="s">
        <v>3</v>
      </c>
      <c r="GV76">
        <f t="shared" si="92"/>
        <v>0</v>
      </c>
      <c r="GW76">
        <v>1</v>
      </c>
      <c r="GX76">
        <f t="shared" si="93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ROW(SmtRes!A258)</f>
        <v>258</v>
      </c>
      <c r="D77">
        <f>ROW(EtalonRes!A236)</f>
        <v>236</v>
      </c>
      <c r="E77" t="s">
        <v>263</v>
      </c>
      <c r="F77" t="s">
        <v>264</v>
      </c>
      <c r="G77" t="s">
        <v>265</v>
      </c>
      <c r="H77" t="s">
        <v>27</v>
      </c>
      <c r="I77">
        <v>90</v>
      </c>
      <c r="J77">
        <v>0</v>
      </c>
      <c r="O77">
        <f t="shared" si="55"/>
        <v>4194.79</v>
      </c>
      <c r="P77">
        <f t="shared" si="56"/>
        <v>0</v>
      </c>
      <c r="Q77">
        <f t="shared" si="57"/>
        <v>0</v>
      </c>
      <c r="R77">
        <f t="shared" si="58"/>
        <v>0</v>
      </c>
      <c r="S77">
        <f t="shared" si="59"/>
        <v>4194.79</v>
      </c>
      <c r="T77">
        <f t="shared" si="60"/>
        <v>0</v>
      </c>
      <c r="U77">
        <f t="shared" si="61"/>
        <v>23.04</v>
      </c>
      <c r="V77">
        <f t="shared" si="62"/>
        <v>0</v>
      </c>
      <c r="W77">
        <f t="shared" si="63"/>
        <v>0</v>
      </c>
      <c r="X77">
        <f t="shared" si="64"/>
        <v>2726.61</v>
      </c>
      <c r="Y77">
        <f t="shared" si="65"/>
        <v>1677.92</v>
      </c>
      <c r="AA77">
        <v>39610380</v>
      </c>
      <c r="AB77">
        <f t="shared" si="66"/>
        <v>3.28</v>
      </c>
      <c r="AC77">
        <f t="shared" si="67"/>
        <v>0</v>
      </c>
      <c r="AD77">
        <f t="shared" si="68"/>
        <v>0</v>
      </c>
      <c r="AE77">
        <f>ROUND((EU77),2)</f>
        <v>0</v>
      </c>
      <c r="AF77">
        <f>ROUND(((EV77*0.8)),2)</f>
        <v>3.28</v>
      </c>
      <c r="AG77">
        <f t="shared" si="71"/>
        <v>0</v>
      </c>
      <c r="AH77">
        <f>((EW77*0.8))</f>
        <v>0.25600000000000001</v>
      </c>
      <c r="AI77">
        <f>(EX77)</f>
        <v>0</v>
      </c>
      <c r="AJ77">
        <f t="shared" si="74"/>
        <v>0</v>
      </c>
      <c r="AK77">
        <v>4.0999999999999996</v>
      </c>
      <c r="AL77">
        <v>0</v>
      </c>
      <c r="AM77">
        <v>0</v>
      </c>
      <c r="AN77">
        <v>0</v>
      </c>
      <c r="AO77">
        <v>4.0999999999999996</v>
      </c>
      <c r="AP77">
        <v>0</v>
      </c>
      <c r="AQ77">
        <v>0.32</v>
      </c>
      <c r="AR77">
        <v>0</v>
      </c>
      <c r="AS77">
        <v>0</v>
      </c>
      <c r="AT77">
        <v>65</v>
      </c>
      <c r="AU77">
        <v>40</v>
      </c>
      <c r="AV77">
        <v>1</v>
      </c>
      <c r="AW77">
        <v>1</v>
      </c>
      <c r="AZ77">
        <v>14.21</v>
      </c>
      <c r="BA77">
        <v>14.21</v>
      </c>
      <c r="BB77">
        <v>1</v>
      </c>
      <c r="BC77">
        <v>1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4</v>
      </c>
      <c r="BJ77" t="s">
        <v>266</v>
      </c>
      <c r="BM77">
        <v>200001</v>
      </c>
      <c r="BN77">
        <v>0</v>
      </c>
      <c r="BO77" t="s">
        <v>3</v>
      </c>
      <c r="BP77">
        <v>0</v>
      </c>
      <c r="BQ77">
        <v>4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65</v>
      </c>
      <c r="CA77">
        <v>40</v>
      </c>
      <c r="CF77">
        <v>0</v>
      </c>
      <c r="CG77">
        <v>0</v>
      </c>
      <c r="CM77">
        <v>0</v>
      </c>
      <c r="CN77" t="s">
        <v>267</v>
      </c>
      <c r="CO77">
        <v>0</v>
      </c>
      <c r="CP77">
        <f t="shared" si="75"/>
        <v>4194.79</v>
      </c>
      <c r="CQ77">
        <f t="shared" si="76"/>
        <v>0</v>
      </c>
      <c r="CR77">
        <f t="shared" si="77"/>
        <v>0</v>
      </c>
      <c r="CS77">
        <f t="shared" si="78"/>
        <v>0</v>
      </c>
      <c r="CT77">
        <f t="shared" si="79"/>
        <v>46.608800000000002</v>
      </c>
      <c r="CU77">
        <f t="shared" si="80"/>
        <v>0</v>
      </c>
      <c r="CV77">
        <f t="shared" si="81"/>
        <v>0.25600000000000001</v>
      </c>
      <c r="CW77">
        <f t="shared" si="82"/>
        <v>0</v>
      </c>
      <c r="CX77">
        <f t="shared" si="83"/>
        <v>0</v>
      </c>
      <c r="CY77">
        <f t="shared" si="84"/>
        <v>2726.6134999999999</v>
      </c>
      <c r="CZ77">
        <f t="shared" si="85"/>
        <v>1677.9160000000002</v>
      </c>
      <c r="DC77" t="s">
        <v>3</v>
      </c>
      <c r="DD77" t="s">
        <v>3</v>
      </c>
      <c r="DE77" t="s">
        <v>3</v>
      </c>
      <c r="DF77" t="s">
        <v>3</v>
      </c>
      <c r="DG77" t="s">
        <v>268</v>
      </c>
      <c r="DH77" t="s">
        <v>3</v>
      </c>
      <c r="DI77" t="s">
        <v>268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27</v>
      </c>
      <c r="DW77" t="s">
        <v>27</v>
      </c>
      <c r="DX77">
        <v>1</v>
      </c>
      <c r="EE77">
        <v>39174428</v>
      </c>
      <c r="EF77">
        <v>4</v>
      </c>
      <c r="EG77" t="s">
        <v>269</v>
      </c>
      <c r="EH77">
        <v>0</v>
      </c>
      <c r="EI77" t="s">
        <v>3</v>
      </c>
      <c r="EJ77">
        <v>4</v>
      </c>
      <c r="EK77">
        <v>200001</v>
      </c>
      <c r="EL77" t="s">
        <v>270</v>
      </c>
      <c r="EM77" t="s">
        <v>271</v>
      </c>
      <c r="EO77" t="s">
        <v>272</v>
      </c>
      <c r="EQ77">
        <v>0</v>
      </c>
      <c r="ER77">
        <v>4.0999999999999996</v>
      </c>
      <c r="ES77">
        <v>0</v>
      </c>
      <c r="ET77">
        <v>0</v>
      </c>
      <c r="EU77">
        <v>0</v>
      </c>
      <c r="EV77">
        <v>4.0999999999999996</v>
      </c>
      <c r="EW77">
        <v>0.32</v>
      </c>
      <c r="EX77">
        <v>0</v>
      </c>
      <c r="EY77">
        <v>0</v>
      </c>
      <c r="FQ77">
        <v>0</v>
      </c>
      <c r="FR77">
        <f t="shared" si="86"/>
        <v>0</v>
      </c>
      <c r="FS77">
        <v>0</v>
      </c>
      <c r="FX77">
        <v>65</v>
      </c>
      <c r="FY77">
        <v>40</v>
      </c>
      <c r="GA77" t="s">
        <v>3</v>
      </c>
      <c r="GD77">
        <v>0</v>
      </c>
      <c r="GF77">
        <v>-1617765494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87"/>
        <v>0</v>
      </c>
      <c r="GM77">
        <f t="shared" si="88"/>
        <v>8599.32</v>
      </c>
      <c r="GN77">
        <f t="shared" si="89"/>
        <v>0</v>
      </c>
      <c r="GO77">
        <f t="shared" si="90"/>
        <v>0</v>
      </c>
      <c r="GP77">
        <f t="shared" si="91"/>
        <v>8599.32</v>
      </c>
      <c r="GR77">
        <v>0</v>
      </c>
      <c r="GS77">
        <v>3</v>
      </c>
      <c r="GT77">
        <v>0</v>
      </c>
      <c r="GU77" t="s">
        <v>3</v>
      </c>
      <c r="GV77">
        <f t="shared" si="92"/>
        <v>0</v>
      </c>
      <c r="GW77">
        <v>1</v>
      </c>
      <c r="GX77">
        <f t="shared" si="93"/>
        <v>0</v>
      </c>
      <c r="HA77">
        <v>0</v>
      </c>
      <c r="HB77">
        <v>0</v>
      </c>
      <c r="IK77">
        <v>0</v>
      </c>
    </row>
    <row r="78" spans="1:245" x14ac:dyDescent="0.2">
      <c r="A78">
        <v>17</v>
      </c>
      <c r="B78">
        <v>1</v>
      </c>
      <c r="C78">
        <f>ROW(SmtRes!A260)</f>
        <v>260</v>
      </c>
      <c r="D78">
        <f>ROW(EtalonRes!A238)</f>
        <v>238</v>
      </c>
      <c r="E78" t="s">
        <v>273</v>
      </c>
      <c r="F78" t="s">
        <v>274</v>
      </c>
      <c r="G78" t="s">
        <v>275</v>
      </c>
      <c r="H78" t="s">
        <v>276</v>
      </c>
      <c r="I78">
        <v>85</v>
      </c>
      <c r="J78">
        <v>0</v>
      </c>
      <c r="O78">
        <f t="shared" si="55"/>
        <v>18963.25</v>
      </c>
      <c r="P78">
        <f t="shared" si="56"/>
        <v>0</v>
      </c>
      <c r="Q78">
        <f t="shared" si="57"/>
        <v>0</v>
      </c>
      <c r="R78">
        <f t="shared" si="58"/>
        <v>0</v>
      </c>
      <c r="S78">
        <f t="shared" si="59"/>
        <v>18963.25</v>
      </c>
      <c r="T78">
        <f t="shared" si="60"/>
        <v>0</v>
      </c>
      <c r="U78">
        <f t="shared" si="61"/>
        <v>110.16000000000003</v>
      </c>
      <c r="V78">
        <f t="shared" si="62"/>
        <v>0</v>
      </c>
      <c r="W78">
        <f t="shared" si="63"/>
        <v>0</v>
      </c>
      <c r="X78">
        <f t="shared" si="64"/>
        <v>12326.11</v>
      </c>
      <c r="Y78">
        <f t="shared" si="65"/>
        <v>7585.3</v>
      </c>
      <c r="AA78">
        <v>39610380</v>
      </c>
      <c r="AB78">
        <f t="shared" si="66"/>
        <v>15.7</v>
      </c>
      <c r="AC78">
        <f t="shared" si="67"/>
        <v>0</v>
      </c>
      <c r="AD78">
        <f t="shared" si="68"/>
        <v>0</v>
      </c>
      <c r="AE78">
        <f>ROUND((EU78),2)</f>
        <v>0</v>
      </c>
      <c r="AF78">
        <f>ROUND(((EV78*0.8)),2)</f>
        <v>15.7</v>
      </c>
      <c r="AG78">
        <f t="shared" si="71"/>
        <v>0</v>
      </c>
      <c r="AH78">
        <f>((EW78*0.8))</f>
        <v>1.2960000000000003</v>
      </c>
      <c r="AI78">
        <f>(EX78)</f>
        <v>0</v>
      </c>
      <c r="AJ78">
        <f t="shared" si="74"/>
        <v>0</v>
      </c>
      <c r="AK78">
        <v>19.63</v>
      </c>
      <c r="AL78">
        <v>0</v>
      </c>
      <c r="AM78">
        <v>0</v>
      </c>
      <c r="AN78">
        <v>0</v>
      </c>
      <c r="AO78">
        <v>19.63</v>
      </c>
      <c r="AP78">
        <v>0</v>
      </c>
      <c r="AQ78">
        <v>1.62</v>
      </c>
      <c r="AR78">
        <v>0</v>
      </c>
      <c r="AS78">
        <v>0</v>
      </c>
      <c r="AT78">
        <v>65</v>
      </c>
      <c r="AU78">
        <v>40</v>
      </c>
      <c r="AV78">
        <v>1</v>
      </c>
      <c r="AW78">
        <v>1</v>
      </c>
      <c r="AZ78">
        <v>14.21</v>
      </c>
      <c r="BA78">
        <v>14.21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0</v>
      </c>
      <c r="BI78">
        <v>4</v>
      </c>
      <c r="BJ78" t="s">
        <v>277</v>
      </c>
      <c r="BM78">
        <v>200001</v>
      </c>
      <c r="BN78">
        <v>0</v>
      </c>
      <c r="BO78" t="s">
        <v>3</v>
      </c>
      <c r="BP78">
        <v>0</v>
      </c>
      <c r="BQ78">
        <v>4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65</v>
      </c>
      <c r="CA78">
        <v>40</v>
      </c>
      <c r="CF78">
        <v>0</v>
      </c>
      <c r="CG78">
        <v>0</v>
      </c>
      <c r="CM78">
        <v>0</v>
      </c>
      <c r="CN78" t="s">
        <v>267</v>
      </c>
      <c r="CO78">
        <v>0</v>
      </c>
      <c r="CP78">
        <f t="shared" si="75"/>
        <v>18963.25</v>
      </c>
      <c r="CQ78">
        <f t="shared" si="76"/>
        <v>0</v>
      </c>
      <c r="CR78">
        <f t="shared" si="77"/>
        <v>0</v>
      </c>
      <c r="CS78">
        <f t="shared" si="78"/>
        <v>0</v>
      </c>
      <c r="CT78">
        <f t="shared" si="79"/>
        <v>223.09700000000001</v>
      </c>
      <c r="CU78">
        <f t="shared" si="80"/>
        <v>0</v>
      </c>
      <c r="CV78">
        <f t="shared" si="81"/>
        <v>1.2960000000000003</v>
      </c>
      <c r="CW78">
        <f t="shared" si="82"/>
        <v>0</v>
      </c>
      <c r="CX78">
        <f t="shared" si="83"/>
        <v>0</v>
      </c>
      <c r="CY78">
        <f t="shared" si="84"/>
        <v>12326.112499999999</v>
      </c>
      <c r="CZ78">
        <f t="shared" si="85"/>
        <v>7585.3</v>
      </c>
      <c r="DC78" t="s">
        <v>3</v>
      </c>
      <c r="DD78" t="s">
        <v>3</v>
      </c>
      <c r="DE78" t="s">
        <v>3</v>
      </c>
      <c r="DF78" t="s">
        <v>3</v>
      </c>
      <c r="DG78" t="s">
        <v>268</v>
      </c>
      <c r="DH78" t="s">
        <v>3</v>
      </c>
      <c r="DI78" t="s">
        <v>268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276</v>
      </c>
      <c r="DW78" t="s">
        <v>276</v>
      </c>
      <c r="DX78">
        <v>1</v>
      </c>
      <c r="EE78">
        <v>39174428</v>
      </c>
      <c r="EF78">
        <v>4</v>
      </c>
      <c r="EG78" t="s">
        <v>269</v>
      </c>
      <c r="EH78">
        <v>0</v>
      </c>
      <c r="EI78" t="s">
        <v>3</v>
      </c>
      <c r="EJ78">
        <v>4</v>
      </c>
      <c r="EK78">
        <v>200001</v>
      </c>
      <c r="EL78" t="s">
        <v>270</v>
      </c>
      <c r="EM78" t="s">
        <v>271</v>
      </c>
      <c r="EO78" t="s">
        <v>272</v>
      </c>
      <c r="EQ78">
        <v>0</v>
      </c>
      <c r="ER78">
        <v>19.63</v>
      </c>
      <c r="ES78">
        <v>0</v>
      </c>
      <c r="ET78">
        <v>0</v>
      </c>
      <c r="EU78">
        <v>0</v>
      </c>
      <c r="EV78">
        <v>19.63</v>
      </c>
      <c r="EW78">
        <v>1.62</v>
      </c>
      <c r="EX78">
        <v>0</v>
      </c>
      <c r="EY78">
        <v>0</v>
      </c>
      <c r="FQ78">
        <v>0</v>
      </c>
      <c r="FR78">
        <f t="shared" si="86"/>
        <v>0</v>
      </c>
      <c r="FS78">
        <v>0</v>
      </c>
      <c r="FX78">
        <v>65</v>
      </c>
      <c r="FY78">
        <v>40</v>
      </c>
      <c r="GA78" t="s">
        <v>3</v>
      </c>
      <c r="GD78">
        <v>0</v>
      </c>
      <c r="GF78">
        <v>-648667348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87"/>
        <v>0</v>
      </c>
      <c r="GM78">
        <f t="shared" si="88"/>
        <v>38874.660000000003</v>
      </c>
      <c r="GN78">
        <f t="shared" si="89"/>
        <v>0</v>
      </c>
      <c r="GO78">
        <f t="shared" si="90"/>
        <v>0</v>
      </c>
      <c r="GP78">
        <f t="shared" si="91"/>
        <v>38874.660000000003</v>
      </c>
      <c r="GR78">
        <v>0</v>
      </c>
      <c r="GS78">
        <v>3</v>
      </c>
      <c r="GT78">
        <v>0</v>
      </c>
      <c r="GU78" t="s">
        <v>3</v>
      </c>
      <c r="GV78">
        <f t="shared" si="92"/>
        <v>0</v>
      </c>
      <c r="GW78">
        <v>1</v>
      </c>
      <c r="GX78">
        <f t="shared" si="93"/>
        <v>0</v>
      </c>
      <c r="HA78">
        <v>0</v>
      </c>
      <c r="HB78">
        <v>0</v>
      </c>
      <c r="IK78">
        <v>0</v>
      </c>
    </row>
    <row r="79" spans="1:245" x14ac:dyDescent="0.2">
      <c r="A79">
        <v>17</v>
      </c>
      <c r="B79">
        <v>1</v>
      </c>
      <c r="C79">
        <f>ROW(SmtRes!A262)</f>
        <v>262</v>
      </c>
      <c r="D79">
        <f>ROW(EtalonRes!A240)</f>
        <v>240</v>
      </c>
      <c r="E79" t="s">
        <v>278</v>
      </c>
      <c r="F79" t="s">
        <v>279</v>
      </c>
      <c r="G79" t="s">
        <v>280</v>
      </c>
      <c r="H79" t="s">
        <v>27</v>
      </c>
      <c r="I79">
        <v>60</v>
      </c>
      <c r="J79">
        <v>0</v>
      </c>
      <c r="O79">
        <f t="shared" si="55"/>
        <v>10657.5</v>
      </c>
      <c r="P79">
        <f t="shared" si="56"/>
        <v>0</v>
      </c>
      <c r="Q79">
        <f t="shared" si="57"/>
        <v>0</v>
      </c>
      <c r="R79">
        <f t="shared" si="58"/>
        <v>0</v>
      </c>
      <c r="S79">
        <f t="shared" si="59"/>
        <v>10657.5</v>
      </c>
      <c r="T79">
        <f t="shared" si="60"/>
        <v>0</v>
      </c>
      <c r="U79">
        <f t="shared" si="61"/>
        <v>58.56</v>
      </c>
      <c r="V79">
        <f t="shared" si="62"/>
        <v>0</v>
      </c>
      <c r="W79">
        <f t="shared" si="63"/>
        <v>0</v>
      </c>
      <c r="X79">
        <f t="shared" si="64"/>
        <v>6927.38</v>
      </c>
      <c r="Y79">
        <f t="shared" si="65"/>
        <v>4263</v>
      </c>
      <c r="AA79">
        <v>39610380</v>
      </c>
      <c r="AB79">
        <f t="shared" si="66"/>
        <v>12.5</v>
      </c>
      <c r="AC79">
        <f t="shared" si="67"/>
        <v>0</v>
      </c>
      <c r="AD79">
        <f t="shared" si="68"/>
        <v>0</v>
      </c>
      <c r="AE79">
        <f>ROUND((EU79),2)</f>
        <v>0</v>
      </c>
      <c r="AF79">
        <f>ROUND(((EV79*0.8)),2)</f>
        <v>12.5</v>
      </c>
      <c r="AG79">
        <f t="shared" si="71"/>
        <v>0</v>
      </c>
      <c r="AH79">
        <f>((EW79*0.8))</f>
        <v>0.97599999999999998</v>
      </c>
      <c r="AI79">
        <f>(EX79)</f>
        <v>0</v>
      </c>
      <c r="AJ79">
        <f t="shared" si="74"/>
        <v>0</v>
      </c>
      <c r="AK79">
        <v>15.62</v>
      </c>
      <c r="AL79">
        <v>0</v>
      </c>
      <c r="AM79">
        <v>0</v>
      </c>
      <c r="AN79">
        <v>0</v>
      </c>
      <c r="AO79">
        <v>15.62</v>
      </c>
      <c r="AP79">
        <v>0</v>
      </c>
      <c r="AQ79">
        <v>1.22</v>
      </c>
      <c r="AR79">
        <v>0</v>
      </c>
      <c r="AS79">
        <v>0</v>
      </c>
      <c r="AT79">
        <v>65</v>
      </c>
      <c r="AU79">
        <v>40</v>
      </c>
      <c r="AV79">
        <v>1</v>
      </c>
      <c r="AW79">
        <v>1</v>
      </c>
      <c r="AZ79">
        <v>14.21</v>
      </c>
      <c r="BA79">
        <v>14.21</v>
      </c>
      <c r="BB79">
        <v>1</v>
      </c>
      <c r="BC79">
        <v>1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4</v>
      </c>
      <c r="BJ79" t="s">
        <v>281</v>
      </c>
      <c r="BM79">
        <v>200001</v>
      </c>
      <c r="BN79">
        <v>0</v>
      </c>
      <c r="BO79" t="s">
        <v>3</v>
      </c>
      <c r="BP79">
        <v>0</v>
      </c>
      <c r="BQ79">
        <v>4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65</v>
      </c>
      <c r="CA79">
        <v>40</v>
      </c>
      <c r="CF79">
        <v>0</v>
      </c>
      <c r="CG79">
        <v>0</v>
      </c>
      <c r="CM79">
        <v>0</v>
      </c>
      <c r="CN79" t="s">
        <v>267</v>
      </c>
      <c r="CO79">
        <v>0</v>
      </c>
      <c r="CP79">
        <f t="shared" si="75"/>
        <v>10657.5</v>
      </c>
      <c r="CQ79">
        <f t="shared" si="76"/>
        <v>0</v>
      </c>
      <c r="CR79">
        <f t="shared" si="77"/>
        <v>0</v>
      </c>
      <c r="CS79">
        <f t="shared" si="78"/>
        <v>0</v>
      </c>
      <c r="CT79">
        <f t="shared" si="79"/>
        <v>177.625</v>
      </c>
      <c r="CU79">
        <f t="shared" si="80"/>
        <v>0</v>
      </c>
      <c r="CV79">
        <f t="shared" si="81"/>
        <v>0.97599999999999998</v>
      </c>
      <c r="CW79">
        <f t="shared" si="82"/>
        <v>0</v>
      </c>
      <c r="CX79">
        <f t="shared" si="83"/>
        <v>0</v>
      </c>
      <c r="CY79">
        <f t="shared" si="84"/>
        <v>6927.375</v>
      </c>
      <c r="CZ79">
        <f t="shared" si="85"/>
        <v>4263</v>
      </c>
      <c r="DC79" t="s">
        <v>3</v>
      </c>
      <c r="DD79" t="s">
        <v>3</v>
      </c>
      <c r="DE79" t="s">
        <v>3</v>
      </c>
      <c r="DF79" t="s">
        <v>3</v>
      </c>
      <c r="DG79" t="s">
        <v>268</v>
      </c>
      <c r="DH79" t="s">
        <v>3</v>
      </c>
      <c r="DI79" t="s">
        <v>268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27</v>
      </c>
      <c r="DW79" t="s">
        <v>27</v>
      </c>
      <c r="DX79">
        <v>1</v>
      </c>
      <c r="EE79">
        <v>39174428</v>
      </c>
      <c r="EF79">
        <v>4</v>
      </c>
      <c r="EG79" t="s">
        <v>269</v>
      </c>
      <c r="EH79">
        <v>0</v>
      </c>
      <c r="EI79" t="s">
        <v>3</v>
      </c>
      <c r="EJ79">
        <v>4</v>
      </c>
      <c r="EK79">
        <v>200001</v>
      </c>
      <c r="EL79" t="s">
        <v>270</v>
      </c>
      <c r="EM79" t="s">
        <v>271</v>
      </c>
      <c r="EO79" t="s">
        <v>272</v>
      </c>
      <c r="EQ79">
        <v>0</v>
      </c>
      <c r="ER79">
        <v>15.62</v>
      </c>
      <c r="ES79">
        <v>0</v>
      </c>
      <c r="ET79">
        <v>0</v>
      </c>
      <c r="EU79">
        <v>0</v>
      </c>
      <c r="EV79">
        <v>15.62</v>
      </c>
      <c r="EW79">
        <v>1.22</v>
      </c>
      <c r="EX79">
        <v>0</v>
      </c>
      <c r="EY79">
        <v>0</v>
      </c>
      <c r="FQ79">
        <v>0</v>
      </c>
      <c r="FR79">
        <f t="shared" si="86"/>
        <v>0</v>
      </c>
      <c r="FS79">
        <v>0</v>
      </c>
      <c r="FX79">
        <v>65</v>
      </c>
      <c r="FY79">
        <v>40</v>
      </c>
      <c r="GA79" t="s">
        <v>3</v>
      </c>
      <c r="GD79">
        <v>0</v>
      </c>
      <c r="GF79">
        <v>-829332442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87"/>
        <v>0</v>
      </c>
      <c r="GM79">
        <f t="shared" si="88"/>
        <v>21847.88</v>
      </c>
      <c r="GN79">
        <f t="shared" si="89"/>
        <v>0</v>
      </c>
      <c r="GO79">
        <f t="shared" si="90"/>
        <v>0</v>
      </c>
      <c r="GP79">
        <f t="shared" si="91"/>
        <v>21847.88</v>
      </c>
      <c r="GR79">
        <v>0</v>
      </c>
      <c r="GS79">
        <v>3</v>
      </c>
      <c r="GT79">
        <v>0</v>
      </c>
      <c r="GU79" t="s">
        <v>3</v>
      </c>
      <c r="GV79">
        <f t="shared" si="92"/>
        <v>0</v>
      </c>
      <c r="GW79">
        <v>1</v>
      </c>
      <c r="GX79">
        <f t="shared" si="93"/>
        <v>0</v>
      </c>
      <c r="HA79">
        <v>0</v>
      </c>
      <c r="HB79">
        <v>0</v>
      </c>
      <c r="IK79">
        <v>0</v>
      </c>
    </row>
    <row r="81" spans="1:206" x14ac:dyDescent="0.2">
      <c r="A81" s="2">
        <v>51</v>
      </c>
      <c r="B81" s="2">
        <f>B20</f>
        <v>1</v>
      </c>
      <c r="C81" s="2">
        <f>A20</f>
        <v>3</v>
      </c>
      <c r="D81" s="2">
        <f>ROW(A20)</f>
        <v>20</v>
      </c>
      <c r="E81" s="2"/>
      <c r="F81" s="2" t="str">
        <f>IF(F20&lt;&gt;"",F20,"")</f>
        <v>Новая локальная смета</v>
      </c>
      <c r="G81" s="2" t="str">
        <f>IF(G20&lt;&gt;"",G20,"")</f>
        <v>Новая локальная смета</v>
      </c>
      <c r="H81" s="2">
        <v>0</v>
      </c>
      <c r="I81" s="2"/>
      <c r="J81" s="2"/>
      <c r="K81" s="2"/>
      <c r="L81" s="2"/>
      <c r="M81" s="2"/>
      <c r="N81" s="2"/>
      <c r="O81" s="2">
        <f t="shared" ref="O81:T81" si="94">ROUND(AB81,2)</f>
        <v>2286433.83</v>
      </c>
      <c r="P81" s="2">
        <f t="shared" si="94"/>
        <v>2042191.69</v>
      </c>
      <c r="Q81" s="2">
        <f t="shared" si="94"/>
        <v>102517.07</v>
      </c>
      <c r="R81" s="2">
        <f t="shared" si="94"/>
        <v>12789.79</v>
      </c>
      <c r="S81" s="2">
        <f t="shared" si="94"/>
        <v>141725.07</v>
      </c>
      <c r="T81" s="2">
        <f t="shared" si="94"/>
        <v>0</v>
      </c>
      <c r="U81" s="2">
        <f>AH81</f>
        <v>2722.847498000001</v>
      </c>
      <c r="V81" s="2">
        <f>AI81</f>
        <v>207.09348750000007</v>
      </c>
      <c r="W81" s="2">
        <f>ROUND(AJ81,2)</f>
        <v>0</v>
      </c>
      <c r="X81" s="2">
        <f>ROUND(AK81,2)</f>
        <v>120495.06</v>
      </c>
      <c r="Y81" s="2">
        <f>ROUND(AL81,2)</f>
        <v>72363.91</v>
      </c>
      <c r="Z81" s="2"/>
      <c r="AA81" s="2"/>
      <c r="AB81" s="2">
        <f>ROUND(SUMIF(AA24:AA79,"=39610380",O24:O79),2)</f>
        <v>2286433.83</v>
      </c>
      <c r="AC81" s="2">
        <f>ROUND(SUMIF(AA24:AA79,"=39610380",P24:P79),2)</f>
        <v>2042191.69</v>
      </c>
      <c r="AD81" s="2">
        <f>ROUND(SUMIF(AA24:AA79,"=39610380",Q24:Q79),2)</f>
        <v>102517.07</v>
      </c>
      <c r="AE81" s="2">
        <f>ROUND(SUMIF(AA24:AA79,"=39610380",R24:R79),2)</f>
        <v>12789.79</v>
      </c>
      <c r="AF81" s="2">
        <f>ROUND(SUMIF(AA24:AA79,"=39610380",S24:S79),2)</f>
        <v>141725.07</v>
      </c>
      <c r="AG81" s="2">
        <f>ROUND(SUMIF(AA24:AA79,"=39610380",T24:T79),2)</f>
        <v>0</v>
      </c>
      <c r="AH81" s="2">
        <f>SUMIF(AA24:AA79,"=39610380",U24:U79)</f>
        <v>2722.847498000001</v>
      </c>
      <c r="AI81" s="2">
        <f>SUMIF(AA24:AA79,"=39610380",V24:V79)</f>
        <v>207.09348750000007</v>
      </c>
      <c r="AJ81" s="2">
        <f>ROUND(SUMIF(AA24:AA79,"=39610380",W24:W79),2)</f>
        <v>0</v>
      </c>
      <c r="AK81" s="2">
        <f>ROUND(SUMIF(AA24:AA79,"=39610380",X24:X79),2)</f>
        <v>120495.06</v>
      </c>
      <c r="AL81" s="2">
        <f>ROUND(SUMIF(AA24:AA79,"=39610380",Y24:Y79),2)</f>
        <v>72363.91</v>
      </c>
      <c r="AM81" s="2"/>
      <c r="AN81" s="2"/>
      <c r="AO81" s="2">
        <f t="shared" ref="AO81:BC81" si="95">ROUND(BX81,2)</f>
        <v>0</v>
      </c>
      <c r="AP81" s="2">
        <f t="shared" si="95"/>
        <v>0</v>
      </c>
      <c r="AQ81" s="2">
        <f t="shared" si="95"/>
        <v>0</v>
      </c>
      <c r="AR81" s="2">
        <f t="shared" si="95"/>
        <v>2479292.7999999998</v>
      </c>
      <c r="AS81" s="2">
        <f t="shared" si="95"/>
        <v>255578.61</v>
      </c>
      <c r="AT81" s="2">
        <f t="shared" si="95"/>
        <v>2154392.33</v>
      </c>
      <c r="AU81" s="2">
        <f t="shared" si="95"/>
        <v>69321.86</v>
      </c>
      <c r="AV81" s="2">
        <f t="shared" si="95"/>
        <v>2042191.69</v>
      </c>
      <c r="AW81" s="2">
        <f t="shared" si="95"/>
        <v>2042191.69</v>
      </c>
      <c r="AX81" s="2">
        <f t="shared" si="95"/>
        <v>0</v>
      </c>
      <c r="AY81" s="2">
        <f t="shared" si="95"/>
        <v>2042191.69</v>
      </c>
      <c r="AZ81" s="2">
        <f t="shared" si="95"/>
        <v>0</v>
      </c>
      <c r="BA81" s="2">
        <f t="shared" si="95"/>
        <v>0</v>
      </c>
      <c r="BB81" s="2">
        <f t="shared" si="95"/>
        <v>0</v>
      </c>
      <c r="BC81" s="2">
        <f t="shared" si="95"/>
        <v>0</v>
      </c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>
        <f>ROUND(SUMIF(AA24:AA79,"=39610380",FQ24:FQ79),2)</f>
        <v>0</v>
      </c>
      <c r="BY81" s="2">
        <f>ROUND(SUMIF(AA24:AA79,"=39610380",FR24:FR79),2)</f>
        <v>0</v>
      </c>
      <c r="BZ81" s="2">
        <f>ROUND(SUMIF(AA24:AA79,"=39610380",GL24:GL79),2)</f>
        <v>0</v>
      </c>
      <c r="CA81" s="2">
        <f>ROUND(SUMIF(AA24:AA79,"=39610380",GM24:GM79),2)</f>
        <v>2479292.7999999998</v>
      </c>
      <c r="CB81" s="2">
        <f>ROUND(SUMIF(AA24:AA79,"=39610380",GN24:GN79),2)</f>
        <v>255578.61</v>
      </c>
      <c r="CC81" s="2">
        <f>ROUND(SUMIF(AA24:AA79,"=39610380",GO24:GO79),2)</f>
        <v>2154392.33</v>
      </c>
      <c r="CD81" s="2">
        <f>ROUND(SUMIF(AA24:AA79,"=39610380",GP24:GP79),2)</f>
        <v>69321.86</v>
      </c>
      <c r="CE81" s="2">
        <f>AC81-BX81</f>
        <v>2042191.69</v>
      </c>
      <c r="CF81" s="2">
        <f>AC81-BY81</f>
        <v>2042191.69</v>
      </c>
      <c r="CG81" s="2">
        <f>BX81-BZ81</f>
        <v>0</v>
      </c>
      <c r="CH81" s="2">
        <f>AC81-BX81-BY81+BZ81</f>
        <v>2042191.69</v>
      </c>
      <c r="CI81" s="2">
        <f>BY81-BZ81</f>
        <v>0</v>
      </c>
      <c r="CJ81" s="2">
        <f>ROUND(SUMIF(AA24:AA79,"=39610380",GX24:GX79),2)</f>
        <v>0</v>
      </c>
      <c r="CK81" s="2">
        <f>ROUND(SUMIF(AA24:AA79,"=39610380",GY24:GY79),2)</f>
        <v>0</v>
      </c>
      <c r="CL81" s="2">
        <f>ROUND(SUMIF(AA24:AA79,"=39610380",GZ24:GZ79),2)</f>
        <v>0</v>
      </c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>
        <v>0</v>
      </c>
    </row>
    <row r="83" spans="1:206" x14ac:dyDescent="0.2">
      <c r="A83" s="4">
        <v>50</v>
      </c>
      <c r="B83" s="4">
        <v>0</v>
      </c>
      <c r="C83" s="4">
        <v>0</v>
      </c>
      <c r="D83" s="4">
        <v>1</v>
      </c>
      <c r="E83" s="4">
        <v>201</v>
      </c>
      <c r="F83" s="4">
        <f>ROUND(Source!O81,O83)</f>
        <v>2286433.83</v>
      </c>
      <c r="G83" s="4" t="s">
        <v>282</v>
      </c>
      <c r="H83" s="4" t="s">
        <v>283</v>
      </c>
      <c r="I83" s="4"/>
      <c r="J83" s="4"/>
      <c r="K83" s="4">
        <v>201</v>
      </c>
      <c r="L83" s="4">
        <v>1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06" x14ac:dyDescent="0.2">
      <c r="A84" s="4">
        <v>50</v>
      </c>
      <c r="B84" s="4">
        <v>0</v>
      </c>
      <c r="C84" s="4">
        <v>0</v>
      </c>
      <c r="D84" s="4">
        <v>1</v>
      </c>
      <c r="E84" s="4">
        <v>202</v>
      </c>
      <c r="F84" s="4">
        <f>ROUND(Source!P81,O84)</f>
        <v>2042191.69</v>
      </c>
      <c r="G84" s="4" t="s">
        <v>284</v>
      </c>
      <c r="H84" s="4" t="s">
        <v>285</v>
      </c>
      <c r="I84" s="4"/>
      <c r="J84" s="4"/>
      <c r="K84" s="4">
        <v>202</v>
      </c>
      <c r="L84" s="4">
        <v>2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0</v>
      </c>
      <c r="C85" s="4">
        <v>0</v>
      </c>
      <c r="D85" s="4">
        <v>1</v>
      </c>
      <c r="E85" s="4">
        <v>222</v>
      </c>
      <c r="F85" s="4">
        <f>ROUND(Source!AO81,O85)</f>
        <v>0</v>
      </c>
      <c r="G85" s="4" t="s">
        <v>286</v>
      </c>
      <c r="H85" s="4" t="s">
        <v>287</v>
      </c>
      <c r="I85" s="4"/>
      <c r="J85" s="4"/>
      <c r="K85" s="4">
        <v>222</v>
      </c>
      <c r="L85" s="4">
        <v>3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0</v>
      </c>
      <c r="C86" s="4">
        <v>0</v>
      </c>
      <c r="D86" s="4">
        <v>1</v>
      </c>
      <c r="E86" s="4">
        <v>225</v>
      </c>
      <c r="F86" s="4">
        <f>ROUND(Source!AV81,O86)</f>
        <v>2042191.69</v>
      </c>
      <c r="G86" s="4" t="s">
        <v>288</v>
      </c>
      <c r="H86" s="4" t="s">
        <v>289</v>
      </c>
      <c r="I86" s="4"/>
      <c r="J86" s="4"/>
      <c r="K86" s="4">
        <v>225</v>
      </c>
      <c r="L86" s="4">
        <v>4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226</v>
      </c>
      <c r="F87" s="4">
        <f>ROUND(Source!AW81,O87)</f>
        <v>2042191.69</v>
      </c>
      <c r="G87" s="4" t="s">
        <v>290</v>
      </c>
      <c r="H87" s="4" t="s">
        <v>291</v>
      </c>
      <c r="I87" s="4"/>
      <c r="J87" s="4"/>
      <c r="K87" s="4">
        <v>226</v>
      </c>
      <c r="L87" s="4">
        <v>5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227</v>
      </c>
      <c r="F88" s="4">
        <f>ROUND(Source!AX81,O88)</f>
        <v>0</v>
      </c>
      <c r="G88" s="4" t="s">
        <v>292</v>
      </c>
      <c r="H88" s="4" t="s">
        <v>293</v>
      </c>
      <c r="I88" s="4"/>
      <c r="J88" s="4"/>
      <c r="K88" s="4">
        <v>227</v>
      </c>
      <c r="L88" s="4">
        <v>6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228</v>
      </c>
      <c r="F89" s="4">
        <f>ROUND(Source!AY81,O89)</f>
        <v>2042191.69</v>
      </c>
      <c r="G89" s="4" t="s">
        <v>294</v>
      </c>
      <c r="H89" s="4" t="s">
        <v>295</v>
      </c>
      <c r="I89" s="4"/>
      <c r="J89" s="4"/>
      <c r="K89" s="4">
        <v>228</v>
      </c>
      <c r="L89" s="4">
        <v>7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216</v>
      </c>
      <c r="F90" s="4">
        <f>ROUND(Source!AP81,O90)</f>
        <v>0</v>
      </c>
      <c r="G90" s="4" t="s">
        <v>296</v>
      </c>
      <c r="H90" s="4" t="s">
        <v>297</v>
      </c>
      <c r="I90" s="4"/>
      <c r="J90" s="4"/>
      <c r="K90" s="4">
        <v>216</v>
      </c>
      <c r="L90" s="4">
        <v>8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223</v>
      </c>
      <c r="F91" s="4">
        <f>ROUND(Source!AQ81,O91)</f>
        <v>0</v>
      </c>
      <c r="G91" s="4" t="s">
        <v>298</v>
      </c>
      <c r="H91" s="4" t="s">
        <v>299</v>
      </c>
      <c r="I91" s="4"/>
      <c r="J91" s="4"/>
      <c r="K91" s="4">
        <v>223</v>
      </c>
      <c r="L91" s="4">
        <v>9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229</v>
      </c>
      <c r="F92" s="4">
        <f>ROUND(Source!AZ81,O92)</f>
        <v>0</v>
      </c>
      <c r="G92" s="4" t="s">
        <v>300</v>
      </c>
      <c r="H92" s="4" t="s">
        <v>301</v>
      </c>
      <c r="I92" s="4"/>
      <c r="J92" s="4"/>
      <c r="K92" s="4">
        <v>229</v>
      </c>
      <c r="L92" s="4">
        <v>10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203</v>
      </c>
      <c r="F93" s="4">
        <f>ROUND(Source!Q81,O93)</f>
        <v>102517.07</v>
      </c>
      <c r="G93" s="4" t="s">
        <v>302</v>
      </c>
      <c r="H93" s="4" t="s">
        <v>303</v>
      </c>
      <c r="I93" s="4"/>
      <c r="J93" s="4"/>
      <c r="K93" s="4">
        <v>203</v>
      </c>
      <c r="L93" s="4">
        <v>11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231</v>
      </c>
      <c r="F94" s="4">
        <f>ROUND(Source!BB81,O94)</f>
        <v>0</v>
      </c>
      <c r="G94" s="4" t="s">
        <v>304</v>
      </c>
      <c r="H94" s="4" t="s">
        <v>305</v>
      </c>
      <c r="I94" s="4"/>
      <c r="J94" s="4"/>
      <c r="K94" s="4">
        <v>231</v>
      </c>
      <c r="L94" s="4">
        <v>12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204</v>
      </c>
      <c r="F95" s="4">
        <f>ROUND(Source!R81,O95)</f>
        <v>12789.79</v>
      </c>
      <c r="G95" s="4" t="s">
        <v>306</v>
      </c>
      <c r="H95" s="4" t="s">
        <v>307</v>
      </c>
      <c r="I95" s="4"/>
      <c r="J95" s="4"/>
      <c r="K95" s="4">
        <v>204</v>
      </c>
      <c r="L95" s="4">
        <v>13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205</v>
      </c>
      <c r="F96" s="4">
        <f>ROUND(Source!S81,O96)</f>
        <v>141725.07</v>
      </c>
      <c r="G96" s="4" t="s">
        <v>308</v>
      </c>
      <c r="H96" s="4" t="s">
        <v>309</v>
      </c>
      <c r="I96" s="4"/>
      <c r="J96" s="4"/>
      <c r="K96" s="4">
        <v>205</v>
      </c>
      <c r="L96" s="4">
        <v>14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232</v>
      </c>
      <c r="F97" s="4">
        <f>ROUND(Source!BC81,O97)</f>
        <v>0</v>
      </c>
      <c r="G97" s="4" t="s">
        <v>310</v>
      </c>
      <c r="H97" s="4" t="s">
        <v>311</v>
      </c>
      <c r="I97" s="4"/>
      <c r="J97" s="4"/>
      <c r="K97" s="4">
        <v>232</v>
      </c>
      <c r="L97" s="4">
        <v>15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214</v>
      </c>
      <c r="F98" s="4">
        <f>ROUND(Source!AS81,O98)</f>
        <v>255578.61</v>
      </c>
      <c r="G98" s="4" t="s">
        <v>312</v>
      </c>
      <c r="H98" s="4" t="s">
        <v>313</v>
      </c>
      <c r="I98" s="4"/>
      <c r="J98" s="4"/>
      <c r="K98" s="4">
        <v>214</v>
      </c>
      <c r="L98" s="4">
        <v>16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215</v>
      </c>
      <c r="F99" s="4">
        <f>ROUND(Source!AT81,O99)</f>
        <v>2154392.33</v>
      </c>
      <c r="G99" s="4" t="s">
        <v>314</v>
      </c>
      <c r="H99" s="4" t="s">
        <v>315</v>
      </c>
      <c r="I99" s="4"/>
      <c r="J99" s="4"/>
      <c r="K99" s="4">
        <v>215</v>
      </c>
      <c r="L99" s="4">
        <v>17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217</v>
      </c>
      <c r="F100" s="4">
        <f>ROUND(Source!AU81,O100)</f>
        <v>69321.86</v>
      </c>
      <c r="G100" s="4" t="s">
        <v>316</v>
      </c>
      <c r="H100" s="4" t="s">
        <v>317</v>
      </c>
      <c r="I100" s="4"/>
      <c r="J100" s="4"/>
      <c r="K100" s="4">
        <v>217</v>
      </c>
      <c r="L100" s="4">
        <v>18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230</v>
      </c>
      <c r="F101" s="4">
        <f>ROUND(Source!BA81,O101)</f>
        <v>0</v>
      </c>
      <c r="G101" s="4" t="s">
        <v>318</v>
      </c>
      <c r="H101" s="4" t="s">
        <v>319</v>
      </c>
      <c r="I101" s="4"/>
      <c r="J101" s="4"/>
      <c r="K101" s="4">
        <v>230</v>
      </c>
      <c r="L101" s="4">
        <v>19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206</v>
      </c>
      <c r="F102" s="4">
        <f>ROUND(Source!T81,O102)</f>
        <v>0</v>
      </c>
      <c r="G102" s="4" t="s">
        <v>320</v>
      </c>
      <c r="H102" s="4" t="s">
        <v>321</v>
      </c>
      <c r="I102" s="4"/>
      <c r="J102" s="4"/>
      <c r="K102" s="4">
        <v>206</v>
      </c>
      <c r="L102" s="4">
        <v>20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207</v>
      </c>
      <c r="F103" s="4">
        <f>Source!U81</f>
        <v>2722.847498000001</v>
      </c>
      <c r="G103" s="4" t="s">
        <v>322</v>
      </c>
      <c r="H103" s="4" t="s">
        <v>323</v>
      </c>
      <c r="I103" s="4"/>
      <c r="J103" s="4"/>
      <c r="K103" s="4">
        <v>207</v>
      </c>
      <c r="L103" s="4">
        <v>21</v>
      </c>
      <c r="M103" s="4">
        <v>3</v>
      </c>
      <c r="N103" s="4" t="s">
        <v>3</v>
      </c>
      <c r="O103" s="4">
        <v>-1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208</v>
      </c>
      <c r="F104" s="4">
        <f>Source!V81</f>
        <v>207.09348750000007</v>
      </c>
      <c r="G104" s="4" t="s">
        <v>324</v>
      </c>
      <c r="H104" s="4" t="s">
        <v>325</v>
      </c>
      <c r="I104" s="4"/>
      <c r="J104" s="4"/>
      <c r="K104" s="4">
        <v>208</v>
      </c>
      <c r="L104" s="4">
        <v>22</v>
      </c>
      <c r="M104" s="4">
        <v>3</v>
      </c>
      <c r="N104" s="4" t="s">
        <v>3</v>
      </c>
      <c r="O104" s="4">
        <v>-1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209</v>
      </c>
      <c r="F105" s="4">
        <f>ROUND(Source!W81,O105)</f>
        <v>0</v>
      </c>
      <c r="G105" s="4" t="s">
        <v>326</v>
      </c>
      <c r="H105" s="4" t="s">
        <v>327</v>
      </c>
      <c r="I105" s="4"/>
      <c r="J105" s="4"/>
      <c r="K105" s="4">
        <v>209</v>
      </c>
      <c r="L105" s="4">
        <v>23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210</v>
      </c>
      <c r="F106" s="4">
        <f>ROUND(Source!X81,O106)</f>
        <v>120495.06</v>
      </c>
      <c r="G106" s="4" t="s">
        <v>328</v>
      </c>
      <c r="H106" s="4" t="s">
        <v>329</v>
      </c>
      <c r="I106" s="4"/>
      <c r="J106" s="4"/>
      <c r="K106" s="4">
        <v>210</v>
      </c>
      <c r="L106" s="4">
        <v>24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211</v>
      </c>
      <c r="F107" s="4">
        <f>ROUND(Source!Y81,O107)</f>
        <v>72363.91</v>
      </c>
      <c r="G107" s="4" t="s">
        <v>330</v>
      </c>
      <c r="H107" s="4" t="s">
        <v>331</v>
      </c>
      <c r="I107" s="4"/>
      <c r="J107" s="4"/>
      <c r="K107" s="4">
        <v>211</v>
      </c>
      <c r="L107" s="4">
        <v>25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224</v>
      </c>
      <c r="F108" s="4">
        <f>ROUND(Source!AR81,O108)</f>
        <v>2479292.7999999998</v>
      </c>
      <c r="G108" s="4" t="s">
        <v>332</v>
      </c>
      <c r="H108" s="4" t="s">
        <v>333</v>
      </c>
      <c r="I108" s="4"/>
      <c r="J108" s="4"/>
      <c r="K108" s="4">
        <v>224</v>
      </c>
      <c r="L108" s="4">
        <v>26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1</v>
      </c>
      <c r="C109" s="4">
        <v>0</v>
      </c>
      <c r="D109" s="4">
        <v>2</v>
      </c>
      <c r="E109" s="4">
        <v>0</v>
      </c>
      <c r="F109" s="4">
        <f>ROUND(F108,O109)</f>
        <v>2479292.7999999998</v>
      </c>
      <c r="G109" s="4" t="s">
        <v>334</v>
      </c>
      <c r="H109" s="4" t="s">
        <v>335</v>
      </c>
      <c r="I109" s="4"/>
      <c r="J109" s="4"/>
      <c r="K109" s="4">
        <v>212</v>
      </c>
      <c r="L109" s="4">
        <v>27</v>
      </c>
      <c r="M109" s="4">
        <v>0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1</v>
      </c>
      <c r="C110" s="4">
        <v>0</v>
      </c>
      <c r="D110" s="4">
        <v>2</v>
      </c>
      <c r="E110" s="4">
        <v>0</v>
      </c>
      <c r="F110" s="4">
        <f>ROUND(F109*0.18,O110)</f>
        <v>446272.7</v>
      </c>
      <c r="G110" s="4" t="s">
        <v>336</v>
      </c>
      <c r="H110" s="4" t="s">
        <v>337</v>
      </c>
      <c r="I110" s="4"/>
      <c r="J110" s="4"/>
      <c r="K110" s="4">
        <v>212</v>
      </c>
      <c r="L110" s="4">
        <v>28</v>
      </c>
      <c r="M110" s="4">
        <v>0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1</v>
      </c>
      <c r="C111" s="4">
        <v>0</v>
      </c>
      <c r="D111" s="4">
        <v>2</v>
      </c>
      <c r="E111" s="4">
        <v>213</v>
      </c>
      <c r="F111" s="4">
        <f>ROUND(F109+F110,O111)</f>
        <v>2925565.5</v>
      </c>
      <c r="G111" s="4" t="s">
        <v>338</v>
      </c>
      <c r="H111" s="4" t="s">
        <v>332</v>
      </c>
      <c r="I111" s="4"/>
      <c r="J111" s="4"/>
      <c r="K111" s="4">
        <v>212</v>
      </c>
      <c r="L111" s="4">
        <v>29</v>
      </c>
      <c r="M111" s="4">
        <v>0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3" spans="1:206" x14ac:dyDescent="0.2">
      <c r="A113" s="2">
        <v>51</v>
      </c>
      <c r="B113" s="2">
        <f>B12</f>
        <v>171</v>
      </c>
      <c r="C113" s="2">
        <f>A12</f>
        <v>1</v>
      </c>
      <c r="D113" s="2">
        <f>ROW(A12)</f>
        <v>12</v>
      </c>
      <c r="E113" s="2"/>
      <c r="F113" s="2" t="str">
        <f>IF(F12&lt;&gt;"",F12,"")</f>
        <v>Новый объект</v>
      </c>
      <c r="G113" s="2" t="str">
        <f>IF(G12&lt;&gt;"",G12,"")</f>
        <v>на капитальный ремонт кабельных трасс и щита распределительной подстанции ТП2 загородного  учебно-спортивного  комплекса "база отдыха Волга" НИЯУ МИФИ по адресу: Тверская область,Калининский район,п/о Лисицкий бор,деревня Видогощи</v>
      </c>
      <c r="H113" s="2">
        <v>0</v>
      </c>
      <c r="I113" s="2"/>
      <c r="J113" s="2"/>
      <c r="K113" s="2"/>
      <c r="L113" s="2"/>
      <c r="M113" s="2"/>
      <c r="N113" s="2"/>
      <c r="O113" s="2">
        <f t="shared" ref="O113:T113" si="96">ROUND(O81,2)</f>
        <v>2286433.83</v>
      </c>
      <c r="P113" s="2">
        <f t="shared" si="96"/>
        <v>2042191.69</v>
      </c>
      <c r="Q113" s="2">
        <f t="shared" si="96"/>
        <v>102517.07</v>
      </c>
      <c r="R113" s="2">
        <f t="shared" si="96"/>
        <v>12789.79</v>
      </c>
      <c r="S113" s="2">
        <f t="shared" si="96"/>
        <v>141725.07</v>
      </c>
      <c r="T113" s="2">
        <f t="shared" si="96"/>
        <v>0</v>
      </c>
      <c r="U113" s="2">
        <f>U81</f>
        <v>2722.847498000001</v>
      </c>
      <c r="V113" s="2">
        <f>V81</f>
        <v>207.09348750000007</v>
      </c>
      <c r="W113" s="2">
        <f>ROUND(W81,2)</f>
        <v>0</v>
      </c>
      <c r="X113" s="2">
        <f>ROUND(X81,2)</f>
        <v>120495.06</v>
      </c>
      <c r="Y113" s="2">
        <f>ROUND(Y81,2)</f>
        <v>72363.91</v>
      </c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>
        <f t="shared" ref="AO113:BC113" si="97">ROUND(AO81,2)</f>
        <v>0</v>
      </c>
      <c r="AP113" s="2">
        <f t="shared" si="97"/>
        <v>0</v>
      </c>
      <c r="AQ113" s="2">
        <f t="shared" si="97"/>
        <v>0</v>
      </c>
      <c r="AR113" s="2">
        <f t="shared" si="97"/>
        <v>2479292.7999999998</v>
      </c>
      <c r="AS113" s="2">
        <f t="shared" si="97"/>
        <v>255578.61</v>
      </c>
      <c r="AT113" s="2">
        <f t="shared" si="97"/>
        <v>2154392.33</v>
      </c>
      <c r="AU113" s="2">
        <f t="shared" si="97"/>
        <v>69321.86</v>
      </c>
      <c r="AV113" s="2">
        <f t="shared" si="97"/>
        <v>2042191.69</v>
      </c>
      <c r="AW113" s="2">
        <f t="shared" si="97"/>
        <v>2042191.69</v>
      </c>
      <c r="AX113" s="2">
        <f t="shared" si="97"/>
        <v>0</v>
      </c>
      <c r="AY113" s="2">
        <f t="shared" si="97"/>
        <v>2042191.69</v>
      </c>
      <c r="AZ113" s="2">
        <f t="shared" si="97"/>
        <v>0</v>
      </c>
      <c r="BA113" s="2">
        <f t="shared" si="97"/>
        <v>0</v>
      </c>
      <c r="BB113" s="2">
        <f t="shared" si="97"/>
        <v>0</v>
      </c>
      <c r="BC113" s="2">
        <f t="shared" si="97"/>
        <v>0</v>
      </c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>
        <v>0</v>
      </c>
    </row>
    <row r="115" spans="1:206" x14ac:dyDescent="0.2">
      <c r="A115" s="4">
        <v>50</v>
      </c>
      <c r="B115" s="4">
        <v>0</v>
      </c>
      <c r="C115" s="4">
        <v>0</v>
      </c>
      <c r="D115" s="4">
        <v>1</v>
      </c>
      <c r="E115" s="4">
        <v>201</v>
      </c>
      <c r="F115" s="4">
        <f>ROUND(Source!O113,O115)</f>
        <v>2286433.83</v>
      </c>
      <c r="G115" s="4" t="s">
        <v>282</v>
      </c>
      <c r="H115" s="4" t="s">
        <v>283</v>
      </c>
      <c r="I115" s="4"/>
      <c r="J115" s="4"/>
      <c r="K115" s="4">
        <v>201</v>
      </c>
      <c r="L115" s="4">
        <v>1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06" x14ac:dyDescent="0.2">
      <c r="A116" s="4">
        <v>50</v>
      </c>
      <c r="B116" s="4">
        <v>0</v>
      </c>
      <c r="C116" s="4">
        <v>0</v>
      </c>
      <c r="D116" s="4">
        <v>1</v>
      </c>
      <c r="E116" s="4">
        <v>202</v>
      </c>
      <c r="F116" s="4">
        <f>ROUND(Source!P113,O116)</f>
        <v>2042191.69</v>
      </c>
      <c r="G116" s="4" t="s">
        <v>284</v>
      </c>
      <c r="H116" s="4" t="s">
        <v>285</v>
      </c>
      <c r="I116" s="4"/>
      <c r="J116" s="4"/>
      <c r="K116" s="4">
        <v>202</v>
      </c>
      <c r="L116" s="4">
        <v>2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06" x14ac:dyDescent="0.2">
      <c r="A117" s="4">
        <v>50</v>
      </c>
      <c r="B117" s="4">
        <v>0</v>
      </c>
      <c r="C117" s="4">
        <v>0</v>
      </c>
      <c r="D117" s="4">
        <v>1</v>
      </c>
      <c r="E117" s="4">
        <v>222</v>
      </c>
      <c r="F117" s="4">
        <f>ROUND(Source!AO113,O117)</f>
        <v>0</v>
      </c>
      <c r="G117" s="4" t="s">
        <v>286</v>
      </c>
      <c r="H117" s="4" t="s">
        <v>287</v>
      </c>
      <c r="I117" s="4"/>
      <c r="J117" s="4"/>
      <c r="K117" s="4">
        <v>222</v>
      </c>
      <c r="L117" s="4">
        <v>3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06" x14ac:dyDescent="0.2">
      <c r="A118" s="4">
        <v>50</v>
      </c>
      <c r="B118" s="4">
        <v>0</v>
      </c>
      <c r="C118" s="4">
        <v>0</v>
      </c>
      <c r="D118" s="4">
        <v>1</v>
      </c>
      <c r="E118" s="4">
        <v>225</v>
      </c>
      <c r="F118" s="4">
        <f>ROUND(Source!AV113,O118)</f>
        <v>2042191.69</v>
      </c>
      <c r="G118" s="4" t="s">
        <v>288</v>
      </c>
      <c r="H118" s="4" t="s">
        <v>289</v>
      </c>
      <c r="I118" s="4"/>
      <c r="J118" s="4"/>
      <c r="K118" s="4">
        <v>225</v>
      </c>
      <c r="L118" s="4">
        <v>4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06" x14ac:dyDescent="0.2">
      <c r="A119" s="4">
        <v>50</v>
      </c>
      <c r="B119" s="4">
        <v>0</v>
      </c>
      <c r="C119" s="4">
        <v>0</v>
      </c>
      <c r="D119" s="4">
        <v>1</v>
      </c>
      <c r="E119" s="4">
        <v>226</v>
      </c>
      <c r="F119" s="4">
        <f>ROUND(Source!AW113,O119)</f>
        <v>2042191.69</v>
      </c>
      <c r="G119" s="4" t="s">
        <v>290</v>
      </c>
      <c r="H119" s="4" t="s">
        <v>291</v>
      </c>
      <c r="I119" s="4"/>
      <c r="J119" s="4"/>
      <c r="K119" s="4">
        <v>226</v>
      </c>
      <c r="L119" s="4">
        <v>5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06" x14ac:dyDescent="0.2">
      <c r="A120" s="4">
        <v>50</v>
      </c>
      <c r="B120" s="4">
        <v>0</v>
      </c>
      <c r="C120" s="4">
        <v>0</v>
      </c>
      <c r="D120" s="4">
        <v>1</v>
      </c>
      <c r="E120" s="4">
        <v>227</v>
      </c>
      <c r="F120" s="4">
        <f>ROUND(Source!AX113,O120)</f>
        <v>0</v>
      </c>
      <c r="G120" s="4" t="s">
        <v>292</v>
      </c>
      <c r="H120" s="4" t="s">
        <v>293</v>
      </c>
      <c r="I120" s="4"/>
      <c r="J120" s="4"/>
      <c r="K120" s="4">
        <v>227</v>
      </c>
      <c r="L120" s="4">
        <v>6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06" x14ac:dyDescent="0.2">
      <c r="A121" s="4">
        <v>50</v>
      </c>
      <c r="B121" s="4">
        <v>0</v>
      </c>
      <c r="C121" s="4">
        <v>0</v>
      </c>
      <c r="D121" s="4">
        <v>1</v>
      </c>
      <c r="E121" s="4">
        <v>228</v>
      </c>
      <c r="F121" s="4">
        <f>ROUND(Source!AY113,O121)</f>
        <v>2042191.69</v>
      </c>
      <c r="G121" s="4" t="s">
        <v>294</v>
      </c>
      <c r="H121" s="4" t="s">
        <v>295</v>
      </c>
      <c r="I121" s="4"/>
      <c r="J121" s="4"/>
      <c r="K121" s="4">
        <v>228</v>
      </c>
      <c r="L121" s="4">
        <v>7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06" x14ac:dyDescent="0.2">
      <c r="A122" s="4">
        <v>50</v>
      </c>
      <c r="B122" s="4">
        <v>0</v>
      </c>
      <c r="C122" s="4">
        <v>0</v>
      </c>
      <c r="D122" s="4">
        <v>1</v>
      </c>
      <c r="E122" s="4">
        <v>216</v>
      </c>
      <c r="F122" s="4">
        <f>ROUND(Source!AP113,O122)</f>
        <v>0</v>
      </c>
      <c r="G122" s="4" t="s">
        <v>296</v>
      </c>
      <c r="H122" s="4" t="s">
        <v>297</v>
      </c>
      <c r="I122" s="4"/>
      <c r="J122" s="4"/>
      <c r="K122" s="4">
        <v>216</v>
      </c>
      <c r="L122" s="4">
        <v>8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06" x14ac:dyDescent="0.2">
      <c r="A123" s="4">
        <v>50</v>
      </c>
      <c r="B123" s="4">
        <v>0</v>
      </c>
      <c r="C123" s="4">
        <v>0</v>
      </c>
      <c r="D123" s="4">
        <v>1</v>
      </c>
      <c r="E123" s="4">
        <v>223</v>
      </c>
      <c r="F123" s="4">
        <f>ROUND(Source!AQ113,O123)</f>
        <v>0</v>
      </c>
      <c r="G123" s="4" t="s">
        <v>298</v>
      </c>
      <c r="H123" s="4" t="s">
        <v>299</v>
      </c>
      <c r="I123" s="4"/>
      <c r="J123" s="4"/>
      <c r="K123" s="4">
        <v>223</v>
      </c>
      <c r="L123" s="4">
        <v>9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06" x14ac:dyDescent="0.2">
      <c r="A124" s="4">
        <v>50</v>
      </c>
      <c r="B124" s="4">
        <v>0</v>
      </c>
      <c r="C124" s="4">
        <v>0</v>
      </c>
      <c r="D124" s="4">
        <v>1</v>
      </c>
      <c r="E124" s="4">
        <v>229</v>
      </c>
      <c r="F124" s="4">
        <f>ROUND(Source!AZ113,O124)</f>
        <v>0</v>
      </c>
      <c r="G124" s="4" t="s">
        <v>300</v>
      </c>
      <c r="H124" s="4" t="s">
        <v>301</v>
      </c>
      <c r="I124" s="4"/>
      <c r="J124" s="4"/>
      <c r="K124" s="4">
        <v>229</v>
      </c>
      <c r="L124" s="4">
        <v>10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06" x14ac:dyDescent="0.2">
      <c r="A125" s="4">
        <v>50</v>
      </c>
      <c r="B125" s="4">
        <v>0</v>
      </c>
      <c r="C125" s="4">
        <v>0</v>
      </c>
      <c r="D125" s="4">
        <v>1</v>
      </c>
      <c r="E125" s="4">
        <v>203</v>
      </c>
      <c r="F125" s="4">
        <f>ROUND(Source!Q113,O125)</f>
        <v>102517.07</v>
      </c>
      <c r="G125" s="4" t="s">
        <v>302</v>
      </c>
      <c r="H125" s="4" t="s">
        <v>303</v>
      </c>
      <c r="I125" s="4"/>
      <c r="J125" s="4"/>
      <c r="K125" s="4">
        <v>203</v>
      </c>
      <c r="L125" s="4">
        <v>11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06" x14ac:dyDescent="0.2">
      <c r="A126" s="4">
        <v>50</v>
      </c>
      <c r="B126" s="4">
        <v>0</v>
      </c>
      <c r="C126" s="4">
        <v>0</v>
      </c>
      <c r="D126" s="4">
        <v>1</v>
      </c>
      <c r="E126" s="4">
        <v>231</v>
      </c>
      <c r="F126" s="4">
        <f>ROUND(Source!BB113,O126)</f>
        <v>0</v>
      </c>
      <c r="G126" s="4" t="s">
        <v>304</v>
      </c>
      <c r="H126" s="4" t="s">
        <v>305</v>
      </c>
      <c r="I126" s="4"/>
      <c r="J126" s="4"/>
      <c r="K126" s="4">
        <v>231</v>
      </c>
      <c r="L126" s="4">
        <v>12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06" x14ac:dyDescent="0.2">
      <c r="A127" s="4">
        <v>50</v>
      </c>
      <c r="B127" s="4">
        <v>0</v>
      </c>
      <c r="C127" s="4">
        <v>0</v>
      </c>
      <c r="D127" s="4">
        <v>1</v>
      </c>
      <c r="E127" s="4">
        <v>204</v>
      </c>
      <c r="F127" s="4">
        <f>ROUND(Source!R113,O127)</f>
        <v>12789.79</v>
      </c>
      <c r="G127" s="4" t="s">
        <v>306</v>
      </c>
      <c r="H127" s="4" t="s">
        <v>307</v>
      </c>
      <c r="I127" s="4"/>
      <c r="J127" s="4"/>
      <c r="K127" s="4">
        <v>204</v>
      </c>
      <c r="L127" s="4">
        <v>13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06" x14ac:dyDescent="0.2">
      <c r="A128" s="4">
        <v>50</v>
      </c>
      <c r="B128" s="4">
        <v>0</v>
      </c>
      <c r="C128" s="4">
        <v>0</v>
      </c>
      <c r="D128" s="4">
        <v>1</v>
      </c>
      <c r="E128" s="4">
        <v>205</v>
      </c>
      <c r="F128" s="4">
        <f>ROUND(Source!S113,O128)</f>
        <v>141725.07</v>
      </c>
      <c r="G128" s="4" t="s">
        <v>308</v>
      </c>
      <c r="H128" s="4" t="s">
        <v>309</v>
      </c>
      <c r="I128" s="4"/>
      <c r="J128" s="4"/>
      <c r="K128" s="4">
        <v>205</v>
      </c>
      <c r="L128" s="4">
        <v>14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232</v>
      </c>
      <c r="F129" s="4">
        <f>ROUND(Source!BC113,O129)</f>
        <v>0</v>
      </c>
      <c r="G129" s="4" t="s">
        <v>310</v>
      </c>
      <c r="H129" s="4" t="s">
        <v>311</v>
      </c>
      <c r="I129" s="4"/>
      <c r="J129" s="4"/>
      <c r="K129" s="4">
        <v>232</v>
      </c>
      <c r="L129" s="4">
        <v>15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214</v>
      </c>
      <c r="F130" s="4">
        <f>ROUND(Source!AS113,O130)</f>
        <v>255578.61</v>
      </c>
      <c r="G130" s="4" t="s">
        <v>312</v>
      </c>
      <c r="H130" s="4" t="s">
        <v>313</v>
      </c>
      <c r="I130" s="4"/>
      <c r="J130" s="4"/>
      <c r="K130" s="4">
        <v>214</v>
      </c>
      <c r="L130" s="4">
        <v>16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215</v>
      </c>
      <c r="F131" s="4">
        <f>ROUND(Source!AT113,O131)</f>
        <v>2154392.33</v>
      </c>
      <c r="G131" s="4" t="s">
        <v>314</v>
      </c>
      <c r="H131" s="4" t="s">
        <v>315</v>
      </c>
      <c r="I131" s="4"/>
      <c r="J131" s="4"/>
      <c r="K131" s="4">
        <v>215</v>
      </c>
      <c r="L131" s="4">
        <v>17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217</v>
      </c>
      <c r="F132" s="4">
        <f>ROUND(Source!AU113,O132)</f>
        <v>69321.86</v>
      </c>
      <c r="G132" s="4" t="s">
        <v>316</v>
      </c>
      <c r="H132" s="4" t="s">
        <v>317</v>
      </c>
      <c r="I132" s="4"/>
      <c r="J132" s="4"/>
      <c r="K132" s="4">
        <v>217</v>
      </c>
      <c r="L132" s="4">
        <v>18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230</v>
      </c>
      <c r="F133" s="4">
        <f>ROUND(Source!BA113,O133)</f>
        <v>0</v>
      </c>
      <c r="G133" s="4" t="s">
        <v>318</v>
      </c>
      <c r="H133" s="4" t="s">
        <v>319</v>
      </c>
      <c r="I133" s="4"/>
      <c r="J133" s="4"/>
      <c r="K133" s="4">
        <v>230</v>
      </c>
      <c r="L133" s="4">
        <v>19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206</v>
      </c>
      <c r="F134" s="4">
        <f>ROUND(Source!T113,O134)</f>
        <v>0</v>
      </c>
      <c r="G134" s="4" t="s">
        <v>320</v>
      </c>
      <c r="H134" s="4" t="s">
        <v>321</v>
      </c>
      <c r="I134" s="4"/>
      <c r="J134" s="4"/>
      <c r="K134" s="4">
        <v>206</v>
      </c>
      <c r="L134" s="4">
        <v>20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207</v>
      </c>
      <c r="F135" s="4">
        <f>Source!U113</f>
        <v>2722.847498000001</v>
      </c>
      <c r="G135" s="4" t="s">
        <v>322</v>
      </c>
      <c r="H135" s="4" t="s">
        <v>323</v>
      </c>
      <c r="I135" s="4"/>
      <c r="J135" s="4"/>
      <c r="K135" s="4">
        <v>207</v>
      </c>
      <c r="L135" s="4">
        <v>21</v>
      </c>
      <c r="M135" s="4">
        <v>3</v>
      </c>
      <c r="N135" s="4" t="s">
        <v>3</v>
      </c>
      <c r="O135" s="4">
        <v>-1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208</v>
      </c>
      <c r="F136" s="4">
        <f>Source!V113</f>
        <v>207.09348750000007</v>
      </c>
      <c r="G136" s="4" t="s">
        <v>324</v>
      </c>
      <c r="H136" s="4" t="s">
        <v>325</v>
      </c>
      <c r="I136" s="4"/>
      <c r="J136" s="4"/>
      <c r="K136" s="4">
        <v>208</v>
      </c>
      <c r="L136" s="4">
        <v>22</v>
      </c>
      <c r="M136" s="4">
        <v>3</v>
      </c>
      <c r="N136" s="4" t="s">
        <v>3</v>
      </c>
      <c r="O136" s="4">
        <v>-1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209</v>
      </c>
      <c r="F137" s="4">
        <f>ROUND(Source!W113,O137)</f>
        <v>0</v>
      </c>
      <c r="G137" s="4" t="s">
        <v>326</v>
      </c>
      <c r="H137" s="4" t="s">
        <v>327</v>
      </c>
      <c r="I137" s="4"/>
      <c r="J137" s="4"/>
      <c r="K137" s="4">
        <v>209</v>
      </c>
      <c r="L137" s="4">
        <v>23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210</v>
      </c>
      <c r="F138" s="4">
        <f>ROUND(Source!X113,O138)</f>
        <v>120495.06</v>
      </c>
      <c r="G138" s="4" t="s">
        <v>328</v>
      </c>
      <c r="H138" s="4" t="s">
        <v>329</v>
      </c>
      <c r="I138" s="4"/>
      <c r="J138" s="4"/>
      <c r="K138" s="4">
        <v>210</v>
      </c>
      <c r="L138" s="4">
        <v>24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 x14ac:dyDescent="0.2">
      <c r="A139" s="4">
        <v>50</v>
      </c>
      <c r="B139" s="4">
        <v>0</v>
      </c>
      <c r="C139" s="4">
        <v>0</v>
      </c>
      <c r="D139" s="4">
        <v>1</v>
      </c>
      <c r="E139" s="4">
        <v>211</v>
      </c>
      <c r="F139" s="4">
        <f>ROUND(Source!Y113,O139)</f>
        <v>72363.91</v>
      </c>
      <c r="G139" s="4" t="s">
        <v>330</v>
      </c>
      <c r="H139" s="4" t="s">
        <v>331</v>
      </c>
      <c r="I139" s="4"/>
      <c r="J139" s="4"/>
      <c r="K139" s="4">
        <v>211</v>
      </c>
      <c r="L139" s="4">
        <v>25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 x14ac:dyDescent="0.2">
      <c r="A140" s="4">
        <v>50</v>
      </c>
      <c r="B140" s="4">
        <v>0</v>
      </c>
      <c r="C140" s="4">
        <v>0</v>
      </c>
      <c r="D140" s="4">
        <v>1</v>
      </c>
      <c r="E140" s="4">
        <v>224</v>
      </c>
      <c r="F140" s="4">
        <f>ROUND(Source!AR113,O140)</f>
        <v>2479292.7999999998</v>
      </c>
      <c r="G140" s="4" t="s">
        <v>332</v>
      </c>
      <c r="H140" s="4" t="s">
        <v>333</v>
      </c>
      <c r="I140" s="4"/>
      <c r="J140" s="4"/>
      <c r="K140" s="4">
        <v>224</v>
      </c>
      <c r="L140" s="4">
        <v>26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3" spans="1:23" x14ac:dyDescent="0.2">
      <c r="A143">
        <v>70</v>
      </c>
      <c r="B143">
        <v>1</v>
      </c>
      <c r="D143">
        <v>1</v>
      </c>
      <c r="E143" t="s">
        <v>339</v>
      </c>
      <c r="F143" t="s">
        <v>340</v>
      </c>
      <c r="G143">
        <v>0</v>
      </c>
      <c r="H143">
        <v>0</v>
      </c>
      <c r="I143" t="s">
        <v>3</v>
      </c>
      <c r="J143">
        <v>1</v>
      </c>
      <c r="K143">
        <v>0</v>
      </c>
      <c r="L143" t="s">
        <v>3</v>
      </c>
      <c r="M143" t="s">
        <v>3</v>
      </c>
      <c r="N143">
        <v>0</v>
      </c>
    </row>
    <row r="144" spans="1:23" x14ac:dyDescent="0.2">
      <c r="A144">
        <v>70</v>
      </c>
      <c r="B144">
        <v>1</v>
      </c>
      <c r="D144">
        <v>2</v>
      </c>
      <c r="E144" t="s">
        <v>341</v>
      </c>
      <c r="F144" t="s">
        <v>342</v>
      </c>
      <c r="G144">
        <v>1</v>
      </c>
      <c r="H144">
        <v>0</v>
      </c>
      <c r="I144" t="s">
        <v>3</v>
      </c>
      <c r="J144">
        <v>1</v>
      </c>
      <c r="K144">
        <v>0</v>
      </c>
      <c r="L144" t="s">
        <v>3</v>
      </c>
      <c r="M144" t="s">
        <v>3</v>
      </c>
      <c r="N144">
        <v>0</v>
      </c>
    </row>
    <row r="145" spans="1:14" x14ac:dyDescent="0.2">
      <c r="A145">
        <v>70</v>
      </c>
      <c r="B145">
        <v>1</v>
      </c>
      <c r="D145">
        <v>3</v>
      </c>
      <c r="E145" t="s">
        <v>343</v>
      </c>
      <c r="F145" t="s">
        <v>344</v>
      </c>
      <c r="G145">
        <v>0</v>
      </c>
      <c r="H145">
        <v>0</v>
      </c>
      <c r="I145" t="s">
        <v>3</v>
      </c>
      <c r="J145">
        <v>1</v>
      </c>
      <c r="K145">
        <v>0</v>
      </c>
      <c r="L145" t="s">
        <v>3</v>
      </c>
      <c r="M145" t="s">
        <v>3</v>
      </c>
      <c r="N145">
        <v>0</v>
      </c>
    </row>
    <row r="146" spans="1:14" x14ac:dyDescent="0.2">
      <c r="A146">
        <v>70</v>
      </c>
      <c r="B146">
        <v>1</v>
      </c>
      <c r="D146">
        <v>4</v>
      </c>
      <c r="E146" t="s">
        <v>345</v>
      </c>
      <c r="F146" t="s">
        <v>346</v>
      </c>
      <c r="G146">
        <v>0</v>
      </c>
      <c r="H146">
        <v>0</v>
      </c>
      <c r="I146" t="s">
        <v>347</v>
      </c>
      <c r="J146">
        <v>0</v>
      </c>
      <c r="K146">
        <v>0</v>
      </c>
      <c r="L146" t="s">
        <v>3</v>
      </c>
      <c r="M146" t="s">
        <v>3</v>
      </c>
      <c r="N146">
        <v>0</v>
      </c>
    </row>
    <row r="147" spans="1:14" x14ac:dyDescent="0.2">
      <c r="A147">
        <v>70</v>
      </c>
      <c r="B147">
        <v>1</v>
      </c>
      <c r="D147">
        <v>5</v>
      </c>
      <c r="E147" t="s">
        <v>348</v>
      </c>
      <c r="F147" t="s">
        <v>349</v>
      </c>
      <c r="G147">
        <v>0</v>
      </c>
      <c r="H147">
        <v>0</v>
      </c>
      <c r="I147" t="s">
        <v>350</v>
      </c>
      <c r="J147">
        <v>0</v>
      </c>
      <c r="K147">
        <v>0</v>
      </c>
      <c r="L147" t="s">
        <v>3</v>
      </c>
      <c r="M147" t="s">
        <v>3</v>
      </c>
      <c r="N147">
        <v>0</v>
      </c>
    </row>
    <row r="148" spans="1:14" x14ac:dyDescent="0.2">
      <c r="A148">
        <v>70</v>
      </c>
      <c r="B148">
        <v>1</v>
      </c>
      <c r="D148">
        <v>6</v>
      </c>
      <c r="E148" t="s">
        <v>351</v>
      </c>
      <c r="F148" t="s">
        <v>352</v>
      </c>
      <c r="G148">
        <v>0</v>
      </c>
      <c r="H148">
        <v>0</v>
      </c>
      <c r="I148" t="s">
        <v>353</v>
      </c>
      <c r="J148">
        <v>0</v>
      </c>
      <c r="K148">
        <v>0</v>
      </c>
      <c r="L148" t="s">
        <v>3</v>
      </c>
      <c r="M148" t="s">
        <v>3</v>
      </c>
      <c r="N148">
        <v>0</v>
      </c>
    </row>
    <row r="149" spans="1:14" x14ac:dyDescent="0.2">
      <c r="A149">
        <v>70</v>
      </c>
      <c r="B149">
        <v>1</v>
      </c>
      <c r="D149">
        <v>7</v>
      </c>
      <c r="E149" t="s">
        <v>354</v>
      </c>
      <c r="F149" t="s">
        <v>355</v>
      </c>
      <c r="G149">
        <v>0</v>
      </c>
      <c r="H149">
        <v>0</v>
      </c>
      <c r="I149" t="s">
        <v>3</v>
      </c>
      <c r="J149">
        <v>0</v>
      </c>
      <c r="K149">
        <v>0</v>
      </c>
      <c r="L149" t="s">
        <v>3</v>
      </c>
      <c r="M149" t="s">
        <v>3</v>
      </c>
      <c r="N149">
        <v>0</v>
      </c>
    </row>
    <row r="150" spans="1:14" x14ac:dyDescent="0.2">
      <c r="A150">
        <v>70</v>
      </c>
      <c r="B150">
        <v>1</v>
      </c>
      <c r="D150">
        <v>8</v>
      </c>
      <c r="E150" t="s">
        <v>356</v>
      </c>
      <c r="F150" t="s">
        <v>357</v>
      </c>
      <c r="G150">
        <v>0</v>
      </c>
      <c r="H150">
        <v>0</v>
      </c>
      <c r="I150" t="s">
        <v>358</v>
      </c>
      <c r="J150">
        <v>0</v>
      </c>
      <c r="K150">
        <v>0</v>
      </c>
      <c r="L150" t="s">
        <v>3</v>
      </c>
      <c r="M150" t="s">
        <v>3</v>
      </c>
      <c r="N150">
        <v>0</v>
      </c>
    </row>
    <row r="151" spans="1:14" x14ac:dyDescent="0.2">
      <c r="A151">
        <v>70</v>
      </c>
      <c r="B151">
        <v>1</v>
      </c>
      <c r="D151">
        <v>9</v>
      </c>
      <c r="E151" t="s">
        <v>359</v>
      </c>
      <c r="F151" t="s">
        <v>360</v>
      </c>
      <c r="G151">
        <v>0</v>
      </c>
      <c r="H151">
        <v>0</v>
      </c>
      <c r="I151" t="s">
        <v>361</v>
      </c>
      <c r="J151">
        <v>0</v>
      </c>
      <c r="K151">
        <v>0</v>
      </c>
      <c r="L151" t="s">
        <v>3</v>
      </c>
      <c r="M151" t="s">
        <v>3</v>
      </c>
      <c r="N151">
        <v>0</v>
      </c>
    </row>
    <row r="152" spans="1:14" x14ac:dyDescent="0.2">
      <c r="A152">
        <v>70</v>
      </c>
      <c r="B152">
        <v>1</v>
      </c>
      <c r="D152">
        <v>10</v>
      </c>
      <c r="E152" t="s">
        <v>362</v>
      </c>
      <c r="F152" t="s">
        <v>363</v>
      </c>
      <c r="G152">
        <v>0</v>
      </c>
      <c r="H152">
        <v>0</v>
      </c>
      <c r="I152" t="s">
        <v>364</v>
      </c>
      <c r="J152">
        <v>0</v>
      </c>
      <c r="K152">
        <v>0</v>
      </c>
      <c r="L152" t="s">
        <v>3</v>
      </c>
      <c r="M152" t="s">
        <v>3</v>
      </c>
      <c r="N152">
        <v>0</v>
      </c>
    </row>
    <row r="153" spans="1:14" x14ac:dyDescent="0.2">
      <c r="A153">
        <v>70</v>
      </c>
      <c r="B153">
        <v>1</v>
      </c>
      <c r="D153">
        <v>11</v>
      </c>
      <c r="E153" t="s">
        <v>365</v>
      </c>
      <c r="F153" t="s">
        <v>366</v>
      </c>
      <c r="G153">
        <v>0</v>
      </c>
      <c r="H153">
        <v>0</v>
      </c>
      <c r="I153" t="s">
        <v>367</v>
      </c>
      <c r="J153">
        <v>0</v>
      </c>
      <c r="K153">
        <v>0</v>
      </c>
      <c r="L153" t="s">
        <v>3</v>
      </c>
      <c r="M153" t="s">
        <v>3</v>
      </c>
      <c r="N153">
        <v>0</v>
      </c>
    </row>
    <row r="154" spans="1:14" x14ac:dyDescent="0.2">
      <c r="A154">
        <v>70</v>
      </c>
      <c r="B154">
        <v>1</v>
      </c>
      <c r="D154">
        <v>12</v>
      </c>
      <c r="E154" t="s">
        <v>368</v>
      </c>
      <c r="F154" t="s">
        <v>369</v>
      </c>
      <c r="G154">
        <v>0</v>
      </c>
      <c r="H154">
        <v>0</v>
      </c>
      <c r="I154" t="s">
        <v>3</v>
      </c>
      <c r="J154">
        <v>0</v>
      </c>
      <c r="K154">
        <v>0</v>
      </c>
      <c r="L154" t="s">
        <v>3</v>
      </c>
      <c r="M154" t="s">
        <v>3</v>
      </c>
      <c r="N154">
        <v>0</v>
      </c>
    </row>
    <row r="155" spans="1:14" x14ac:dyDescent="0.2">
      <c r="A155">
        <v>70</v>
      </c>
      <c r="B155">
        <v>1</v>
      </c>
      <c r="D155">
        <v>1</v>
      </c>
      <c r="E155" t="s">
        <v>370</v>
      </c>
      <c r="F155" t="s">
        <v>371</v>
      </c>
      <c r="G155">
        <v>0.9</v>
      </c>
      <c r="H155">
        <v>1</v>
      </c>
      <c r="I155" t="s">
        <v>372</v>
      </c>
      <c r="J155">
        <v>0</v>
      </c>
      <c r="K155">
        <v>0</v>
      </c>
      <c r="L155" t="s">
        <v>3</v>
      </c>
      <c r="M155" t="s">
        <v>3</v>
      </c>
      <c r="N155">
        <v>0</v>
      </c>
    </row>
    <row r="156" spans="1:14" x14ac:dyDescent="0.2">
      <c r="A156">
        <v>70</v>
      </c>
      <c r="B156">
        <v>1</v>
      </c>
      <c r="D156">
        <v>2</v>
      </c>
      <c r="E156" t="s">
        <v>373</v>
      </c>
      <c r="F156" t="s">
        <v>374</v>
      </c>
      <c r="G156">
        <v>0.85</v>
      </c>
      <c r="H156">
        <v>1</v>
      </c>
      <c r="I156" t="s">
        <v>375</v>
      </c>
      <c r="J156">
        <v>0</v>
      </c>
      <c r="K156">
        <v>0</v>
      </c>
      <c r="L156" t="s">
        <v>3</v>
      </c>
      <c r="M156" t="s">
        <v>3</v>
      </c>
      <c r="N156">
        <v>0</v>
      </c>
    </row>
    <row r="157" spans="1:14" x14ac:dyDescent="0.2">
      <c r="A157">
        <v>70</v>
      </c>
      <c r="B157">
        <v>1</v>
      </c>
      <c r="D157">
        <v>3</v>
      </c>
      <c r="E157" t="s">
        <v>376</v>
      </c>
      <c r="F157" t="s">
        <v>377</v>
      </c>
      <c r="G157">
        <v>1</v>
      </c>
      <c r="H157">
        <v>0.85</v>
      </c>
      <c r="I157" t="s">
        <v>378</v>
      </c>
      <c r="J157">
        <v>0</v>
      </c>
      <c r="K157">
        <v>0</v>
      </c>
      <c r="L157" t="s">
        <v>3</v>
      </c>
      <c r="M157" t="s">
        <v>3</v>
      </c>
      <c r="N157">
        <v>0</v>
      </c>
    </row>
    <row r="158" spans="1:14" x14ac:dyDescent="0.2">
      <c r="A158">
        <v>70</v>
      </c>
      <c r="B158">
        <v>1</v>
      </c>
      <c r="D158">
        <v>4</v>
      </c>
      <c r="E158" t="s">
        <v>379</v>
      </c>
      <c r="F158" t="s">
        <v>380</v>
      </c>
      <c r="G158">
        <v>1</v>
      </c>
      <c r="H158">
        <v>0</v>
      </c>
      <c r="I158" t="s">
        <v>3</v>
      </c>
      <c r="J158">
        <v>0</v>
      </c>
      <c r="K158">
        <v>0</v>
      </c>
      <c r="L158" t="s">
        <v>3</v>
      </c>
      <c r="M158" t="s">
        <v>3</v>
      </c>
      <c r="N158">
        <v>0</v>
      </c>
    </row>
    <row r="159" spans="1:14" x14ac:dyDescent="0.2">
      <c r="A159">
        <v>70</v>
      </c>
      <c r="B159">
        <v>1</v>
      </c>
      <c r="D159">
        <v>5</v>
      </c>
      <c r="E159" t="s">
        <v>381</v>
      </c>
      <c r="F159" t="s">
        <v>382</v>
      </c>
      <c r="G159">
        <v>1</v>
      </c>
      <c r="H159">
        <v>0.8</v>
      </c>
      <c r="I159" t="s">
        <v>383</v>
      </c>
      <c r="J159">
        <v>0</v>
      </c>
      <c r="K159">
        <v>0</v>
      </c>
      <c r="L159" t="s">
        <v>3</v>
      </c>
      <c r="M159" t="s">
        <v>3</v>
      </c>
      <c r="N159">
        <v>0</v>
      </c>
    </row>
    <row r="160" spans="1:14" x14ac:dyDescent="0.2">
      <c r="A160">
        <v>70</v>
      </c>
      <c r="B160">
        <v>1</v>
      </c>
      <c r="D160">
        <v>6</v>
      </c>
      <c r="E160" t="s">
        <v>384</v>
      </c>
      <c r="F160" t="s">
        <v>385</v>
      </c>
      <c r="G160">
        <v>0.85</v>
      </c>
      <c r="H160">
        <v>0</v>
      </c>
      <c r="I160" t="s">
        <v>3</v>
      </c>
      <c r="J160">
        <v>0</v>
      </c>
      <c r="K160">
        <v>0</v>
      </c>
      <c r="L160" t="s">
        <v>3</v>
      </c>
      <c r="M160" t="s">
        <v>3</v>
      </c>
      <c r="N160">
        <v>0</v>
      </c>
    </row>
    <row r="161" spans="1:34" x14ac:dyDescent="0.2">
      <c r="A161">
        <v>70</v>
      </c>
      <c r="B161">
        <v>1</v>
      </c>
      <c r="D161">
        <v>7</v>
      </c>
      <c r="E161" t="s">
        <v>386</v>
      </c>
      <c r="F161" t="s">
        <v>387</v>
      </c>
      <c r="G161">
        <v>0.8</v>
      </c>
      <c r="H161">
        <v>0</v>
      </c>
      <c r="I161" t="s">
        <v>3</v>
      </c>
      <c r="J161">
        <v>0</v>
      </c>
      <c r="K161">
        <v>0</v>
      </c>
      <c r="L161" t="s">
        <v>3</v>
      </c>
      <c r="M161" t="s">
        <v>3</v>
      </c>
      <c r="N161">
        <v>0</v>
      </c>
    </row>
    <row r="162" spans="1:34" x14ac:dyDescent="0.2">
      <c r="A162">
        <v>70</v>
      </c>
      <c r="B162">
        <v>1</v>
      </c>
      <c r="D162">
        <v>8</v>
      </c>
      <c r="E162" t="s">
        <v>388</v>
      </c>
      <c r="F162" t="s">
        <v>389</v>
      </c>
      <c r="G162">
        <v>0.94</v>
      </c>
      <c r="H162">
        <v>0</v>
      </c>
      <c r="I162" t="s">
        <v>3</v>
      </c>
      <c r="J162">
        <v>0</v>
      </c>
      <c r="K162">
        <v>0</v>
      </c>
      <c r="L162" t="s">
        <v>3</v>
      </c>
      <c r="M162" t="s">
        <v>3</v>
      </c>
      <c r="N162">
        <v>0</v>
      </c>
    </row>
    <row r="163" spans="1:34" x14ac:dyDescent="0.2">
      <c r="A163">
        <v>70</v>
      </c>
      <c r="B163">
        <v>1</v>
      </c>
      <c r="D163">
        <v>9</v>
      </c>
      <c r="E163" t="s">
        <v>390</v>
      </c>
      <c r="F163" t="s">
        <v>391</v>
      </c>
      <c r="G163">
        <v>0.9</v>
      </c>
      <c r="H163">
        <v>0</v>
      </c>
      <c r="I163" t="s">
        <v>3</v>
      </c>
      <c r="J163">
        <v>0</v>
      </c>
      <c r="K163">
        <v>0</v>
      </c>
      <c r="L163" t="s">
        <v>3</v>
      </c>
      <c r="M163" t="s">
        <v>3</v>
      </c>
      <c r="N163">
        <v>0</v>
      </c>
    </row>
    <row r="164" spans="1:34" x14ac:dyDescent="0.2">
      <c r="A164">
        <v>70</v>
      </c>
      <c r="B164">
        <v>1</v>
      </c>
      <c r="D164">
        <v>10</v>
      </c>
      <c r="E164" t="s">
        <v>392</v>
      </c>
      <c r="F164" t="s">
        <v>393</v>
      </c>
      <c r="G164">
        <v>0.6</v>
      </c>
      <c r="H164">
        <v>0</v>
      </c>
      <c r="I164" t="s">
        <v>3</v>
      </c>
      <c r="J164">
        <v>0</v>
      </c>
      <c r="K164">
        <v>0</v>
      </c>
      <c r="L164" t="s">
        <v>3</v>
      </c>
      <c r="M164" t="s">
        <v>3</v>
      </c>
      <c r="N164">
        <v>0</v>
      </c>
    </row>
    <row r="165" spans="1:34" x14ac:dyDescent="0.2">
      <c r="A165">
        <v>70</v>
      </c>
      <c r="B165">
        <v>1</v>
      </c>
      <c r="D165">
        <v>11</v>
      </c>
      <c r="E165" t="s">
        <v>394</v>
      </c>
      <c r="F165" t="s">
        <v>395</v>
      </c>
      <c r="G165">
        <v>1.2</v>
      </c>
      <c r="H165">
        <v>0</v>
      </c>
      <c r="I165" t="s">
        <v>3</v>
      </c>
      <c r="J165">
        <v>0</v>
      </c>
      <c r="K165">
        <v>0</v>
      </c>
      <c r="L165" t="s">
        <v>3</v>
      </c>
      <c r="M165" t="s">
        <v>3</v>
      </c>
      <c r="N165">
        <v>0</v>
      </c>
    </row>
    <row r="166" spans="1:34" x14ac:dyDescent="0.2">
      <c r="A166">
        <v>70</v>
      </c>
      <c r="B166">
        <v>1</v>
      </c>
      <c r="D166">
        <v>12</v>
      </c>
      <c r="E166" t="s">
        <v>396</v>
      </c>
      <c r="F166" t="s">
        <v>397</v>
      </c>
      <c r="G166">
        <v>0</v>
      </c>
      <c r="H166">
        <v>0</v>
      </c>
      <c r="I166" t="s">
        <v>3</v>
      </c>
      <c r="J166">
        <v>0</v>
      </c>
      <c r="K166">
        <v>0</v>
      </c>
      <c r="L166" t="s">
        <v>3</v>
      </c>
      <c r="M166" t="s">
        <v>3</v>
      </c>
      <c r="N166">
        <v>0</v>
      </c>
    </row>
    <row r="167" spans="1:34" x14ac:dyDescent="0.2">
      <c r="A167">
        <v>70</v>
      </c>
      <c r="B167">
        <v>1</v>
      </c>
      <c r="D167">
        <v>13</v>
      </c>
      <c r="E167" t="s">
        <v>398</v>
      </c>
      <c r="F167" t="s">
        <v>399</v>
      </c>
      <c r="G167">
        <v>0.94</v>
      </c>
      <c r="H167">
        <v>0</v>
      </c>
      <c r="I167" t="s">
        <v>3</v>
      </c>
      <c r="J167">
        <v>0</v>
      </c>
      <c r="K167">
        <v>0</v>
      </c>
      <c r="L167" t="s">
        <v>3</v>
      </c>
      <c r="M167" t="s">
        <v>3</v>
      </c>
      <c r="N167">
        <v>0</v>
      </c>
    </row>
    <row r="169" spans="1:34" x14ac:dyDescent="0.2">
      <c r="A169">
        <v>-1</v>
      </c>
    </row>
    <row r="171" spans="1:34" x14ac:dyDescent="0.2">
      <c r="A171" s="3">
        <v>75</v>
      </c>
      <c r="B171" s="3" t="s">
        <v>400</v>
      </c>
      <c r="C171" s="3">
        <v>2018</v>
      </c>
      <c r="D171" s="3">
        <v>3</v>
      </c>
      <c r="E171" s="3">
        <v>0</v>
      </c>
      <c r="F171" s="3">
        <v>0</v>
      </c>
      <c r="G171" s="3">
        <v>0</v>
      </c>
      <c r="H171" s="3">
        <v>1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39610380</v>
      </c>
      <c r="O171" s="3">
        <v>1</v>
      </c>
    </row>
    <row r="172" spans="1:34" x14ac:dyDescent="0.2">
      <c r="A172" s="5">
        <v>3</v>
      </c>
      <c r="B172" s="5" t="s">
        <v>401</v>
      </c>
      <c r="C172" s="5">
        <v>4.88</v>
      </c>
      <c r="D172" s="5">
        <v>1</v>
      </c>
      <c r="E172" s="5">
        <v>1</v>
      </c>
      <c r="F172" s="5">
        <v>1</v>
      </c>
      <c r="G172" s="5">
        <v>1</v>
      </c>
      <c r="H172" s="5">
        <v>1</v>
      </c>
      <c r="I172" s="5">
        <v>1</v>
      </c>
      <c r="J172" s="5">
        <v>1</v>
      </c>
      <c r="K172" s="5">
        <v>14.21</v>
      </c>
      <c r="L172" s="5">
        <v>1</v>
      </c>
      <c r="M172" s="5">
        <v>4.88</v>
      </c>
      <c r="N172" s="5">
        <v>1</v>
      </c>
      <c r="O172" s="5">
        <v>1</v>
      </c>
      <c r="P172" s="5">
        <v>1</v>
      </c>
      <c r="Q172" s="5">
        <v>14.21</v>
      </c>
      <c r="R172" s="5">
        <v>1</v>
      </c>
      <c r="S172" s="5" t="s">
        <v>3</v>
      </c>
      <c r="T172" s="5" t="s">
        <v>3</v>
      </c>
      <c r="U172" s="5" t="s">
        <v>3</v>
      </c>
      <c r="V172" s="5" t="s">
        <v>3</v>
      </c>
      <c r="W172" s="5" t="s">
        <v>3</v>
      </c>
      <c r="X172" s="5" t="s">
        <v>3</v>
      </c>
      <c r="Y172" s="5" t="s">
        <v>3</v>
      </c>
      <c r="Z172" s="5" t="s">
        <v>3</v>
      </c>
      <c r="AA172" s="5" t="s">
        <v>3</v>
      </c>
      <c r="AB172" s="5" t="s">
        <v>3</v>
      </c>
      <c r="AC172" s="5" t="s">
        <v>3</v>
      </c>
      <c r="AD172" s="5" t="s">
        <v>3</v>
      </c>
      <c r="AE172" s="5" t="s">
        <v>3</v>
      </c>
      <c r="AF172" s="5" t="s">
        <v>3</v>
      </c>
      <c r="AG172" s="5" t="s">
        <v>3</v>
      </c>
      <c r="AH172" s="5" t="s">
        <v>3</v>
      </c>
    </row>
    <row r="176" spans="1:34" x14ac:dyDescent="0.2">
      <c r="A176">
        <v>65</v>
      </c>
      <c r="C176">
        <v>1</v>
      </c>
      <c r="D176">
        <v>0</v>
      </c>
      <c r="E17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402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39610380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(Source!F98)/1000</f>
        <v>255.57861</v>
      </c>
      <c r="F16" s="7">
        <f>(Source!F99)/1000</f>
        <v>2154.3923300000001</v>
      </c>
      <c r="G16" s="7">
        <f>(Source!F90)/1000</f>
        <v>0</v>
      </c>
      <c r="H16" s="7">
        <f>(Source!F100)/1000+(Source!F101)/1000</f>
        <v>69.321860000000001</v>
      </c>
      <c r="I16" s="7">
        <f>E16+F16+G16+H16</f>
        <v>2479.2928000000002</v>
      </c>
      <c r="J16" s="7">
        <f>(Source!F96)/1000</f>
        <v>141.72507000000002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2297286.0299999998</v>
      </c>
      <c r="AU16" s="7">
        <v>2046555.45</v>
      </c>
      <c r="AV16" s="7">
        <v>0</v>
      </c>
      <c r="AW16" s="7">
        <v>0</v>
      </c>
      <c r="AX16" s="7">
        <v>0</v>
      </c>
      <c r="AY16" s="7">
        <v>108018.68</v>
      </c>
      <c r="AZ16" s="7">
        <v>13655.21</v>
      </c>
      <c r="BA16" s="7">
        <v>142711.9</v>
      </c>
      <c r="BB16" s="7">
        <v>255578.61</v>
      </c>
      <c r="BC16" s="7">
        <v>2168208.12</v>
      </c>
      <c r="BD16" s="7">
        <v>69321.86</v>
      </c>
      <c r="BE16" s="7">
        <v>0</v>
      </c>
      <c r="BF16" s="7">
        <v>2743.867498000001</v>
      </c>
      <c r="BG16" s="7">
        <v>221.81348750000006</v>
      </c>
      <c r="BH16" s="7">
        <v>0</v>
      </c>
      <c r="BI16" s="7">
        <v>122254.69</v>
      </c>
      <c r="BJ16" s="7">
        <v>73567.87</v>
      </c>
      <c r="BK16" s="7">
        <v>2493108.59</v>
      </c>
    </row>
    <row r="18" spans="1:19" x14ac:dyDescent="0.2">
      <c r="A18">
        <v>51</v>
      </c>
      <c r="E18" s="8">
        <f>SUMIF(A16:A17,3,E16:E17)</f>
        <v>255.57861</v>
      </c>
      <c r="F18" s="8">
        <f>SUMIF(A16:A17,3,F16:F17)</f>
        <v>2154.3923300000001</v>
      </c>
      <c r="G18" s="8">
        <f>SUMIF(A16:A17,3,G16:G17)</f>
        <v>0</v>
      </c>
      <c r="H18" s="8">
        <f>SUMIF(A16:A17,3,H16:H17)</f>
        <v>69.321860000000001</v>
      </c>
      <c r="I18" s="8">
        <f>SUMIF(A16:A17,3,I16:I17)</f>
        <v>2479.2928000000002</v>
      </c>
      <c r="J18" s="8">
        <f>SUMIF(A16:A17,3,J16:J17)</f>
        <v>141.72507000000002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2297286.0299999998</v>
      </c>
      <c r="G20" s="4" t="s">
        <v>282</v>
      </c>
      <c r="H20" s="4" t="s">
        <v>283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2046555.45</v>
      </c>
      <c r="G21" s="4" t="s">
        <v>284</v>
      </c>
      <c r="H21" s="4" t="s">
        <v>285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286</v>
      </c>
      <c r="H22" s="4" t="s">
        <v>287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2046555.45</v>
      </c>
      <c r="G23" s="4" t="s">
        <v>288</v>
      </c>
      <c r="H23" s="4" t="s">
        <v>289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2046555.45</v>
      </c>
      <c r="G24" s="4" t="s">
        <v>290</v>
      </c>
      <c r="H24" s="4" t="s">
        <v>291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292</v>
      </c>
      <c r="H25" s="4" t="s">
        <v>293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2046555.45</v>
      </c>
      <c r="G26" s="4" t="s">
        <v>294</v>
      </c>
      <c r="H26" s="4" t="s">
        <v>295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296</v>
      </c>
      <c r="H27" s="4" t="s">
        <v>297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298</v>
      </c>
      <c r="H28" s="4" t="s">
        <v>299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300</v>
      </c>
      <c r="H29" s="4" t="s">
        <v>301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108018.68</v>
      </c>
      <c r="G30" s="4" t="s">
        <v>302</v>
      </c>
      <c r="H30" s="4" t="s">
        <v>303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304</v>
      </c>
      <c r="H31" s="4" t="s">
        <v>305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13655.21</v>
      </c>
      <c r="G32" s="4" t="s">
        <v>306</v>
      </c>
      <c r="H32" s="4" t="s">
        <v>307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142711.9</v>
      </c>
      <c r="G33" s="4" t="s">
        <v>308</v>
      </c>
      <c r="H33" s="4" t="s">
        <v>309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310</v>
      </c>
      <c r="H34" s="4" t="s">
        <v>311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255578.61</v>
      </c>
      <c r="G35" s="4" t="s">
        <v>312</v>
      </c>
      <c r="H35" s="4" t="s">
        <v>313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2168208.12</v>
      </c>
      <c r="G36" s="4" t="s">
        <v>314</v>
      </c>
      <c r="H36" s="4" t="s">
        <v>315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69321.86</v>
      </c>
      <c r="G37" s="4" t="s">
        <v>316</v>
      </c>
      <c r="H37" s="4" t="s">
        <v>317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318</v>
      </c>
      <c r="H38" s="4" t="s">
        <v>319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320</v>
      </c>
      <c r="H39" s="4" t="s">
        <v>321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2743.867498000001</v>
      </c>
      <c r="G40" s="4" t="s">
        <v>322</v>
      </c>
      <c r="H40" s="4" t="s">
        <v>323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221.81348750000006</v>
      </c>
      <c r="G41" s="4" t="s">
        <v>324</v>
      </c>
      <c r="H41" s="4" t="s">
        <v>325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326</v>
      </c>
      <c r="H42" s="4" t="s">
        <v>327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122254.69</v>
      </c>
      <c r="G43" s="4" t="s">
        <v>328</v>
      </c>
      <c r="H43" s="4" t="s">
        <v>329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73567.87</v>
      </c>
      <c r="G44" s="4" t="s">
        <v>330</v>
      </c>
      <c r="H44" s="4" t="s">
        <v>331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2493108.59</v>
      </c>
      <c r="G45" s="4" t="s">
        <v>332</v>
      </c>
      <c r="H45" s="4" t="s">
        <v>333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400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39610380</v>
      </c>
      <c r="O50" s="3">
        <v>1</v>
      </c>
    </row>
    <row r="51" spans="1:34" x14ac:dyDescent="0.2">
      <c r="A51" s="5">
        <v>3</v>
      </c>
      <c r="B51" s="5" t="s">
        <v>401</v>
      </c>
      <c r="C51" s="5">
        <v>4.88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14.21</v>
      </c>
      <c r="L51" s="5">
        <v>1</v>
      </c>
      <c r="M51" s="5">
        <v>4.88</v>
      </c>
      <c r="N51" s="5">
        <v>1</v>
      </c>
      <c r="O51" s="5">
        <v>1</v>
      </c>
      <c r="P51" s="5">
        <v>1</v>
      </c>
      <c r="Q51" s="5">
        <v>14.21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6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39610380</v>
      </c>
      <c r="C1">
        <v>39610397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403</v>
      </c>
      <c r="J1" t="s">
        <v>3</v>
      </c>
      <c r="K1" t="s">
        <v>404</v>
      </c>
      <c r="L1">
        <v>1191</v>
      </c>
      <c r="N1">
        <v>1013</v>
      </c>
      <c r="O1" t="s">
        <v>405</v>
      </c>
      <c r="P1" t="s">
        <v>405</v>
      </c>
      <c r="Q1">
        <v>1</v>
      </c>
      <c r="W1">
        <v>0</v>
      </c>
      <c r="X1">
        <v>1069510174</v>
      </c>
      <c r="Y1">
        <v>9.42</v>
      </c>
      <c r="AA1">
        <v>0</v>
      </c>
      <c r="AB1">
        <v>0</v>
      </c>
      <c r="AC1">
        <v>0</v>
      </c>
      <c r="AD1">
        <v>46.95</v>
      </c>
      <c r="AE1">
        <v>0</v>
      </c>
      <c r="AF1">
        <v>0</v>
      </c>
      <c r="AG1">
        <v>0</v>
      </c>
      <c r="AH1">
        <v>9.6199999999999992</v>
      </c>
      <c r="AI1">
        <v>1</v>
      </c>
      <c r="AJ1">
        <v>1</v>
      </c>
      <c r="AK1">
        <v>1</v>
      </c>
      <c r="AL1">
        <v>4.88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31.4</v>
      </c>
      <c r="AU1" t="s">
        <v>19</v>
      </c>
      <c r="AV1">
        <v>1</v>
      </c>
      <c r="AW1">
        <v>2</v>
      </c>
      <c r="AX1">
        <v>39610398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75.36</v>
      </c>
      <c r="CY1">
        <f>AD1</f>
        <v>46.95</v>
      </c>
      <c r="CZ1">
        <f>AH1</f>
        <v>9.6199999999999992</v>
      </c>
      <c r="DA1">
        <f>AL1</f>
        <v>4.88</v>
      </c>
      <c r="DB1">
        <v>0</v>
      </c>
    </row>
    <row r="2" spans="1:106" x14ac:dyDescent="0.2">
      <c r="A2">
        <f>ROW(Source!A24)</f>
        <v>24</v>
      </c>
      <c r="B2">
        <v>39610380</v>
      </c>
      <c r="C2">
        <v>39610397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406</v>
      </c>
      <c r="J2" t="s">
        <v>3</v>
      </c>
      <c r="K2" t="s">
        <v>407</v>
      </c>
      <c r="L2">
        <v>1191</v>
      </c>
      <c r="N2">
        <v>1013</v>
      </c>
      <c r="O2" t="s">
        <v>405</v>
      </c>
      <c r="P2" t="s">
        <v>405</v>
      </c>
      <c r="Q2">
        <v>1</v>
      </c>
      <c r="W2">
        <v>0</v>
      </c>
      <c r="X2">
        <v>-1417349443</v>
      </c>
      <c r="Y2">
        <v>3.45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4.88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3.45</v>
      </c>
      <c r="AU2" t="s">
        <v>3</v>
      </c>
      <c r="AV2">
        <v>2</v>
      </c>
      <c r="AW2">
        <v>2</v>
      </c>
      <c r="AX2">
        <v>39610399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27.6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39610380</v>
      </c>
      <c r="C3">
        <v>39610397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408</v>
      </c>
      <c r="J3" t="s">
        <v>409</v>
      </c>
      <c r="K3" t="s">
        <v>410</v>
      </c>
      <c r="L3">
        <v>1368</v>
      </c>
      <c r="N3">
        <v>1011</v>
      </c>
      <c r="O3" t="s">
        <v>411</v>
      </c>
      <c r="P3" t="s">
        <v>411</v>
      </c>
      <c r="Q3">
        <v>1</v>
      </c>
      <c r="W3">
        <v>0</v>
      </c>
      <c r="X3">
        <v>-1718674368</v>
      </c>
      <c r="Y3">
        <v>0.96</v>
      </c>
      <c r="AA3">
        <v>0</v>
      </c>
      <c r="AB3">
        <v>546.51</v>
      </c>
      <c r="AC3">
        <v>13.5</v>
      </c>
      <c r="AD3">
        <v>0</v>
      </c>
      <c r="AE3">
        <v>0</v>
      </c>
      <c r="AF3">
        <v>111.99</v>
      </c>
      <c r="AG3">
        <v>13.5</v>
      </c>
      <c r="AH3">
        <v>0</v>
      </c>
      <c r="AI3">
        <v>1</v>
      </c>
      <c r="AJ3">
        <v>4.88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3.2</v>
      </c>
      <c r="AU3" t="s">
        <v>19</v>
      </c>
      <c r="AV3">
        <v>0</v>
      </c>
      <c r="AW3">
        <v>2</v>
      </c>
      <c r="AX3">
        <v>39610400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7.68</v>
      </c>
      <c r="CY3">
        <f>AB3</f>
        <v>546.51</v>
      </c>
      <c r="CZ3">
        <f>AF3</f>
        <v>111.99</v>
      </c>
      <c r="DA3">
        <f>AJ3</f>
        <v>4.88</v>
      </c>
      <c r="DB3">
        <v>0</v>
      </c>
    </row>
    <row r="4" spans="1:106" x14ac:dyDescent="0.2">
      <c r="A4">
        <f>ROW(Source!A24)</f>
        <v>24</v>
      </c>
      <c r="B4">
        <v>39610380</v>
      </c>
      <c r="C4">
        <v>39610397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412</v>
      </c>
      <c r="J4" t="s">
        <v>413</v>
      </c>
      <c r="K4" t="s">
        <v>414</v>
      </c>
      <c r="L4">
        <v>1368</v>
      </c>
      <c r="N4">
        <v>1011</v>
      </c>
      <c r="O4" t="s">
        <v>411</v>
      </c>
      <c r="P4" t="s">
        <v>411</v>
      </c>
      <c r="Q4">
        <v>1</v>
      </c>
      <c r="W4">
        <v>0</v>
      </c>
      <c r="X4">
        <v>1372534845</v>
      </c>
      <c r="Y4">
        <v>7.4999999999999997E-2</v>
      </c>
      <c r="AA4">
        <v>0</v>
      </c>
      <c r="AB4">
        <v>320.66000000000003</v>
      </c>
      <c r="AC4">
        <v>11.6</v>
      </c>
      <c r="AD4">
        <v>0</v>
      </c>
      <c r="AE4">
        <v>0</v>
      </c>
      <c r="AF4">
        <v>65.709999999999994</v>
      </c>
      <c r="AG4">
        <v>11.6</v>
      </c>
      <c r="AH4">
        <v>0</v>
      </c>
      <c r="AI4">
        <v>1</v>
      </c>
      <c r="AJ4">
        <v>4.88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0.25</v>
      </c>
      <c r="AU4" t="s">
        <v>19</v>
      </c>
      <c r="AV4">
        <v>0</v>
      </c>
      <c r="AW4">
        <v>2</v>
      </c>
      <c r="AX4">
        <v>39610401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0.6</v>
      </c>
      <c r="CY4">
        <f>AB4</f>
        <v>320.66000000000003</v>
      </c>
      <c r="CZ4">
        <f>AF4</f>
        <v>65.709999999999994</v>
      </c>
      <c r="DA4">
        <f>AJ4</f>
        <v>4.88</v>
      </c>
      <c r="DB4">
        <v>0</v>
      </c>
    </row>
    <row r="5" spans="1:106" x14ac:dyDescent="0.2">
      <c r="A5">
        <f>ROW(Source!A24)</f>
        <v>24</v>
      </c>
      <c r="B5">
        <v>39610380</v>
      </c>
      <c r="C5">
        <v>39610397</v>
      </c>
      <c r="D5">
        <v>36883858</v>
      </c>
      <c r="E5">
        <v>1</v>
      </c>
      <c r="F5">
        <v>1</v>
      </c>
      <c r="G5">
        <v>1</v>
      </c>
      <c r="H5">
        <v>2</v>
      </c>
      <c r="I5" t="s">
        <v>415</v>
      </c>
      <c r="J5" t="s">
        <v>416</v>
      </c>
      <c r="K5" t="s">
        <v>417</v>
      </c>
      <c r="L5">
        <v>1368</v>
      </c>
      <c r="N5">
        <v>1011</v>
      </c>
      <c r="O5" t="s">
        <v>411</v>
      </c>
      <c r="P5" t="s">
        <v>411</v>
      </c>
      <c r="Q5">
        <v>1</v>
      </c>
      <c r="W5">
        <v>0</v>
      </c>
      <c r="X5">
        <v>-353815937</v>
      </c>
      <c r="Y5">
        <v>0.82200000000000006</v>
      </c>
      <c r="AA5">
        <v>0</v>
      </c>
      <c r="AB5">
        <v>39.53</v>
      </c>
      <c r="AC5">
        <v>0</v>
      </c>
      <c r="AD5">
        <v>0</v>
      </c>
      <c r="AE5">
        <v>0</v>
      </c>
      <c r="AF5">
        <v>8.1</v>
      </c>
      <c r="AG5">
        <v>0</v>
      </c>
      <c r="AH5">
        <v>0</v>
      </c>
      <c r="AI5">
        <v>1</v>
      </c>
      <c r="AJ5">
        <v>4.88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2.74</v>
      </c>
      <c r="AU5" t="s">
        <v>19</v>
      </c>
      <c r="AV5">
        <v>0</v>
      </c>
      <c r="AW5">
        <v>2</v>
      </c>
      <c r="AX5">
        <v>39610402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6.5760000000000005</v>
      </c>
      <c r="CY5">
        <f>AB5</f>
        <v>39.53</v>
      </c>
      <c r="CZ5">
        <f>AF5</f>
        <v>8.1</v>
      </c>
      <c r="DA5">
        <f>AJ5</f>
        <v>4.88</v>
      </c>
      <c r="DB5">
        <v>0</v>
      </c>
    </row>
    <row r="6" spans="1:106" x14ac:dyDescent="0.2">
      <c r="A6">
        <f>ROW(Source!A24)</f>
        <v>24</v>
      </c>
      <c r="B6">
        <v>39610380</v>
      </c>
      <c r="C6">
        <v>39610397</v>
      </c>
      <c r="D6">
        <v>36800101</v>
      </c>
      <c r="E6">
        <v>1</v>
      </c>
      <c r="F6">
        <v>1</v>
      </c>
      <c r="G6">
        <v>1</v>
      </c>
      <c r="H6">
        <v>3</v>
      </c>
      <c r="I6" t="s">
        <v>418</v>
      </c>
      <c r="J6" t="s">
        <v>419</v>
      </c>
      <c r="K6" t="s">
        <v>420</v>
      </c>
      <c r="L6">
        <v>1348</v>
      </c>
      <c r="N6">
        <v>1009</v>
      </c>
      <c r="O6" t="s">
        <v>237</v>
      </c>
      <c r="P6" t="s">
        <v>237</v>
      </c>
      <c r="Q6">
        <v>1000</v>
      </c>
      <c r="W6">
        <v>0</v>
      </c>
      <c r="X6">
        <v>1652104570</v>
      </c>
      <c r="Y6">
        <v>0</v>
      </c>
      <c r="AA6">
        <v>85400</v>
      </c>
      <c r="AB6">
        <v>0</v>
      </c>
      <c r="AC6">
        <v>0</v>
      </c>
      <c r="AD6">
        <v>0</v>
      </c>
      <c r="AE6">
        <v>17500</v>
      </c>
      <c r="AF6">
        <v>0</v>
      </c>
      <c r="AG6">
        <v>0</v>
      </c>
      <c r="AH6">
        <v>0</v>
      </c>
      <c r="AI6">
        <v>4.88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1E-3</v>
      </c>
      <c r="AU6" t="s">
        <v>18</v>
      </c>
      <c r="AV6">
        <v>0</v>
      </c>
      <c r="AW6">
        <v>2</v>
      </c>
      <c r="AX6">
        <v>39610403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0</v>
      </c>
      <c r="CY6">
        <f t="shared" ref="CY6:CY12" si="0">AA6</f>
        <v>85400</v>
      </c>
      <c r="CZ6">
        <f t="shared" ref="CZ6:CZ12" si="1">AE6</f>
        <v>17500</v>
      </c>
      <c r="DA6">
        <f t="shared" ref="DA6:DA12" si="2">AI6</f>
        <v>4.88</v>
      </c>
      <c r="DB6">
        <v>0</v>
      </c>
    </row>
    <row r="7" spans="1:106" x14ac:dyDescent="0.2">
      <c r="A7">
        <f>ROW(Source!A24)</f>
        <v>24</v>
      </c>
      <c r="B7">
        <v>39610380</v>
      </c>
      <c r="C7">
        <v>39610397</v>
      </c>
      <c r="D7">
        <v>36803258</v>
      </c>
      <c r="E7">
        <v>1</v>
      </c>
      <c r="F7">
        <v>1</v>
      </c>
      <c r="G7">
        <v>1</v>
      </c>
      <c r="H7">
        <v>3</v>
      </c>
      <c r="I7" t="s">
        <v>421</v>
      </c>
      <c r="J7" t="s">
        <v>422</v>
      </c>
      <c r="K7" t="s">
        <v>423</v>
      </c>
      <c r="L7">
        <v>1346</v>
      </c>
      <c r="N7">
        <v>1009</v>
      </c>
      <c r="O7" t="s">
        <v>424</v>
      </c>
      <c r="P7" t="s">
        <v>424</v>
      </c>
      <c r="Q7">
        <v>1</v>
      </c>
      <c r="W7">
        <v>0</v>
      </c>
      <c r="X7">
        <v>586013393</v>
      </c>
      <c r="Y7">
        <v>0</v>
      </c>
      <c r="AA7">
        <v>51.58</v>
      </c>
      <c r="AB7">
        <v>0</v>
      </c>
      <c r="AC7">
        <v>0</v>
      </c>
      <c r="AD7">
        <v>0</v>
      </c>
      <c r="AE7">
        <v>10.57</v>
      </c>
      <c r="AF7">
        <v>0</v>
      </c>
      <c r="AG7">
        <v>0</v>
      </c>
      <c r="AH7">
        <v>0</v>
      </c>
      <c r="AI7">
        <v>4.88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3.5</v>
      </c>
      <c r="AU7" t="s">
        <v>18</v>
      </c>
      <c r="AV7">
        <v>0</v>
      </c>
      <c r="AW7">
        <v>2</v>
      </c>
      <c r="AX7">
        <v>39610404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0</v>
      </c>
      <c r="CY7">
        <f t="shared" si="0"/>
        <v>51.58</v>
      </c>
      <c r="CZ7">
        <f t="shared" si="1"/>
        <v>10.57</v>
      </c>
      <c r="DA7">
        <f t="shared" si="2"/>
        <v>4.88</v>
      </c>
      <c r="DB7">
        <v>0</v>
      </c>
    </row>
    <row r="8" spans="1:106" x14ac:dyDescent="0.2">
      <c r="A8">
        <f>ROW(Source!A24)</f>
        <v>24</v>
      </c>
      <c r="B8">
        <v>39610380</v>
      </c>
      <c r="C8">
        <v>39610397</v>
      </c>
      <c r="D8">
        <v>36804448</v>
      </c>
      <c r="E8">
        <v>1</v>
      </c>
      <c r="F8">
        <v>1</v>
      </c>
      <c r="G8">
        <v>1</v>
      </c>
      <c r="H8">
        <v>3</v>
      </c>
      <c r="I8" t="s">
        <v>425</v>
      </c>
      <c r="J8" t="s">
        <v>426</v>
      </c>
      <c r="K8" t="s">
        <v>427</v>
      </c>
      <c r="L8">
        <v>1346</v>
      </c>
      <c r="N8">
        <v>1009</v>
      </c>
      <c r="O8" t="s">
        <v>424</v>
      </c>
      <c r="P8" t="s">
        <v>424</v>
      </c>
      <c r="Q8">
        <v>1</v>
      </c>
      <c r="W8">
        <v>0</v>
      </c>
      <c r="X8">
        <v>103900845</v>
      </c>
      <c r="Y8">
        <v>0</v>
      </c>
      <c r="AA8">
        <v>44.12</v>
      </c>
      <c r="AB8">
        <v>0</v>
      </c>
      <c r="AC8">
        <v>0</v>
      </c>
      <c r="AD8">
        <v>0</v>
      </c>
      <c r="AE8">
        <v>9.0399999999999991</v>
      </c>
      <c r="AF8">
        <v>0</v>
      </c>
      <c r="AG8">
        <v>0</v>
      </c>
      <c r="AH8">
        <v>0</v>
      </c>
      <c r="AI8">
        <v>4.88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3.03</v>
      </c>
      <c r="AU8" t="s">
        <v>18</v>
      </c>
      <c r="AV8">
        <v>0</v>
      </c>
      <c r="AW8">
        <v>2</v>
      </c>
      <c r="AX8">
        <v>39610405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0</v>
      </c>
      <c r="CY8">
        <f t="shared" si="0"/>
        <v>44.12</v>
      </c>
      <c r="CZ8">
        <f t="shared" si="1"/>
        <v>9.0399999999999991</v>
      </c>
      <c r="DA8">
        <f t="shared" si="2"/>
        <v>4.88</v>
      </c>
      <c r="DB8">
        <v>0</v>
      </c>
    </row>
    <row r="9" spans="1:106" x14ac:dyDescent="0.2">
      <c r="A9">
        <f>ROW(Source!A24)</f>
        <v>24</v>
      </c>
      <c r="B9">
        <v>39610380</v>
      </c>
      <c r="C9">
        <v>39610397</v>
      </c>
      <c r="D9">
        <v>36805521</v>
      </c>
      <c r="E9">
        <v>1</v>
      </c>
      <c r="F9">
        <v>1</v>
      </c>
      <c r="G9">
        <v>1</v>
      </c>
      <c r="H9">
        <v>3</v>
      </c>
      <c r="I9" t="s">
        <v>428</v>
      </c>
      <c r="J9" t="s">
        <v>429</v>
      </c>
      <c r="K9" t="s">
        <v>430</v>
      </c>
      <c r="L9">
        <v>1330</v>
      </c>
      <c r="N9">
        <v>1005</v>
      </c>
      <c r="O9" t="s">
        <v>431</v>
      </c>
      <c r="P9" t="s">
        <v>431</v>
      </c>
      <c r="Q9">
        <v>10</v>
      </c>
      <c r="W9">
        <v>0</v>
      </c>
      <c r="X9">
        <v>-1849729336</v>
      </c>
      <c r="Y9">
        <v>0</v>
      </c>
      <c r="AA9">
        <v>386.01</v>
      </c>
      <c r="AB9">
        <v>0</v>
      </c>
      <c r="AC9">
        <v>0</v>
      </c>
      <c r="AD9">
        <v>0</v>
      </c>
      <c r="AE9">
        <v>79.099999999999994</v>
      </c>
      <c r="AF9">
        <v>0</v>
      </c>
      <c r="AG9">
        <v>0</v>
      </c>
      <c r="AH9">
        <v>0</v>
      </c>
      <c r="AI9">
        <v>4.88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0.1</v>
      </c>
      <c r="AU9" t="s">
        <v>18</v>
      </c>
      <c r="AV9">
        <v>0</v>
      </c>
      <c r="AW9">
        <v>2</v>
      </c>
      <c r="AX9">
        <v>39610406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0</v>
      </c>
      <c r="CY9">
        <f t="shared" si="0"/>
        <v>386.01</v>
      </c>
      <c r="CZ9">
        <f t="shared" si="1"/>
        <v>79.099999999999994</v>
      </c>
      <c r="DA9">
        <f t="shared" si="2"/>
        <v>4.88</v>
      </c>
      <c r="DB9">
        <v>0</v>
      </c>
    </row>
    <row r="10" spans="1:106" x14ac:dyDescent="0.2">
      <c r="A10">
        <f>ROW(Source!A24)</f>
        <v>24</v>
      </c>
      <c r="B10">
        <v>39610380</v>
      </c>
      <c r="C10">
        <v>39610397</v>
      </c>
      <c r="D10">
        <v>36825981</v>
      </c>
      <c r="E10">
        <v>1</v>
      </c>
      <c r="F10">
        <v>1</v>
      </c>
      <c r="G10">
        <v>1</v>
      </c>
      <c r="H10">
        <v>3</v>
      </c>
      <c r="I10" t="s">
        <v>432</v>
      </c>
      <c r="J10" t="s">
        <v>433</v>
      </c>
      <c r="K10" t="s">
        <v>434</v>
      </c>
      <c r="L10">
        <v>1348</v>
      </c>
      <c r="N10">
        <v>1009</v>
      </c>
      <c r="O10" t="s">
        <v>237</v>
      </c>
      <c r="P10" t="s">
        <v>237</v>
      </c>
      <c r="Q10">
        <v>1000</v>
      </c>
      <c r="W10">
        <v>0</v>
      </c>
      <c r="X10">
        <v>-1598896989</v>
      </c>
      <c r="Y10">
        <v>0</v>
      </c>
      <c r="AA10">
        <v>24400</v>
      </c>
      <c r="AB10">
        <v>0</v>
      </c>
      <c r="AC10">
        <v>0</v>
      </c>
      <c r="AD10">
        <v>0</v>
      </c>
      <c r="AE10">
        <v>5000</v>
      </c>
      <c r="AF10">
        <v>0</v>
      </c>
      <c r="AG10">
        <v>0</v>
      </c>
      <c r="AH10">
        <v>0</v>
      </c>
      <c r="AI10">
        <v>4.88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0.01</v>
      </c>
      <c r="AU10" t="s">
        <v>18</v>
      </c>
      <c r="AV10">
        <v>0</v>
      </c>
      <c r="AW10">
        <v>2</v>
      </c>
      <c r="AX10">
        <v>39610407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Y10*Source!I24</f>
        <v>0</v>
      </c>
      <c r="CY10">
        <f t="shared" si="0"/>
        <v>24400</v>
      </c>
      <c r="CZ10">
        <f t="shared" si="1"/>
        <v>5000</v>
      </c>
      <c r="DA10">
        <f t="shared" si="2"/>
        <v>4.88</v>
      </c>
      <c r="DB10">
        <v>0</v>
      </c>
    </row>
    <row r="11" spans="1:106" x14ac:dyDescent="0.2">
      <c r="A11">
        <f>ROW(Source!A24)</f>
        <v>24</v>
      </c>
      <c r="B11">
        <v>39610380</v>
      </c>
      <c r="C11">
        <v>39610397</v>
      </c>
      <c r="D11">
        <v>36838317</v>
      </c>
      <c r="E11">
        <v>1</v>
      </c>
      <c r="F11">
        <v>1</v>
      </c>
      <c r="G11">
        <v>1</v>
      </c>
      <c r="H11">
        <v>3</v>
      </c>
      <c r="I11" t="s">
        <v>435</v>
      </c>
      <c r="J11" t="s">
        <v>436</v>
      </c>
      <c r="K11" t="s">
        <v>437</v>
      </c>
      <c r="L11">
        <v>1346</v>
      </c>
      <c r="N11">
        <v>1009</v>
      </c>
      <c r="O11" t="s">
        <v>424</v>
      </c>
      <c r="P11" t="s">
        <v>424</v>
      </c>
      <c r="Q11">
        <v>1</v>
      </c>
      <c r="W11">
        <v>0</v>
      </c>
      <c r="X11">
        <v>210558753</v>
      </c>
      <c r="Y11">
        <v>0</v>
      </c>
      <c r="AA11">
        <v>139.57</v>
      </c>
      <c r="AB11">
        <v>0</v>
      </c>
      <c r="AC11">
        <v>0</v>
      </c>
      <c r="AD11">
        <v>0</v>
      </c>
      <c r="AE11">
        <v>28.6</v>
      </c>
      <c r="AF11">
        <v>0</v>
      </c>
      <c r="AG11">
        <v>0</v>
      </c>
      <c r="AH11">
        <v>0</v>
      </c>
      <c r="AI11">
        <v>4.88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1.7</v>
      </c>
      <c r="AU11" t="s">
        <v>18</v>
      </c>
      <c r="AV11">
        <v>0</v>
      </c>
      <c r="AW11">
        <v>2</v>
      </c>
      <c r="AX11">
        <v>39610408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Y11*Source!I24</f>
        <v>0</v>
      </c>
      <c r="CY11">
        <f t="shared" si="0"/>
        <v>139.57</v>
      </c>
      <c r="CZ11">
        <f t="shared" si="1"/>
        <v>28.6</v>
      </c>
      <c r="DA11">
        <f t="shared" si="2"/>
        <v>4.88</v>
      </c>
      <c r="DB11">
        <v>0</v>
      </c>
    </row>
    <row r="12" spans="1:106" x14ac:dyDescent="0.2">
      <c r="A12">
        <f>ROW(Source!A24)</f>
        <v>24</v>
      </c>
      <c r="B12">
        <v>39610380</v>
      </c>
      <c r="C12">
        <v>39610397</v>
      </c>
      <c r="D12">
        <v>36799065</v>
      </c>
      <c r="E12">
        <v>17</v>
      </c>
      <c r="F12">
        <v>1</v>
      </c>
      <c r="G12">
        <v>1</v>
      </c>
      <c r="H12">
        <v>3</v>
      </c>
      <c r="I12" t="s">
        <v>438</v>
      </c>
      <c r="J12" t="s">
        <v>3</v>
      </c>
      <c r="K12" t="s">
        <v>439</v>
      </c>
      <c r="L12">
        <v>1374</v>
      </c>
      <c r="N12">
        <v>1013</v>
      </c>
      <c r="O12" t="s">
        <v>440</v>
      </c>
      <c r="P12" t="s">
        <v>440</v>
      </c>
      <c r="Q12">
        <v>1</v>
      </c>
      <c r="W12">
        <v>0</v>
      </c>
      <c r="X12">
        <v>-1731369543</v>
      </c>
      <c r="Y12">
        <v>0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6.04</v>
      </c>
      <c r="AU12" t="s">
        <v>18</v>
      </c>
      <c r="AV12">
        <v>0</v>
      </c>
      <c r="AW12">
        <v>2</v>
      </c>
      <c r="AX12">
        <v>39610409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Y12*Source!I24</f>
        <v>0</v>
      </c>
      <c r="CY12">
        <f t="shared" si="0"/>
        <v>1</v>
      </c>
      <c r="CZ12">
        <f t="shared" si="1"/>
        <v>1</v>
      </c>
      <c r="DA12">
        <f t="shared" si="2"/>
        <v>1</v>
      </c>
      <c r="DB12">
        <v>0</v>
      </c>
    </row>
    <row r="13" spans="1:106" x14ac:dyDescent="0.2">
      <c r="A13">
        <f>ROW(Source!A25)</f>
        <v>25</v>
      </c>
      <c r="B13">
        <v>39610380</v>
      </c>
      <c r="C13">
        <v>39614176</v>
      </c>
      <c r="D13">
        <v>37077359</v>
      </c>
      <c r="E13">
        <v>1</v>
      </c>
      <c r="F13">
        <v>1</v>
      </c>
      <c r="G13">
        <v>1</v>
      </c>
      <c r="H13">
        <v>1</v>
      </c>
      <c r="I13" t="s">
        <v>441</v>
      </c>
      <c r="J13" t="s">
        <v>3</v>
      </c>
      <c r="K13" t="s">
        <v>442</v>
      </c>
      <c r="L13">
        <v>1191</v>
      </c>
      <c r="N13">
        <v>1013</v>
      </c>
      <c r="O13" t="s">
        <v>405</v>
      </c>
      <c r="P13" t="s">
        <v>405</v>
      </c>
      <c r="Q13">
        <v>1</v>
      </c>
      <c r="W13">
        <v>0</v>
      </c>
      <c r="X13">
        <v>-362667798</v>
      </c>
      <c r="Y13">
        <v>1.2809999999999999</v>
      </c>
      <c r="AA13">
        <v>0</v>
      </c>
      <c r="AB13">
        <v>0</v>
      </c>
      <c r="AC13">
        <v>0</v>
      </c>
      <c r="AD13">
        <v>51.24</v>
      </c>
      <c r="AE13">
        <v>0</v>
      </c>
      <c r="AF13">
        <v>0</v>
      </c>
      <c r="AG13">
        <v>0</v>
      </c>
      <c r="AH13">
        <v>10.5</v>
      </c>
      <c r="AI13">
        <v>1</v>
      </c>
      <c r="AJ13">
        <v>1</v>
      </c>
      <c r="AK13">
        <v>1</v>
      </c>
      <c r="AL13">
        <v>4.88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4.2699999999999996</v>
      </c>
      <c r="AU13" t="s">
        <v>19</v>
      </c>
      <c r="AV13">
        <v>1</v>
      </c>
      <c r="AW13">
        <v>2</v>
      </c>
      <c r="AX13">
        <v>39614177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23.058</v>
      </c>
      <c r="CY13">
        <f>AD13</f>
        <v>51.24</v>
      </c>
      <c r="CZ13">
        <f>AH13</f>
        <v>10.5</v>
      </c>
      <c r="DA13">
        <f>AL13</f>
        <v>4.88</v>
      </c>
      <c r="DB13">
        <v>0</v>
      </c>
    </row>
    <row r="14" spans="1:106" x14ac:dyDescent="0.2">
      <c r="A14">
        <f>ROW(Source!A25)</f>
        <v>25</v>
      </c>
      <c r="B14">
        <v>39610380</v>
      </c>
      <c r="C14">
        <v>39614176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406</v>
      </c>
      <c r="J14" t="s">
        <v>3</v>
      </c>
      <c r="K14" t="s">
        <v>407</v>
      </c>
      <c r="L14">
        <v>1191</v>
      </c>
      <c r="N14">
        <v>1013</v>
      </c>
      <c r="O14" t="s">
        <v>405</v>
      </c>
      <c r="P14" t="s">
        <v>405</v>
      </c>
      <c r="Q14">
        <v>1</v>
      </c>
      <c r="W14">
        <v>0</v>
      </c>
      <c r="X14">
        <v>-1417349443</v>
      </c>
      <c r="Y14">
        <v>3.73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4.88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3.73</v>
      </c>
      <c r="AU14" t="s">
        <v>3</v>
      </c>
      <c r="AV14">
        <v>2</v>
      </c>
      <c r="AW14">
        <v>2</v>
      </c>
      <c r="AX14">
        <v>39614178</v>
      </c>
      <c r="AY14">
        <v>1</v>
      </c>
      <c r="AZ14">
        <v>2048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67.14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ROW(Source!A25)</f>
        <v>25</v>
      </c>
      <c r="B15">
        <v>39610380</v>
      </c>
      <c r="C15">
        <v>39614176</v>
      </c>
      <c r="D15">
        <v>36882159</v>
      </c>
      <c r="E15">
        <v>1</v>
      </c>
      <c r="F15">
        <v>1</v>
      </c>
      <c r="G15">
        <v>1</v>
      </c>
      <c r="H15">
        <v>2</v>
      </c>
      <c r="I15" t="s">
        <v>408</v>
      </c>
      <c r="J15" t="s">
        <v>409</v>
      </c>
      <c r="K15" t="s">
        <v>410</v>
      </c>
      <c r="L15">
        <v>1368</v>
      </c>
      <c r="N15">
        <v>1011</v>
      </c>
      <c r="O15" t="s">
        <v>411</v>
      </c>
      <c r="P15" t="s">
        <v>411</v>
      </c>
      <c r="Q15">
        <v>1</v>
      </c>
      <c r="W15">
        <v>0</v>
      </c>
      <c r="X15">
        <v>-1718674368</v>
      </c>
      <c r="Y15">
        <v>3.0000000000000001E-3</v>
      </c>
      <c r="AA15">
        <v>0</v>
      </c>
      <c r="AB15">
        <v>546.51</v>
      </c>
      <c r="AC15">
        <v>13.5</v>
      </c>
      <c r="AD15">
        <v>0</v>
      </c>
      <c r="AE15">
        <v>0</v>
      </c>
      <c r="AF15">
        <v>111.99</v>
      </c>
      <c r="AG15">
        <v>13.5</v>
      </c>
      <c r="AH15">
        <v>0</v>
      </c>
      <c r="AI15">
        <v>1</v>
      </c>
      <c r="AJ15">
        <v>4.88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19</v>
      </c>
      <c r="AV15">
        <v>0</v>
      </c>
      <c r="AW15">
        <v>2</v>
      </c>
      <c r="AX15">
        <v>39614179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5.3999999999999999E-2</v>
      </c>
      <c r="CY15">
        <f>AB15</f>
        <v>546.51</v>
      </c>
      <c r="CZ15">
        <f>AF15</f>
        <v>111.99</v>
      </c>
      <c r="DA15">
        <f>AJ15</f>
        <v>4.88</v>
      </c>
      <c r="DB15">
        <v>0</v>
      </c>
    </row>
    <row r="16" spans="1:106" x14ac:dyDescent="0.2">
      <c r="A16">
        <f>ROW(Source!A25)</f>
        <v>25</v>
      </c>
      <c r="B16">
        <v>39610380</v>
      </c>
      <c r="C16">
        <v>39614176</v>
      </c>
      <c r="D16">
        <v>36882492</v>
      </c>
      <c r="E16">
        <v>1</v>
      </c>
      <c r="F16">
        <v>1</v>
      </c>
      <c r="G16">
        <v>1</v>
      </c>
      <c r="H16">
        <v>2</v>
      </c>
      <c r="I16" t="s">
        <v>443</v>
      </c>
      <c r="J16" t="s">
        <v>444</v>
      </c>
      <c r="K16" t="s">
        <v>445</v>
      </c>
      <c r="L16">
        <v>1368</v>
      </c>
      <c r="N16">
        <v>1011</v>
      </c>
      <c r="O16" t="s">
        <v>411</v>
      </c>
      <c r="P16" t="s">
        <v>411</v>
      </c>
      <c r="Q16">
        <v>1</v>
      </c>
      <c r="W16">
        <v>0</v>
      </c>
      <c r="X16">
        <v>1599745326</v>
      </c>
      <c r="Y16">
        <v>1.113</v>
      </c>
      <c r="AA16">
        <v>0</v>
      </c>
      <c r="AB16">
        <v>696.38</v>
      </c>
      <c r="AC16">
        <v>13.5</v>
      </c>
      <c r="AD16">
        <v>0</v>
      </c>
      <c r="AE16">
        <v>0</v>
      </c>
      <c r="AF16">
        <v>142.69999999999999</v>
      </c>
      <c r="AG16">
        <v>13.5</v>
      </c>
      <c r="AH16">
        <v>0</v>
      </c>
      <c r="AI16">
        <v>1</v>
      </c>
      <c r="AJ16">
        <v>4.88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3.71</v>
      </c>
      <c r="AU16" t="s">
        <v>19</v>
      </c>
      <c r="AV16">
        <v>0</v>
      </c>
      <c r="AW16">
        <v>2</v>
      </c>
      <c r="AX16">
        <v>39614180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Y16*Source!I25</f>
        <v>20.033999999999999</v>
      </c>
      <c r="CY16">
        <f>AB16</f>
        <v>696.38</v>
      </c>
      <c r="CZ16">
        <f>AF16</f>
        <v>142.69999999999999</v>
      </c>
      <c r="DA16">
        <f>AJ16</f>
        <v>4.88</v>
      </c>
      <c r="DB16">
        <v>0</v>
      </c>
    </row>
    <row r="17" spans="1:106" x14ac:dyDescent="0.2">
      <c r="A17">
        <f>ROW(Source!A25)</f>
        <v>25</v>
      </c>
      <c r="B17">
        <v>39610380</v>
      </c>
      <c r="C17">
        <v>39614176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412</v>
      </c>
      <c r="J17" t="s">
        <v>413</v>
      </c>
      <c r="K17" t="s">
        <v>414</v>
      </c>
      <c r="L17">
        <v>1368</v>
      </c>
      <c r="N17">
        <v>1011</v>
      </c>
      <c r="O17" t="s">
        <v>411</v>
      </c>
      <c r="P17" t="s">
        <v>411</v>
      </c>
      <c r="Q17">
        <v>1</v>
      </c>
      <c r="W17">
        <v>0</v>
      </c>
      <c r="X17">
        <v>1372534845</v>
      </c>
      <c r="Y17">
        <v>3.0000000000000001E-3</v>
      </c>
      <c r="AA17">
        <v>0</v>
      </c>
      <c r="AB17">
        <v>320.66000000000003</v>
      </c>
      <c r="AC17">
        <v>11.6</v>
      </c>
      <c r="AD17">
        <v>0</v>
      </c>
      <c r="AE17">
        <v>0</v>
      </c>
      <c r="AF17">
        <v>65.709999999999994</v>
      </c>
      <c r="AG17">
        <v>11.6</v>
      </c>
      <c r="AH17">
        <v>0</v>
      </c>
      <c r="AI17">
        <v>1</v>
      </c>
      <c r="AJ17">
        <v>4.88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0.01</v>
      </c>
      <c r="AU17" t="s">
        <v>19</v>
      </c>
      <c r="AV17">
        <v>0</v>
      </c>
      <c r="AW17">
        <v>2</v>
      </c>
      <c r="AX17">
        <v>39614181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Y17*Source!I25</f>
        <v>5.3999999999999999E-2</v>
      </c>
      <c r="CY17">
        <f>AB17</f>
        <v>320.66000000000003</v>
      </c>
      <c r="CZ17">
        <f>AF17</f>
        <v>65.709999999999994</v>
      </c>
      <c r="DA17">
        <f>AJ17</f>
        <v>4.88</v>
      </c>
      <c r="DB17">
        <v>0</v>
      </c>
    </row>
    <row r="18" spans="1:106" x14ac:dyDescent="0.2">
      <c r="A18">
        <f>ROW(Source!A25)</f>
        <v>25</v>
      </c>
      <c r="B18">
        <v>39610380</v>
      </c>
      <c r="C18">
        <v>39614176</v>
      </c>
      <c r="D18">
        <v>36802162</v>
      </c>
      <c r="E18">
        <v>1</v>
      </c>
      <c r="F18">
        <v>1</v>
      </c>
      <c r="G18">
        <v>1</v>
      </c>
      <c r="H18">
        <v>3</v>
      </c>
      <c r="I18" t="s">
        <v>446</v>
      </c>
      <c r="J18" t="s">
        <v>447</v>
      </c>
      <c r="K18" t="s">
        <v>448</v>
      </c>
      <c r="L18">
        <v>1346</v>
      </c>
      <c r="N18">
        <v>1009</v>
      </c>
      <c r="O18" t="s">
        <v>424</v>
      </c>
      <c r="P18" t="s">
        <v>424</v>
      </c>
      <c r="Q18">
        <v>1</v>
      </c>
      <c r="W18">
        <v>0</v>
      </c>
      <c r="X18">
        <v>-1369864075</v>
      </c>
      <c r="Y18">
        <v>0</v>
      </c>
      <c r="AA18">
        <v>117.32</v>
      </c>
      <c r="AB18">
        <v>0</v>
      </c>
      <c r="AC18">
        <v>0</v>
      </c>
      <c r="AD18">
        <v>0</v>
      </c>
      <c r="AE18">
        <v>24.04</v>
      </c>
      <c r="AF18">
        <v>0</v>
      </c>
      <c r="AG18">
        <v>0</v>
      </c>
      <c r="AH18">
        <v>0</v>
      </c>
      <c r="AI18">
        <v>4.88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0.08</v>
      </c>
      <c r="AU18" t="s">
        <v>18</v>
      </c>
      <c r="AV18">
        <v>0</v>
      </c>
      <c r="AW18">
        <v>2</v>
      </c>
      <c r="AX18">
        <v>39614182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Y18*Source!I25</f>
        <v>0</v>
      </c>
      <c r="CY18">
        <f t="shared" ref="CY18:CY23" si="3">AA18</f>
        <v>117.32</v>
      </c>
      <c r="CZ18">
        <f t="shared" ref="CZ18:CZ23" si="4">AE18</f>
        <v>24.04</v>
      </c>
      <c r="DA18">
        <f t="shared" ref="DA18:DA23" si="5">AI18</f>
        <v>4.88</v>
      </c>
      <c r="DB18">
        <v>0</v>
      </c>
    </row>
    <row r="19" spans="1:106" x14ac:dyDescent="0.2">
      <c r="A19">
        <f>ROW(Source!A25)</f>
        <v>25</v>
      </c>
      <c r="B19">
        <v>39610380</v>
      </c>
      <c r="C19">
        <v>39614176</v>
      </c>
      <c r="D19">
        <v>36804448</v>
      </c>
      <c r="E19">
        <v>1</v>
      </c>
      <c r="F19">
        <v>1</v>
      </c>
      <c r="G19">
        <v>1</v>
      </c>
      <c r="H19">
        <v>3</v>
      </c>
      <c r="I19" t="s">
        <v>425</v>
      </c>
      <c r="J19" t="s">
        <v>426</v>
      </c>
      <c r="K19" t="s">
        <v>427</v>
      </c>
      <c r="L19">
        <v>1346</v>
      </c>
      <c r="N19">
        <v>1009</v>
      </c>
      <c r="O19" t="s">
        <v>424</v>
      </c>
      <c r="P19" t="s">
        <v>424</v>
      </c>
      <c r="Q19">
        <v>1</v>
      </c>
      <c r="W19">
        <v>0</v>
      </c>
      <c r="X19">
        <v>103900845</v>
      </c>
      <c r="Y19">
        <v>0</v>
      </c>
      <c r="AA19">
        <v>44.12</v>
      </c>
      <c r="AB19">
        <v>0</v>
      </c>
      <c r="AC19">
        <v>0</v>
      </c>
      <c r="AD19">
        <v>0</v>
      </c>
      <c r="AE19">
        <v>9.0399999999999991</v>
      </c>
      <c r="AF19">
        <v>0</v>
      </c>
      <c r="AG19">
        <v>0</v>
      </c>
      <c r="AH19">
        <v>0</v>
      </c>
      <c r="AI19">
        <v>4.88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0.02</v>
      </c>
      <c r="AU19" t="s">
        <v>18</v>
      </c>
      <c r="AV19">
        <v>0</v>
      </c>
      <c r="AW19">
        <v>2</v>
      </c>
      <c r="AX19">
        <v>39614183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Y19*Source!I25</f>
        <v>0</v>
      </c>
      <c r="CY19">
        <f t="shared" si="3"/>
        <v>44.12</v>
      </c>
      <c r="CZ19">
        <f t="shared" si="4"/>
        <v>9.0399999999999991</v>
      </c>
      <c r="DA19">
        <f t="shared" si="5"/>
        <v>4.88</v>
      </c>
      <c r="DB19">
        <v>0</v>
      </c>
    </row>
    <row r="20" spans="1:106" x14ac:dyDescent="0.2">
      <c r="A20">
        <f>ROW(Source!A25)</f>
        <v>25</v>
      </c>
      <c r="B20">
        <v>39610380</v>
      </c>
      <c r="C20">
        <v>39614176</v>
      </c>
      <c r="D20">
        <v>36838317</v>
      </c>
      <c r="E20">
        <v>1</v>
      </c>
      <c r="F20">
        <v>1</v>
      </c>
      <c r="G20">
        <v>1</v>
      </c>
      <c r="H20">
        <v>3</v>
      </c>
      <c r="I20" t="s">
        <v>435</v>
      </c>
      <c r="J20" t="s">
        <v>436</v>
      </c>
      <c r="K20" t="s">
        <v>437</v>
      </c>
      <c r="L20">
        <v>1346</v>
      </c>
      <c r="N20">
        <v>1009</v>
      </c>
      <c r="O20" t="s">
        <v>424</v>
      </c>
      <c r="P20" t="s">
        <v>424</v>
      </c>
      <c r="Q20">
        <v>1</v>
      </c>
      <c r="W20">
        <v>0</v>
      </c>
      <c r="X20">
        <v>210558753</v>
      </c>
      <c r="Y20">
        <v>0</v>
      </c>
      <c r="AA20">
        <v>139.57</v>
      </c>
      <c r="AB20">
        <v>0</v>
      </c>
      <c r="AC20">
        <v>0</v>
      </c>
      <c r="AD20">
        <v>0</v>
      </c>
      <c r="AE20">
        <v>28.6</v>
      </c>
      <c r="AF20">
        <v>0</v>
      </c>
      <c r="AG20">
        <v>0</v>
      </c>
      <c r="AH20">
        <v>0</v>
      </c>
      <c r="AI20">
        <v>4.88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0.13</v>
      </c>
      <c r="AU20" t="s">
        <v>18</v>
      </c>
      <c r="AV20">
        <v>0</v>
      </c>
      <c r="AW20">
        <v>2</v>
      </c>
      <c r="AX20">
        <v>39614184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Y20*Source!I25</f>
        <v>0</v>
      </c>
      <c r="CY20">
        <f t="shared" si="3"/>
        <v>139.57</v>
      </c>
      <c r="CZ20">
        <f t="shared" si="4"/>
        <v>28.6</v>
      </c>
      <c r="DA20">
        <f t="shared" si="5"/>
        <v>4.88</v>
      </c>
      <c r="DB20">
        <v>0</v>
      </c>
    </row>
    <row r="21" spans="1:106" x14ac:dyDescent="0.2">
      <c r="A21">
        <f>ROW(Source!A25)</f>
        <v>25</v>
      </c>
      <c r="B21">
        <v>39610380</v>
      </c>
      <c r="C21">
        <v>39614176</v>
      </c>
      <c r="D21">
        <v>36838354</v>
      </c>
      <c r="E21">
        <v>1</v>
      </c>
      <c r="F21">
        <v>1</v>
      </c>
      <c r="G21">
        <v>1</v>
      </c>
      <c r="H21">
        <v>3</v>
      </c>
      <c r="I21" t="s">
        <v>449</v>
      </c>
      <c r="J21" t="s">
        <v>450</v>
      </c>
      <c r="K21" t="s">
        <v>451</v>
      </c>
      <c r="L21">
        <v>1348</v>
      </c>
      <c r="N21">
        <v>1009</v>
      </c>
      <c r="O21" t="s">
        <v>237</v>
      </c>
      <c r="P21" t="s">
        <v>237</v>
      </c>
      <c r="Q21">
        <v>1000</v>
      </c>
      <c r="W21">
        <v>0</v>
      </c>
      <c r="X21">
        <v>-108263514</v>
      </c>
      <c r="Y21">
        <v>0</v>
      </c>
      <c r="AA21">
        <v>38195.269999999997</v>
      </c>
      <c r="AB21">
        <v>0</v>
      </c>
      <c r="AC21">
        <v>0</v>
      </c>
      <c r="AD21">
        <v>0</v>
      </c>
      <c r="AE21">
        <v>7826.9</v>
      </c>
      <c r="AF21">
        <v>0</v>
      </c>
      <c r="AG21">
        <v>0</v>
      </c>
      <c r="AH21">
        <v>0</v>
      </c>
      <c r="AI21">
        <v>4.88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2.4000000000000001E-5</v>
      </c>
      <c r="AU21" t="s">
        <v>18</v>
      </c>
      <c r="AV21">
        <v>0</v>
      </c>
      <c r="AW21">
        <v>2</v>
      </c>
      <c r="AX21">
        <v>39614185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Y21*Source!I25</f>
        <v>0</v>
      </c>
      <c r="CY21">
        <f t="shared" si="3"/>
        <v>38195.269999999997</v>
      </c>
      <c r="CZ21">
        <f t="shared" si="4"/>
        <v>7826.9</v>
      </c>
      <c r="DA21">
        <f t="shared" si="5"/>
        <v>4.88</v>
      </c>
      <c r="DB21">
        <v>0</v>
      </c>
    </row>
    <row r="22" spans="1:106" x14ac:dyDescent="0.2">
      <c r="A22">
        <f>ROW(Source!A25)</f>
        <v>25</v>
      </c>
      <c r="B22">
        <v>39610380</v>
      </c>
      <c r="C22">
        <v>39614176</v>
      </c>
      <c r="D22">
        <v>36852067</v>
      </c>
      <c r="E22">
        <v>1</v>
      </c>
      <c r="F22">
        <v>1</v>
      </c>
      <c r="G22">
        <v>1</v>
      </c>
      <c r="H22">
        <v>3</v>
      </c>
      <c r="I22" t="s">
        <v>452</v>
      </c>
      <c r="J22" t="s">
        <v>453</v>
      </c>
      <c r="K22" t="s">
        <v>454</v>
      </c>
      <c r="L22">
        <v>1356</v>
      </c>
      <c r="N22">
        <v>1010</v>
      </c>
      <c r="O22" t="s">
        <v>75</v>
      </c>
      <c r="P22" t="s">
        <v>75</v>
      </c>
      <c r="Q22">
        <v>1000</v>
      </c>
      <c r="W22">
        <v>0</v>
      </c>
      <c r="X22">
        <v>40709342</v>
      </c>
      <c r="Y22">
        <v>0</v>
      </c>
      <c r="AA22">
        <v>1317.6</v>
      </c>
      <c r="AB22">
        <v>0</v>
      </c>
      <c r="AC22">
        <v>0</v>
      </c>
      <c r="AD22">
        <v>0</v>
      </c>
      <c r="AE22">
        <v>270</v>
      </c>
      <c r="AF22">
        <v>0</v>
      </c>
      <c r="AG22">
        <v>0</v>
      </c>
      <c r="AH22">
        <v>0</v>
      </c>
      <c r="AI22">
        <v>4.88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8.0000000000000002E-3</v>
      </c>
      <c r="AU22" t="s">
        <v>18</v>
      </c>
      <c r="AV22">
        <v>0</v>
      </c>
      <c r="AW22">
        <v>2</v>
      </c>
      <c r="AX22">
        <v>39614186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Y22*Source!I25</f>
        <v>0</v>
      </c>
      <c r="CY22">
        <f t="shared" si="3"/>
        <v>1317.6</v>
      </c>
      <c r="CZ22">
        <f t="shared" si="4"/>
        <v>270</v>
      </c>
      <c r="DA22">
        <f t="shared" si="5"/>
        <v>4.88</v>
      </c>
      <c r="DB22">
        <v>0</v>
      </c>
    </row>
    <row r="23" spans="1:106" x14ac:dyDescent="0.2">
      <c r="A23">
        <f>ROW(Source!A25)</f>
        <v>25</v>
      </c>
      <c r="B23">
        <v>39610380</v>
      </c>
      <c r="C23">
        <v>39614176</v>
      </c>
      <c r="D23">
        <v>36799065</v>
      </c>
      <c r="E23">
        <v>17</v>
      </c>
      <c r="F23">
        <v>1</v>
      </c>
      <c r="G23">
        <v>1</v>
      </c>
      <c r="H23">
        <v>3</v>
      </c>
      <c r="I23" t="s">
        <v>438</v>
      </c>
      <c r="J23" t="s">
        <v>3</v>
      </c>
      <c r="K23" t="s">
        <v>439</v>
      </c>
      <c r="L23">
        <v>1374</v>
      </c>
      <c r="N23">
        <v>1013</v>
      </c>
      <c r="O23" t="s">
        <v>440</v>
      </c>
      <c r="P23" t="s">
        <v>440</v>
      </c>
      <c r="Q23">
        <v>1</v>
      </c>
      <c r="W23">
        <v>0</v>
      </c>
      <c r="X23">
        <v>-1731369543</v>
      </c>
      <c r="Y23">
        <v>0</v>
      </c>
      <c r="AA23">
        <v>1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0.9</v>
      </c>
      <c r="AU23" t="s">
        <v>18</v>
      </c>
      <c r="AV23">
        <v>0</v>
      </c>
      <c r="AW23">
        <v>2</v>
      </c>
      <c r="AX23">
        <v>39614187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Y23*Source!I25</f>
        <v>0</v>
      </c>
      <c r="CY23">
        <f t="shared" si="3"/>
        <v>1</v>
      </c>
      <c r="CZ23">
        <f t="shared" si="4"/>
        <v>1</v>
      </c>
      <c r="DA23">
        <f t="shared" si="5"/>
        <v>1</v>
      </c>
      <c r="DB23">
        <v>0</v>
      </c>
    </row>
    <row r="24" spans="1:106" x14ac:dyDescent="0.2">
      <c r="A24">
        <f>ROW(Source!A26)</f>
        <v>26</v>
      </c>
      <c r="B24">
        <v>39610380</v>
      </c>
      <c r="C24">
        <v>39610569</v>
      </c>
      <c r="D24">
        <v>37070164</v>
      </c>
      <c r="E24">
        <v>1</v>
      </c>
      <c r="F24">
        <v>1</v>
      </c>
      <c r="G24">
        <v>1</v>
      </c>
      <c r="H24">
        <v>1</v>
      </c>
      <c r="I24" t="s">
        <v>455</v>
      </c>
      <c r="J24" t="s">
        <v>3</v>
      </c>
      <c r="K24" t="s">
        <v>456</v>
      </c>
      <c r="L24">
        <v>1191</v>
      </c>
      <c r="N24">
        <v>1013</v>
      </c>
      <c r="O24" t="s">
        <v>405</v>
      </c>
      <c r="P24" t="s">
        <v>405</v>
      </c>
      <c r="Q24">
        <v>1</v>
      </c>
      <c r="W24">
        <v>0</v>
      </c>
      <c r="X24">
        <v>-598469600</v>
      </c>
      <c r="Y24">
        <v>1.1579999999999999</v>
      </c>
      <c r="AA24">
        <v>0</v>
      </c>
      <c r="AB24">
        <v>0</v>
      </c>
      <c r="AC24">
        <v>0</v>
      </c>
      <c r="AD24">
        <v>45.34</v>
      </c>
      <c r="AE24">
        <v>0</v>
      </c>
      <c r="AF24">
        <v>0</v>
      </c>
      <c r="AG24">
        <v>0</v>
      </c>
      <c r="AH24">
        <v>9.2899999999999991</v>
      </c>
      <c r="AI24">
        <v>1</v>
      </c>
      <c r="AJ24">
        <v>1</v>
      </c>
      <c r="AK24">
        <v>1</v>
      </c>
      <c r="AL24">
        <v>4.88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3.86</v>
      </c>
      <c r="AU24" t="s">
        <v>19</v>
      </c>
      <c r="AV24">
        <v>1</v>
      </c>
      <c r="AW24">
        <v>2</v>
      </c>
      <c r="AX24">
        <v>39610570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Y24*Source!I26</f>
        <v>1.1579999999999999</v>
      </c>
      <c r="CY24">
        <f>AD24</f>
        <v>45.34</v>
      </c>
      <c r="CZ24">
        <f>AH24</f>
        <v>9.2899999999999991</v>
      </c>
      <c r="DA24">
        <f>AL24</f>
        <v>4.88</v>
      </c>
      <c r="DB24">
        <v>0</v>
      </c>
    </row>
    <row r="25" spans="1:106" x14ac:dyDescent="0.2">
      <c r="A25">
        <f>ROW(Source!A26)</f>
        <v>26</v>
      </c>
      <c r="B25">
        <v>39610380</v>
      </c>
      <c r="C25">
        <v>39610569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406</v>
      </c>
      <c r="J25" t="s">
        <v>3</v>
      </c>
      <c r="K25" t="s">
        <v>407</v>
      </c>
      <c r="L25">
        <v>1191</v>
      </c>
      <c r="N25">
        <v>1013</v>
      </c>
      <c r="O25" t="s">
        <v>405</v>
      </c>
      <c r="P25" t="s">
        <v>405</v>
      </c>
      <c r="Q25">
        <v>1</v>
      </c>
      <c r="W25">
        <v>0</v>
      </c>
      <c r="X25">
        <v>-1417349443</v>
      </c>
      <c r="Y25">
        <v>0.02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4.88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0.02</v>
      </c>
      <c r="AU25" t="s">
        <v>3</v>
      </c>
      <c r="AV25">
        <v>2</v>
      </c>
      <c r="AW25">
        <v>2</v>
      </c>
      <c r="AX25">
        <v>39610571</v>
      </c>
      <c r="AY25">
        <v>1</v>
      </c>
      <c r="AZ25">
        <v>2048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Y25*Source!I26</f>
        <v>0.02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ROW(Source!A26)</f>
        <v>26</v>
      </c>
      <c r="B26">
        <v>39610380</v>
      </c>
      <c r="C26">
        <v>39610569</v>
      </c>
      <c r="D26">
        <v>36882159</v>
      </c>
      <c r="E26">
        <v>1</v>
      </c>
      <c r="F26">
        <v>1</v>
      </c>
      <c r="G26">
        <v>1</v>
      </c>
      <c r="H26">
        <v>2</v>
      </c>
      <c r="I26" t="s">
        <v>408</v>
      </c>
      <c r="J26" t="s">
        <v>409</v>
      </c>
      <c r="K26" t="s">
        <v>410</v>
      </c>
      <c r="L26">
        <v>1368</v>
      </c>
      <c r="N26">
        <v>1011</v>
      </c>
      <c r="O26" t="s">
        <v>411</v>
      </c>
      <c r="P26" t="s">
        <v>411</v>
      </c>
      <c r="Q26">
        <v>1</v>
      </c>
      <c r="W26">
        <v>0</v>
      </c>
      <c r="X26">
        <v>-1718674368</v>
      </c>
      <c r="Y26">
        <v>3.0000000000000001E-3</v>
      </c>
      <c r="AA26">
        <v>0</v>
      </c>
      <c r="AB26">
        <v>546.51</v>
      </c>
      <c r="AC26">
        <v>13.5</v>
      </c>
      <c r="AD26">
        <v>0</v>
      </c>
      <c r="AE26">
        <v>0</v>
      </c>
      <c r="AF26">
        <v>111.99</v>
      </c>
      <c r="AG26">
        <v>13.5</v>
      </c>
      <c r="AH26">
        <v>0</v>
      </c>
      <c r="AI26">
        <v>1</v>
      </c>
      <c r="AJ26">
        <v>4.88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0.01</v>
      </c>
      <c r="AU26" t="s">
        <v>19</v>
      </c>
      <c r="AV26">
        <v>0</v>
      </c>
      <c r="AW26">
        <v>2</v>
      </c>
      <c r="AX26">
        <v>39610572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Y26*Source!I26</f>
        <v>3.0000000000000001E-3</v>
      </c>
      <c r="CY26">
        <f>AB26</f>
        <v>546.51</v>
      </c>
      <c r="CZ26">
        <f>AF26</f>
        <v>111.99</v>
      </c>
      <c r="DA26">
        <f>AJ26</f>
        <v>4.88</v>
      </c>
      <c r="DB26">
        <v>0</v>
      </c>
    </row>
    <row r="27" spans="1:106" x14ac:dyDescent="0.2">
      <c r="A27">
        <f>ROW(Source!A26)</f>
        <v>26</v>
      </c>
      <c r="B27">
        <v>39610380</v>
      </c>
      <c r="C27">
        <v>39610569</v>
      </c>
      <c r="D27">
        <v>36883554</v>
      </c>
      <c r="E27">
        <v>1</v>
      </c>
      <c r="F27">
        <v>1</v>
      </c>
      <c r="G27">
        <v>1</v>
      </c>
      <c r="H27">
        <v>2</v>
      </c>
      <c r="I27" t="s">
        <v>412</v>
      </c>
      <c r="J27" t="s">
        <v>413</v>
      </c>
      <c r="K27" t="s">
        <v>414</v>
      </c>
      <c r="L27">
        <v>1368</v>
      </c>
      <c r="N27">
        <v>1011</v>
      </c>
      <c r="O27" t="s">
        <v>411</v>
      </c>
      <c r="P27" t="s">
        <v>411</v>
      </c>
      <c r="Q27">
        <v>1</v>
      </c>
      <c r="W27">
        <v>0</v>
      </c>
      <c r="X27">
        <v>1372534845</v>
      </c>
      <c r="Y27">
        <v>3.0000000000000001E-3</v>
      </c>
      <c r="AA27">
        <v>0</v>
      </c>
      <c r="AB27">
        <v>320.66000000000003</v>
      </c>
      <c r="AC27">
        <v>11.6</v>
      </c>
      <c r="AD27">
        <v>0</v>
      </c>
      <c r="AE27">
        <v>0</v>
      </c>
      <c r="AF27">
        <v>65.709999999999994</v>
      </c>
      <c r="AG27">
        <v>11.6</v>
      </c>
      <c r="AH27">
        <v>0</v>
      </c>
      <c r="AI27">
        <v>1</v>
      </c>
      <c r="AJ27">
        <v>4.88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0.01</v>
      </c>
      <c r="AU27" t="s">
        <v>19</v>
      </c>
      <c r="AV27">
        <v>0</v>
      </c>
      <c r="AW27">
        <v>2</v>
      </c>
      <c r="AX27">
        <v>39610573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Y27*Source!I26</f>
        <v>3.0000000000000001E-3</v>
      </c>
      <c r="CY27">
        <f>AB27</f>
        <v>320.66000000000003</v>
      </c>
      <c r="CZ27">
        <f>AF27</f>
        <v>65.709999999999994</v>
      </c>
      <c r="DA27">
        <f>AJ27</f>
        <v>4.88</v>
      </c>
      <c r="DB27">
        <v>0</v>
      </c>
    </row>
    <row r="28" spans="1:106" x14ac:dyDescent="0.2">
      <c r="A28">
        <f>ROW(Source!A26)</f>
        <v>26</v>
      </c>
      <c r="B28">
        <v>39610380</v>
      </c>
      <c r="C28">
        <v>39610569</v>
      </c>
      <c r="D28">
        <v>36883858</v>
      </c>
      <c r="E28">
        <v>1</v>
      </c>
      <c r="F28">
        <v>1</v>
      </c>
      <c r="G28">
        <v>1</v>
      </c>
      <c r="H28">
        <v>2</v>
      </c>
      <c r="I28" t="s">
        <v>415</v>
      </c>
      <c r="J28" t="s">
        <v>416</v>
      </c>
      <c r="K28" t="s">
        <v>417</v>
      </c>
      <c r="L28">
        <v>1368</v>
      </c>
      <c r="N28">
        <v>1011</v>
      </c>
      <c r="O28" t="s">
        <v>411</v>
      </c>
      <c r="P28" t="s">
        <v>411</v>
      </c>
      <c r="Q28">
        <v>1</v>
      </c>
      <c r="W28">
        <v>0</v>
      </c>
      <c r="X28">
        <v>-353815937</v>
      </c>
      <c r="Y28">
        <v>3.9E-2</v>
      </c>
      <c r="AA28">
        <v>0</v>
      </c>
      <c r="AB28">
        <v>39.53</v>
      </c>
      <c r="AC28">
        <v>0</v>
      </c>
      <c r="AD28">
        <v>0</v>
      </c>
      <c r="AE28">
        <v>0</v>
      </c>
      <c r="AF28">
        <v>8.1</v>
      </c>
      <c r="AG28">
        <v>0</v>
      </c>
      <c r="AH28">
        <v>0</v>
      </c>
      <c r="AI28">
        <v>1</v>
      </c>
      <c r="AJ28">
        <v>4.88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0.13</v>
      </c>
      <c r="AU28" t="s">
        <v>19</v>
      </c>
      <c r="AV28">
        <v>0</v>
      </c>
      <c r="AW28">
        <v>2</v>
      </c>
      <c r="AX28">
        <v>39610574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Y28*Source!I26</f>
        <v>3.9E-2</v>
      </c>
      <c r="CY28">
        <f>AB28</f>
        <v>39.53</v>
      </c>
      <c r="CZ28">
        <f>AF28</f>
        <v>8.1</v>
      </c>
      <c r="DA28">
        <f>AJ28</f>
        <v>4.88</v>
      </c>
      <c r="DB28">
        <v>0</v>
      </c>
    </row>
    <row r="29" spans="1:106" x14ac:dyDescent="0.2">
      <c r="A29">
        <f>ROW(Source!A26)</f>
        <v>26</v>
      </c>
      <c r="B29">
        <v>39610380</v>
      </c>
      <c r="C29">
        <v>39610569</v>
      </c>
      <c r="D29">
        <v>36884526</v>
      </c>
      <c r="E29">
        <v>1</v>
      </c>
      <c r="F29">
        <v>1</v>
      </c>
      <c r="G29">
        <v>1</v>
      </c>
      <c r="H29">
        <v>2</v>
      </c>
      <c r="I29" t="s">
        <v>457</v>
      </c>
      <c r="J29" t="s">
        <v>458</v>
      </c>
      <c r="K29" t="s">
        <v>459</v>
      </c>
      <c r="L29">
        <v>1368</v>
      </c>
      <c r="N29">
        <v>1011</v>
      </c>
      <c r="O29" t="s">
        <v>411</v>
      </c>
      <c r="P29" t="s">
        <v>411</v>
      </c>
      <c r="Q29">
        <v>1</v>
      </c>
      <c r="W29">
        <v>0</v>
      </c>
      <c r="X29">
        <v>-995250510</v>
      </c>
      <c r="Y29">
        <v>0.06</v>
      </c>
      <c r="AA29">
        <v>0</v>
      </c>
      <c r="AB29">
        <v>5.42</v>
      </c>
      <c r="AC29">
        <v>0</v>
      </c>
      <c r="AD29">
        <v>0</v>
      </c>
      <c r="AE29">
        <v>0</v>
      </c>
      <c r="AF29">
        <v>1.1100000000000001</v>
      </c>
      <c r="AG29">
        <v>0</v>
      </c>
      <c r="AH29">
        <v>0</v>
      </c>
      <c r="AI29">
        <v>1</v>
      </c>
      <c r="AJ29">
        <v>4.88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0.2</v>
      </c>
      <c r="AU29" t="s">
        <v>19</v>
      </c>
      <c r="AV29">
        <v>0</v>
      </c>
      <c r="AW29">
        <v>2</v>
      </c>
      <c r="AX29">
        <v>39610575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Y29*Source!I26</f>
        <v>0.06</v>
      </c>
      <c r="CY29">
        <f>AB29</f>
        <v>5.42</v>
      </c>
      <c r="CZ29">
        <f>AF29</f>
        <v>1.1100000000000001</v>
      </c>
      <c r="DA29">
        <f>AJ29</f>
        <v>4.88</v>
      </c>
      <c r="DB29">
        <v>0</v>
      </c>
    </row>
    <row r="30" spans="1:106" x14ac:dyDescent="0.2">
      <c r="A30">
        <f>ROW(Source!A26)</f>
        <v>26</v>
      </c>
      <c r="B30">
        <v>39610380</v>
      </c>
      <c r="C30">
        <v>39610569</v>
      </c>
      <c r="D30">
        <v>36800043</v>
      </c>
      <c r="E30">
        <v>1</v>
      </c>
      <c r="F30">
        <v>1</v>
      </c>
      <c r="G30">
        <v>1</v>
      </c>
      <c r="H30">
        <v>3</v>
      </c>
      <c r="I30" t="s">
        <v>460</v>
      </c>
      <c r="J30" t="s">
        <v>461</v>
      </c>
      <c r="K30" t="s">
        <v>462</v>
      </c>
      <c r="L30">
        <v>1346</v>
      </c>
      <c r="N30">
        <v>1009</v>
      </c>
      <c r="O30" t="s">
        <v>424</v>
      </c>
      <c r="P30" t="s">
        <v>424</v>
      </c>
      <c r="Q30">
        <v>1</v>
      </c>
      <c r="W30">
        <v>0</v>
      </c>
      <c r="X30">
        <v>618806536</v>
      </c>
      <c r="Y30">
        <v>0</v>
      </c>
      <c r="AA30">
        <v>219.45</v>
      </c>
      <c r="AB30">
        <v>0</v>
      </c>
      <c r="AC30">
        <v>0</v>
      </c>
      <c r="AD30">
        <v>0</v>
      </c>
      <c r="AE30">
        <v>44.97</v>
      </c>
      <c r="AF30">
        <v>0</v>
      </c>
      <c r="AG30">
        <v>0</v>
      </c>
      <c r="AH30">
        <v>0</v>
      </c>
      <c r="AI30">
        <v>4.88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1.4999999999999999E-2</v>
      </c>
      <c r="AU30" t="s">
        <v>18</v>
      </c>
      <c r="AV30">
        <v>0</v>
      </c>
      <c r="AW30">
        <v>2</v>
      </c>
      <c r="AX30">
        <v>39610576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Y30*Source!I26</f>
        <v>0</v>
      </c>
      <c r="CY30">
        <f t="shared" ref="CY30:CY42" si="6">AA30</f>
        <v>219.45</v>
      </c>
      <c r="CZ30">
        <f t="shared" ref="CZ30:CZ42" si="7">AE30</f>
        <v>44.97</v>
      </c>
      <c r="DA30">
        <f t="shared" ref="DA30:DA42" si="8">AI30</f>
        <v>4.88</v>
      </c>
      <c r="DB30">
        <v>0</v>
      </c>
    </row>
    <row r="31" spans="1:106" x14ac:dyDescent="0.2">
      <c r="A31">
        <f>ROW(Source!A26)</f>
        <v>26</v>
      </c>
      <c r="B31">
        <v>39610380</v>
      </c>
      <c r="C31">
        <v>39610569</v>
      </c>
      <c r="D31">
        <v>36801775</v>
      </c>
      <c r="E31">
        <v>1</v>
      </c>
      <c r="F31">
        <v>1</v>
      </c>
      <c r="G31">
        <v>1</v>
      </c>
      <c r="H31">
        <v>3</v>
      </c>
      <c r="I31" t="s">
        <v>463</v>
      </c>
      <c r="J31" t="s">
        <v>464</v>
      </c>
      <c r="K31" t="s">
        <v>465</v>
      </c>
      <c r="L31">
        <v>1346</v>
      </c>
      <c r="N31">
        <v>1009</v>
      </c>
      <c r="O31" t="s">
        <v>424</v>
      </c>
      <c r="P31" t="s">
        <v>424</v>
      </c>
      <c r="Q31">
        <v>1</v>
      </c>
      <c r="W31">
        <v>0</v>
      </c>
      <c r="X31">
        <v>56922527</v>
      </c>
      <c r="Y31">
        <v>0</v>
      </c>
      <c r="AA31">
        <v>56.12</v>
      </c>
      <c r="AB31">
        <v>0</v>
      </c>
      <c r="AC31">
        <v>0</v>
      </c>
      <c r="AD31">
        <v>0</v>
      </c>
      <c r="AE31">
        <v>11.5</v>
      </c>
      <c r="AF31">
        <v>0</v>
      </c>
      <c r="AG31">
        <v>0</v>
      </c>
      <c r="AH31">
        <v>0</v>
      </c>
      <c r="AI31">
        <v>4.88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5.0000000000000001E-3</v>
      </c>
      <c r="AU31" t="s">
        <v>18</v>
      </c>
      <c r="AV31">
        <v>0</v>
      </c>
      <c r="AW31">
        <v>2</v>
      </c>
      <c r="AX31">
        <v>39610577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Y31*Source!I26</f>
        <v>0</v>
      </c>
      <c r="CY31">
        <f t="shared" si="6"/>
        <v>56.12</v>
      </c>
      <c r="CZ31">
        <f t="shared" si="7"/>
        <v>11.5</v>
      </c>
      <c r="DA31">
        <f t="shared" si="8"/>
        <v>4.88</v>
      </c>
      <c r="DB31">
        <v>0</v>
      </c>
    </row>
    <row r="32" spans="1:106" x14ac:dyDescent="0.2">
      <c r="A32">
        <f>ROW(Source!A26)</f>
        <v>26</v>
      </c>
      <c r="B32">
        <v>39610380</v>
      </c>
      <c r="C32">
        <v>39610569</v>
      </c>
      <c r="D32">
        <v>36802094</v>
      </c>
      <c r="E32">
        <v>1</v>
      </c>
      <c r="F32">
        <v>1</v>
      </c>
      <c r="G32">
        <v>1</v>
      </c>
      <c r="H32">
        <v>3</v>
      </c>
      <c r="I32" t="s">
        <v>466</v>
      </c>
      <c r="J32" t="s">
        <v>467</v>
      </c>
      <c r="K32" t="s">
        <v>468</v>
      </c>
      <c r="L32">
        <v>1346</v>
      </c>
      <c r="N32">
        <v>1009</v>
      </c>
      <c r="O32" t="s">
        <v>424</v>
      </c>
      <c r="P32" t="s">
        <v>424</v>
      </c>
      <c r="Q32">
        <v>1</v>
      </c>
      <c r="W32">
        <v>0</v>
      </c>
      <c r="X32">
        <v>-1088866022</v>
      </c>
      <c r="Y32">
        <v>0</v>
      </c>
      <c r="AA32">
        <v>148.35</v>
      </c>
      <c r="AB32">
        <v>0</v>
      </c>
      <c r="AC32">
        <v>0</v>
      </c>
      <c r="AD32">
        <v>0</v>
      </c>
      <c r="AE32">
        <v>30.4</v>
      </c>
      <c r="AF32">
        <v>0</v>
      </c>
      <c r="AG32">
        <v>0</v>
      </c>
      <c r="AH32">
        <v>0</v>
      </c>
      <c r="AI32">
        <v>4.88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4.8000000000000001E-2</v>
      </c>
      <c r="AU32" t="s">
        <v>18</v>
      </c>
      <c r="AV32">
        <v>0</v>
      </c>
      <c r="AW32">
        <v>2</v>
      </c>
      <c r="AX32">
        <v>39610578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Y32*Source!I26</f>
        <v>0</v>
      </c>
      <c r="CY32">
        <f t="shared" si="6"/>
        <v>148.35</v>
      </c>
      <c r="CZ32">
        <f t="shared" si="7"/>
        <v>30.4</v>
      </c>
      <c r="DA32">
        <f t="shared" si="8"/>
        <v>4.88</v>
      </c>
      <c r="DB32">
        <v>0</v>
      </c>
    </row>
    <row r="33" spans="1:106" x14ac:dyDescent="0.2">
      <c r="A33">
        <f>ROW(Source!A26)</f>
        <v>26</v>
      </c>
      <c r="B33">
        <v>39610380</v>
      </c>
      <c r="C33">
        <v>39610569</v>
      </c>
      <c r="D33">
        <v>36803258</v>
      </c>
      <c r="E33">
        <v>1</v>
      </c>
      <c r="F33">
        <v>1</v>
      </c>
      <c r="G33">
        <v>1</v>
      </c>
      <c r="H33">
        <v>3</v>
      </c>
      <c r="I33" t="s">
        <v>421</v>
      </c>
      <c r="J33" t="s">
        <v>422</v>
      </c>
      <c r="K33" t="s">
        <v>423</v>
      </c>
      <c r="L33">
        <v>1346</v>
      </c>
      <c r="N33">
        <v>1009</v>
      </c>
      <c r="O33" t="s">
        <v>424</v>
      </c>
      <c r="P33" t="s">
        <v>424</v>
      </c>
      <c r="Q33">
        <v>1</v>
      </c>
      <c r="W33">
        <v>0</v>
      </c>
      <c r="X33">
        <v>586013393</v>
      </c>
      <c r="Y33">
        <v>0</v>
      </c>
      <c r="AA33">
        <v>51.58</v>
      </c>
      <c r="AB33">
        <v>0</v>
      </c>
      <c r="AC33">
        <v>0</v>
      </c>
      <c r="AD33">
        <v>0</v>
      </c>
      <c r="AE33">
        <v>10.57</v>
      </c>
      <c r="AF33">
        <v>0</v>
      </c>
      <c r="AG33">
        <v>0</v>
      </c>
      <c r="AH33">
        <v>0</v>
      </c>
      <c r="AI33">
        <v>4.88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0.08</v>
      </c>
      <c r="AU33" t="s">
        <v>18</v>
      </c>
      <c r="AV33">
        <v>0</v>
      </c>
      <c r="AW33">
        <v>2</v>
      </c>
      <c r="AX33">
        <v>39610579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Y33*Source!I26</f>
        <v>0</v>
      </c>
      <c r="CY33">
        <f t="shared" si="6"/>
        <v>51.58</v>
      </c>
      <c r="CZ33">
        <f t="shared" si="7"/>
        <v>10.57</v>
      </c>
      <c r="DA33">
        <f t="shared" si="8"/>
        <v>4.88</v>
      </c>
      <c r="DB33">
        <v>0</v>
      </c>
    </row>
    <row r="34" spans="1:106" x14ac:dyDescent="0.2">
      <c r="A34">
        <f>ROW(Source!A26)</f>
        <v>26</v>
      </c>
      <c r="B34">
        <v>39610380</v>
      </c>
      <c r="C34">
        <v>39610569</v>
      </c>
      <c r="D34">
        <v>36804448</v>
      </c>
      <c r="E34">
        <v>1</v>
      </c>
      <c r="F34">
        <v>1</v>
      </c>
      <c r="G34">
        <v>1</v>
      </c>
      <c r="H34">
        <v>3</v>
      </c>
      <c r="I34" t="s">
        <v>425</v>
      </c>
      <c r="J34" t="s">
        <v>426</v>
      </c>
      <c r="K34" t="s">
        <v>427</v>
      </c>
      <c r="L34">
        <v>1346</v>
      </c>
      <c r="N34">
        <v>1009</v>
      </c>
      <c r="O34" t="s">
        <v>424</v>
      </c>
      <c r="P34" t="s">
        <v>424</v>
      </c>
      <c r="Q34">
        <v>1</v>
      </c>
      <c r="W34">
        <v>0</v>
      </c>
      <c r="X34">
        <v>103900845</v>
      </c>
      <c r="Y34">
        <v>0</v>
      </c>
      <c r="AA34">
        <v>44.12</v>
      </c>
      <c r="AB34">
        <v>0</v>
      </c>
      <c r="AC34">
        <v>0</v>
      </c>
      <c r="AD34">
        <v>0</v>
      </c>
      <c r="AE34">
        <v>9.0399999999999991</v>
      </c>
      <c r="AF34">
        <v>0</v>
      </c>
      <c r="AG34">
        <v>0</v>
      </c>
      <c r="AH34">
        <v>0</v>
      </c>
      <c r="AI34">
        <v>4.88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0.53</v>
      </c>
      <c r="AU34" t="s">
        <v>18</v>
      </c>
      <c r="AV34">
        <v>0</v>
      </c>
      <c r="AW34">
        <v>2</v>
      </c>
      <c r="AX34">
        <v>39610580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Y34*Source!I26</f>
        <v>0</v>
      </c>
      <c r="CY34">
        <f t="shared" si="6"/>
        <v>44.12</v>
      </c>
      <c r="CZ34">
        <f t="shared" si="7"/>
        <v>9.0399999999999991</v>
      </c>
      <c r="DA34">
        <f t="shared" si="8"/>
        <v>4.88</v>
      </c>
      <c r="DB34">
        <v>0</v>
      </c>
    </row>
    <row r="35" spans="1:106" x14ac:dyDescent="0.2">
      <c r="A35">
        <f>ROW(Source!A26)</f>
        <v>26</v>
      </c>
      <c r="B35">
        <v>39610380</v>
      </c>
      <c r="C35">
        <v>39610569</v>
      </c>
      <c r="D35">
        <v>36804580</v>
      </c>
      <c r="E35">
        <v>1</v>
      </c>
      <c r="F35">
        <v>1</v>
      </c>
      <c r="G35">
        <v>1</v>
      </c>
      <c r="H35">
        <v>3</v>
      </c>
      <c r="I35" t="s">
        <v>469</v>
      </c>
      <c r="J35" t="s">
        <v>470</v>
      </c>
      <c r="K35" t="s">
        <v>471</v>
      </c>
      <c r="L35">
        <v>1355</v>
      </c>
      <c r="N35">
        <v>1010</v>
      </c>
      <c r="O35" t="s">
        <v>148</v>
      </c>
      <c r="P35" t="s">
        <v>148</v>
      </c>
      <c r="Q35">
        <v>100</v>
      </c>
      <c r="W35">
        <v>0</v>
      </c>
      <c r="X35">
        <v>1794244060</v>
      </c>
      <c r="Y35">
        <v>0</v>
      </c>
      <c r="AA35">
        <v>419.68</v>
      </c>
      <c r="AB35">
        <v>0</v>
      </c>
      <c r="AC35">
        <v>0</v>
      </c>
      <c r="AD35">
        <v>0</v>
      </c>
      <c r="AE35">
        <v>86</v>
      </c>
      <c r="AF35">
        <v>0</v>
      </c>
      <c r="AG35">
        <v>0</v>
      </c>
      <c r="AH35">
        <v>0</v>
      </c>
      <c r="AI35">
        <v>4.88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1.4E-2</v>
      </c>
      <c r="AU35" t="s">
        <v>18</v>
      </c>
      <c r="AV35">
        <v>0</v>
      </c>
      <c r="AW35">
        <v>2</v>
      </c>
      <c r="AX35">
        <v>39610581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Y35*Source!I26</f>
        <v>0</v>
      </c>
      <c r="CY35">
        <f t="shared" si="6"/>
        <v>419.68</v>
      </c>
      <c r="CZ35">
        <f t="shared" si="7"/>
        <v>86</v>
      </c>
      <c r="DA35">
        <f t="shared" si="8"/>
        <v>4.88</v>
      </c>
      <c r="DB35">
        <v>0</v>
      </c>
    </row>
    <row r="36" spans="1:106" x14ac:dyDescent="0.2">
      <c r="A36">
        <f>ROW(Source!A26)</f>
        <v>26</v>
      </c>
      <c r="B36">
        <v>39610380</v>
      </c>
      <c r="C36">
        <v>39610569</v>
      </c>
      <c r="D36">
        <v>36805500</v>
      </c>
      <c r="E36">
        <v>1</v>
      </c>
      <c r="F36">
        <v>1</v>
      </c>
      <c r="G36">
        <v>1</v>
      </c>
      <c r="H36">
        <v>3</v>
      </c>
      <c r="I36" t="s">
        <v>472</v>
      </c>
      <c r="J36" t="s">
        <v>473</v>
      </c>
      <c r="K36" t="s">
        <v>474</v>
      </c>
      <c r="L36">
        <v>1346</v>
      </c>
      <c r="N36">
        <v>1009</v>
      </c>
      <c r="O36" t="s">
        <v>424</v>
      </c>
      <c r="P36" t="s">
        <v>424</v>
      </c>
      <c r="Q36">
        <v>1</v>
      </c>
      <c r="W36">
        <v>0</v>
      </c>
      <c r="X36">
        <v>-856710481</v>
      </c>
      <c r="Y36">
        <v>0</v>
      </c>
      <c r="AA36">
        <v>649.28</v>
      </c>
      <c r="AB36">
        <v>0</v>
      </c>
      <c r="AC36">
        <v>0</v>
      </c>
      <c r="AD36">
        <v>0</v>
      </c>
      <c r="AE36">
        <v>133.05000000000001</v>
      </c>
      <c r="AF36">
        <v>0</v>
      </c>
      <c r="AG36">
        <v>0</v>
      </c>
      <c r="AH36">
        <v>0</v>
      </c>
      <c r="AI36">
        <v>4.88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2E-3</v>
      </c>
      <c r="AU36" t="s">
        <v>18</v>
      </c>
      <c r="AV36">
        <v>0</v>
      </c>
      <c r="AW36">
        <v>2</v>
      </c>
      <c r="AX36">
        <v>39610582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Y36*Source!I26</f>
        <v>0</v>
      </c>
      <c r="CY36">
        <f t="shared" si="6"/>
        <v>649.28</v>
      </c>
      <c r="CZ36">
        <f t="shared" si="7"/>
        <v>133.05000000000001</v>
      </c>
      <c r="DA36">
        <f t="shared" si="8"/>
        <v>4.88</v>
      </c>
      <c r="DB36">
        <v>0</v>
      </c>
    </row>
    <row r="37" spans="1:106" x14ac:dyDescent="0.2">
      <c r="A37">
        <f>ROW(Source!A26)</f>
        <v>26</v>
      </c>
      <c r="B37">
        <v>39610380</v>
      </c>
      <c r="C37">
        <v>39610569</v>
      </c>
      <c r="D37">
        <v>36823140</v>
      </c>
      <c r="E37">
        <v>1</v>
      </c>
      <c r="F37">
        <v>1</v>
      </c>
      <c r="G37">
        <v>1</v>
      </c>
      <c r="H37">
        <v>3</v>
      </c>
      <c r="I37" t="s">
        <v>475</v>
      </c>
      <c r="J37" t="s">
        <v>476</v>
      </c>
      <c r="K37" t="s">
        <v>477</v>
      </c>
      <c r="L37">
        <v>1348</v>
      </c>
      <c r="N37">
        <v>1009</v>
      </c>
      <c r="O37" t="s">
        <v>237</v>
      </c>
      <c r="P37" t="s">
        <v>237</v>
      </c>
      <c r="Q37">
        <v>1000</v>
      </c>
      <c r="W37">
        <v>0</v>
      </c>
      <c r="X37">
        <v>426000481</v>
      </c>
      <c r="Y37">
        <v>0</v>
      </c>
      <c r="AA37">
        <v>56120</v>
      </c>
      <c r="AB37">
        <v>0</v>
      </c>
      <c r="AC37">
        <v>0</v>
      </c>
      <c r="AD37">
        <v>0</v>
      </c>
      <c r="AE37">
        <v>11500</v>
      </c>
      <c r="AF37">
        <v>0</v>
      </c>
      <c r="AG37">
        <v>0</v>
      </c>
      <c r="AH37">
        <v>0</v>
      </c>
      <c r="AI37">
        <v>4.88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4.0000000000000001E-3</v>
      </c>
      <c r="AU37" t="s">
        <v>18</v>
      </c>
      <c r="AV37">
        <v>0</v>
      </c>
      <c r="AW37">
        <v>2</v>
      </c>
      <c r="AX37">
        <v>39610583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Y37*Source!I26</f>
        <v>0</v>
      </c>
      <c r="CY37">
        <f t="shared" si="6"/>
        <v>56120</v>
      </c>
      <c r="CZ37">
        <f t="shared" si="7"/>
        <v>11500</v>
      </c>
      <c r="DA37">
        <f t="shared" si="8"/>
        <v>4.88</v>
      </c>
      <c r="DB37">
        <v>0</v>
      </c>
    </row>
    <row r="38" spans="1:106" x14ac:dyDescent="0.2">
      <c r="A38">
        <f>ROW(Source!A26)</f>
        <v>26</v>
      </c>
      <c r="B38">
        <v>39610380</v>
      </c>
      <c r="C38">
        <v>39610569</v>
      </c>
      <c r="D38">
        <v>36838317</v>
      </c>
      <c r="E38">
        <v>1</v>
      </c>
      <c r="F38">
        <v>1</v>
      </c>
      <c r="G38">
        <v>1</v>
      </c>
      <c r="H38">
        <v>3</v>
      </c>
      <c r="I38" t="s">
        <v>435</v>
      </c>
      <c r="J38" t="s">
        <v>436</v>
      </c>
      <c r="K38" t="s">
        <v>437</v>
      </c>
      <c r="L38">
        <v>1346</v>
      </c>
      <c r="N38">
        <v>1009</v>
      </c>
      <c r="O38" t="s">
        <v>424</v>
      </c>
      <c r="P38" t="s">
        <v>424</v>
      </c>
      <c r="Q38">
        <v>1</v>
      </c>
      <c r="W38">
        <v>0</v>
      </c>
      <c r="X38">
        <v>210558753</v>
      </c>
      <c r="Y38">
        <v>0</v>
      </c>
      <c r="AA38">
        <v>139.57</v>
      </c>
      <c r="AB38">
        <v>0</v>
      </c>
      <c r="AC38">
        <v>0</v>
      </c>
      <c r="AD38">
        <v>0</v>
      </c>
      <c r="AE38">
        <v>28.6</v>
      </c>
      <c r="AF38">
        <v>0</v>
      </c>
      <c r="AG38">
        <v>0</v>
      </c>
      <c r="AH38">
        <v>0</v>
      </c>
      <c r="AI38">
        <v>4.88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4.7E-2</v>
      </c>
      <c r="AU38" t="s">
        <v>18</v>
      </c>
      <c r="AV38">
        <v>0</v>
      </c>
      <c r="AW38">
        <v>2</v>
      </c>
      <c r="AX38">
        <v>39610584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Y38*Source!I26</f>
        <v>0</v>
      </c>
      <c r="CY38">
        <f t="shared" si="6"/>
        <v>139.57</v>
      </c>
      <c r="CZ38">
        <f t="shared" si="7"/>
        <v>28.6</v>
      </c>
      <c r="DA38">
        <f t="shared" si="8"/>
        <v>4.88</v>
      </c>
      <c r="DB38">
        <v>0</v>
      </c>
    </row>
    <row r="39" spans="1:106" x14ac:dyDescent="0.2">
      <c r="A39">
        <f>ROW(Source!A26)</f>
        <v>26</v>
      </c>
      <c r="B39">
        <v>39610380</v>
      </c>
      <c r="C39">
        <v>39610569</v>
      </c>
      <c r="D39">
        <v>36838470</v>
      </c>
      <c r="E39">
        <v>1</v>
      </c>
      <c r="F39">
        <v>1</v>
      </c>
      <c r="G39">
        <v>1</v>
      </c>
      <c r="H39">
        <v>3</v>
      </c>
      <c r="I39" t="s">
        <v>478</v>
      </c>
      <c r="J39" t="s">
        <v>479</v>
      </c>
      <c r="K39" t="s">
        <v>480</v>
      </c>
      <c r="L39">
        <v>1346</v>
      </c>
      <c r="N39">
        <v>1009</v>
      </c>
      <c r="O39" t="s">
        <v>424</v>
      </c>
      <c r="P39" t="s">
        <v>424</v>
      </c>
      <c r="Q39">
        <v>1</v>
      </c>
      <c r="W39">
        <v>0</v>
      </c>
      <c r="X39">
        <v>-1274984028</v>
      </c>
      <c r="Y39">
        <v>0</v>
      </c>
      <c r="AA39">
        <v>173.87</v>
      </c>
      <c r="AB39">
        <v>0</v>
      </c>
      <c r="AC39">
        <v>0</v>
      </c>
      <c r="AD39">
        <v>0</v>
      </c>
      <c r="AE39">
        <v>35.630000000000003</v>
      </c>
      <c r="AF39">
        <v>0</v>
      </c>
      <c r="AG39">
        <v>0</v>
      </c>
      <c r="AH39">
        <v>0</v>
      </c>
      <c r="AI39">
        <v>4.88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1.4E-2</v>
      </c>
      <c r="AU39" t="s">
        <v>18</v>
      </c>
      <c r="AV39">
        <v>0</v>
      </c>
      <c r="AW39">
        <v>2</v>
      </c>
      <c r="AX39">
        <v>39610585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Y39*Source!I26</f>
        <v>0</v>
      </c>
      <c r="CY39">
        <f t="shared" si="6"/>
        <v>173.87</v>
      </c>
      <c r="CZ39">
        <f t="shared" si="7"/>
        <v>35.630000000000003</v>
      </c>
      <c r="DA39">
        <f t="shared" si="8"/>
        <v>4.88</v>
      </c>
      <c r="DB39">
        <v>0</v>
      </c>
    </row>
    <row r="40" spans="1:106" x14ac:dyDescent="0.2">
      <c r="A40">
        <f>ROW(Source!A26)</f>
        <v>26</v>
      </c>
      <c r="B40">
        <v>39610380</v>
      </c>
      <c r="C40">
        <v>39610569</v>
      </c>
      <c r="D40">
        <v>36851945</v>
      </c>
      <c r="E40">
        <v>1</v>
      </c>
      <c r="F40">
        <v>1</v>
      </c>
      <c r="G40">
        <v>1</v>
      </c>
      <c r="H40">
        <v>3</v>
      </c>
      <c r="I40" t="s">
        <v>481</v>
      </c>
      <c r="J40" t="s">
        <v>482</v>
      </c>
      <c r="K40" t="s">
        <v>483</v>
      </c>
      <c r="L40">
        <v>1358</v>
      </c>
      <c r="N40">
        <v>1010</v>
      </c>
      <c r="O40" t="s">
        <v>484</v>
      </c>
      <c r="P40" t="s">
        <v>484</v>
      </c>
      <c r="Q40">
        <v>10</v>
      </c>
      <c r="W40">
        <v>0</v>
      </c>
      <c r="X40">
        <v>1386890308</v>
      </c>
      <c r="Y40">
        <v>0</v>
      </c>
      <c r="AA40">
        <v>190.32</v>
      </c>
      <c r="AB40">
        <v>0</v>
      </c>
      <c r="AC40">
        <v>0</v>
      </c>
      <c r="AD40">
        <v>0</v>
      </c>
      <c r="AE40">
        <v>39</v>
      </c>
      <c r="AF40">
        <v>0</v>
      </c>
      <c r="AG40">
        <v>0</v>
      </c>
      <c r="AH40">
        <v>0</v>
      </c>
      <c r="AI40">
        <v>4.88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0.1</v>
      </c>
      <c r="AU40" t="s">
        <v>18</v>
      </c>
      <c r="AV40">
        <v>0</v>
      </c>
      <c r="AW40">
        <v>2</v>
      </c>
      <c r="AX40">
        <v>39610586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Y40*Source!I26</f>
        <v>0</v>
      </c>
      <c r="CY40">
        <f t="shared" si="6"/>
        <v>190.32</v>
      </c>
      <c r="CZ40">
        <f t="shared" si="7"/>
        <v>39</v>
      </c>
      <c r="DA40">
        <f t="shared" si="8"/>
        <v>4.88</v>
      </c>
      <c r="DB40">
        <v>0</v>
      </c>
    </row>
    <row r="41" spans="1:106" x14ac:dyDescent="0.2">
      <c r="A41">
        <f>ROW(Source!A26)</f>
        <v>26</v>
      </c>
      <c r="B41">
        <v>39610380</v>
      </c>
      <c r="C41">
        <v>39610569</v>
      </c>
      <c r="D41">
        <v>36870813</v>
      </c>
      <c r="E41">
        <v>1</v>
      </c>
      <c r="F41">
        <v>1</v>
      </c>
      <c r="G41">
        <v>1</v>
      </c>
      <c r="H41">
        <v>3</v>
      </c>
      <c r="I41" t="s">
        <v>485</v>
      </c>
      <c r="J41" t="s">
        <v>486</v>
      </c>
      <c r="K41" t="s">
        <v>487</v>
      </c>
      <c r="L41">
        <v>1355</v>
      </c>
      <c r="N41">
        <v>1010</v>
      </c>
      <c r="O41" t="s">
        <v>148</v>
      </c>
      <c r="P41" t="s">
        <v>148</v>
      </c>
      <c r="Q41">
        <v>100</v>
      </c>
      <c r="W41">
        <v>0</v>
      </c>
      <c r="X41">
        <v>877733957</v>
      </c>
      <c r="Y41">
        <v>0</v>
      </c>
      <c r="AA41">
        <v>307.44</v>
      </c>
      <c r="AB41">
        <v>0</v>
      </c>
      <c r="AC41">
        <v>0</v>
      </c>
      <c r="AD41">
        <v>0</v>
      </c>
      <c r="AE41">
        <v>63</v>
      </c>
      <c r="AF41">
        <v>0</v>
      </c>
      <c r="AG41">
        <v>0</v>
      </c>
      <c r="AH41">
        <v>0</v>
      </c>
      <c r="AI41">
        <v>4.88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6.0999999999999999E-2</v>
      </c>
      <c r="AU41" t="s">
        <v>18</v>
      </c>
      <c r="AV41">
        <v>0</v>
      </c>
      <c r="AW41">
        <v>2</v>
      </c>
      <c r="AX41">
        <v>39610587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Y41*Source!I26</f>
        <v>0</v>
      </c>
      <c r="CY41">
        <f t="shared" si="6"/>
        <v>307.44</v>
      </c>
      <c r="CZ41">
        <f t="shared" si="7"/>
        <v>63</v>
      </c>
      <c r="DA41">
        <f t="shared" si="8"/>
        <v>4.88</v>
      </c>
      <c r="DB41">
        <v>0</v>
      </c>
    </row>
    <row r="42" spans="1:106" x14ac:dyDescent="0.2">
      <c r="A42">
        <f>ROW(Source!A26)</f>
        <v>26</v>
      </c>
      <c r="B42">
        <v>39610380</v>
      </c>
      <c r="C42">
        <v>39610569</v>
      </c>
      <c r="D42">
        <v>36799065</v>
      </c>
      <c r="E42">
        <v>17</v>
      </c>
      <c r="F42">
        <v>1</v>
      </c>
      <c r="G42">
        <v>1</v>
      </c>
      <c r="H42">
        <v>3</v>
      </c>
      <c r="I42" t="s">
        <v>438</v>
      </c>
      <c r="J42" t="s">
        <v>3</v>
      </c>
      <c r="K42" t="s">
        <v>439</v>
      </c>
      <c r="L42">
        <v>1374</v>
      </c>
      <c r="N42">
        <v>1013</v>
      </c>
      <c r="O42" t="s">
        <v>440</v>
      </c>
      <c r="P42" t="s">
        <v>440</v>
      </c>
      <c r="Q42">
        <v>1</v>
      </c>
      <c r="W42">
        <v>0</v>
      </c>
      <c r="X42">
        <v>-1731369543</v>
      </c>
      <c r="Y42">
        <v>0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0.72</v>
      </c>
      <c r="AU42" t="s">
        <v>18</v>
      </c>
      <c r="AV42">
        <v>0</v>
      </c>
      <c r="AW42">
        <v>2</v>
      </c>
      <c r="AX42">
        <v>39610588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Y42*Source!I26</f>
        <v>0</v>
      </c>
      <c r="CY42">
        <f t="shared" si="6"/>
        <v>1</v>
      </c>
      <c r="CZ42">
        <f t="shared" si="7"/>
        <v>1</v>
      </c>
      <c r="DA42">
        <f t="shared" si="8"/>
        <v>1</v>
      </c>
      <c r="DB42">
        <v>0</v>
      </c>
    </row>
    <row r="43" spans="1:106" x14ac:dyDescent="0.2">
      <c r="A43">
        <f>ROW(Source!A27)</f>
        <v>27</v>
      </c>
      <c r="B43">
        <v>39610380</v>
      </c>
      <c r="C43">
        <v>39610428</v>
      </c>
      <c r="D43">
        <v>37064998</v>
      </c>
      <c r="E43">
        <v>1</v>
      </c>
      <c r="F43">
        <v>1</v>
      </c>
      <c r="G43">
        <v>1</v>
      </c>
      <c r="H43">
        <v>1</v>
      </c>
      <c r="I43" t="s">
        <v>488</v>
      </c>
      <c r="J43" t="s">
        <v>3</v>
      </c>
      <c r="K43" t="s">
        <v>489</v>
      </c>
      <c r="L43">
        <v>1191</v>
      </c>
      <c r="N43">
        <v>1013</v>
      </c>
      <c r="O43" t="s">
        <v>405</v>
      </c>
      <c r="P43" t="s">
        <v>405</v>
      </c>
      <c r="Q43">
        <v>1</v>
      </c>
      <c r="W43">
        <v>0</v>
      </c>
      <c r="X43">
        <v>735429535</v>
      </c>
      <c r="Y43">
        <v>9.64</v>
      </c>
      <c r="AA43">
        <v>0</v>
      </c>
      <c r="AB43">
        <v>0</v>
      </c>
      <c r="AC43">
        <v>0</v>
      </c>
      <c r="AD43">
        <v>38.06</v>
      </c>
      <c r="AE43">
        <v>0</v>
      </c>
      <c r="AF43">
        <v>0</v>
      </c>
      <c r="AG43">
        <v>0</v>
      </c>
      <c r="AH43">
        <v>7.8</v>
      </c>
      <c r="AI43">
        <v>1</v>
      </c>
      <c r="AJ43">
        <v>1</v>
      </c>
      <c r="AK43">
        <v>1</v>
      </c>
      <c r="AL43">
        <v>4.88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9.64</v>
      </c>
      <c r="AU43" t="s">
        <v>3</v>
      </c>
      <c r="AV43">
        <v>1</v>
      </c>
      <c r="AW43">
        <v>2</v>
      </c>
      <c r="AX43">
        <v>39610429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Y43*Source!I27</f>
        <v>1.7352000000000001</v>
      </c>
      <c r="CY43">
        <f>AD43</f>
        <v>38.06</v>
      </c>
      <c r="CZ43">
        <f>AH43</f>
        <v>7.8</v>
      </c>
      <c r="DA43">
        <f>AL43</f>
        <v>4.88</v>
      </c>
      <c r="DB43">
        <v>0</v>
      </c>
    </row>
    <row r="44" spans="1:106" x14ac:dyDescent="0.2">
      <c r="A44">
        <f>ROW(Source!A27)</f>
        <v>27</v>
      </c>
      <c r="B44">
        <v>39610380</v>
      </c>
      <c r="C44">
        <v>39610428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406</v>
      </c>
      <c r="J44" t="s">
        <v>3</v>
      </c>
      <c r="K44" t="s">
        <v>407</v>
      </c>
      <c r="L44">
        <v>1191</v>
      </c>
      <c r="N44">
        <v>1013</v>
      </c>
      <c r="O44" t="s">
        <v>405</v>
      </c>
      <c r="P44" t="s">
        <v>405</v>
      </c>
      <c r="Q44">
        <v>1</v>
      </c>
      <c r="W44">
        <v>0</v>
      </c>
      <c r="X44">
        <v>-1417349443</v>
      </c>
      <c r="Y44">
        <v>0.01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4.88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0.01</v>
      </c>
      <c r="AU44" t="s">
        <v>3</v>
      </c>
      <c r="AV44">
        <v>2</v>
      </c>
      <c r="AW44">
        <v>2</v>
      </c>
      <c r="AX44">
        <v>39610430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Y44*Source!I27</f>
        <v>1.8E-3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ROW(Source!A27)</f>
        <v>27</v>
      </c>
      <c r="B45">
        <v>39610380</v>
      </c>
      <c r="C45">
        <v>39610428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490</v>
      </c>
      <c r="J45" t="s">
        <v>491</v>
      </c>
      <c r="K45" t="s">
        <v>492</v>
      </c>
      <c r="L45">
        <v>1368</v>
      </c>
      <c r="N45">
        <v>1011</v>
      </c>
      <c r="O45" t="s">
        <v>411</v>
      </c>
      <c r="P45" t="s">
        <v>411</v>
      </c>
      <c r="Q45">
        <v>1</v>
      </c>
      <c r="W45">
        <v>0</v>
      </c>
      <c r="X45">
        <v>1188625873</v>
      </c>
      <c r="Y45">
        <v>0.01</v>
      </c>
      <c r="AA45">
        <v>0</v>
      </c>
      <c r="AB45">
        <v>152.55000000000001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4.88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0.01</v>
      </c>
      <c r="AU45" t="s">
        <v>3</v>
      </c>
      <c r="AV45">
        <v>0</v>
      </c>
      <c r="AW45">
        <v>2</v>
      </c>
      <c r="AX45">
        <v>39610431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Y45*Source!I27</f>
        <v>1.8E-3</v>
      </c>
      <c r="CY45">
        <f>AB45</f>
        <v>152.55000000000001</v>
      </c>
      <c r="CZ45">
        <f>AF45</f>
        <v>31.26</v>
      </c>
      <c r="DA45">
        <f>AJ45</f>
        <v>4.88</v>
      </c>
      <c r="DB45">
        <v>0</v>
      </c>
    </row>
    <row r="46" spans="1:106" x14ac:dyDescent="0.2">
      <c r="A46">
        <f>ROW(Source!A28)</f>
        <v>28</v>
      </c>
      <c r="B46">
        <v>39610380</v>
      </c>
      <c r="C46">
        <v>39610456</v>
      </c>
      <c r="D46">
        <v>37077359</v>
      </c>
      <c r="E46">
        <v>1</v>
      </c>
      <c r="F46">
        <v>1</v>
      </c>
      <c r="G46">
        <v>1</v>
      </c>
      <c r="H46">
        <v>1</v>
      </c>
      <c r="I46" t="s">
        <v>441</v>
      </c>
      <c r="J46" t="s">
        <v>3</v>
      </c>
      <c r="K46" t="s">
        <v>442</v>
      </c>
      <c r="L46">
        <v>1191</v>
      </c>
      <c r="N46">
        <v>1013</v>
      </c>
      <c r="O46" t="s">
        <v>405</v>
      </c>
      <c r="P46" t="s">
        <v>405</v>
      </c>
      <c r="Q46">
        <v>1</v>
      </c>
      <c r="W46">
        <v>0</v>
      </c>
      <c r="X46">
        <v>-362667798</v>
      </c>
      <c r="Y46">
        <v>0.25800000000000001</v>
      </c>
      <c r="AA46">
        <v>0</v>
      </c>
      <c r="AB46">
        <v>0</v>
      </c>
      <c r="AC46">
        <v>0</v>
      </c>
      <c r="AD46">
        <v>51.24</v>
      </c>
      <c r="AE46">
        <v>0</v>
      </c>
      <c r="AF46">
        <v>0</v>
      </c>
      <c r="AG46">
        <v>0</v>
      </c>
      <c r="AH46">
        <v>10.5</v>
      </c>
      <c r="AI46">
        <v>1</v>
      </c>
      <c r="AJ46">
        <v>1</v>
      </c>
      <c r="AK46">
        <v>1</v>
      </c>
      <c r="AL46">
        <v>4.88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0.86</v>
      </c>
      <c r="AU46" t="s">
        <v>19</v>
      </c>
      <c r="AV46">
        <v>1</v>
      </c>
      <c r="AW46">
        <v>2</v>
      </c>
      <c r="AX46">
        <v>39610457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Y46*Source!I28</f>
        <v>2.0640000000000001</v>
      </c>
      <c r="CY46">
        <f>AD46</f>
        <v>51.24</v>
      </c>
      <c r="CZ46">
        <f>AH46</f>
        <v>10.5</v>
      </c>
      <c r="DA46">
        <f>AL46</f>
        <v>4.88</v>
      </c>
      <c r="DB46">
        <v>0</v>
      </c>
    </row>
    <row r="47" spans="1:106" x14ac:dyDescent="0.2">
      <c r="A47">
        <f>ROW(Source!A28)</f>
        <v>28</v>
      </c>
      <c r="B47">
        <v>39610380</v>
      </c>
      <c r="C47">
        <v>39610456</v>
      </c>
      <c r="D47">
        <v>37064876</v>
      </c>
      <c r="E47">
        <v>1</v>
      </c>
      <c r="F47">
        <v>1</v>
      </c>
      <c r="G47">
        <v>1</v>
      </c>
      <c r="H47">
        <v>1</v>
      </c>
      <c r="I47" t="s">
        <v>406</v>
      </c>
      <c r="J47" t="s">
        <v>3</v>
      </c>
      <c r="K47" t="s">
        <v>407</v>
      </c>
      <c r="L47">
        <v>1191</v>
      </c>
      <c r="N47">
        <v>1013</v>
      </c>
      <c r="O47" t="s">
        <v>405</v>
      </c>
      <c r="P47" t="s">
        <v>405</v>
      </c>
      <c r="Q47">
        <v>1</v>
      </c>
      <c r="W47">
        <v>0</v>
      </c>
      <c r="X47">
        <v>-1417349443</v>
      </c>
      <c r="Y47">
        <v>0.2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4.88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0.2</v>
      </c>
      <c r="AU47" t="s">
        <v>3</v>
      </c>
      <c r="AV47">
        <v>2</v>
      </c>
      <c r="AW47">
        <v>2</v>
      </c>
      <c r="AX47">
        <v>39610458</v>
      </c>
      <c r="AY47">
        <v>1</v>
      </c>
      <c r="AZ47">
        <v>2048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Y47*Source!I28</f>
        <v>1.6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ROW(Source!A28)</f>
        <v>28</v>
      </c>
      <c r="B48">
        <v>39610380</v>
      </c>
      <c r="C48">
        <v>39610456</v>
      </c>
      <c r="D48">
        <v>36882159</v>
      </c>
      <c r="E48">
        <v>1</v>
      </c>
      <c r="F48">
        <v>1</v>
      </c>
      <c r="G48">
        <v>1</v>
      </c>
      <c r="H48">
        <v>2</v>
      </c>
      <c r="I48" t="s">
        <v>408</v>
      </c>
      <c r="J48" t="s">
        <v>409</v>
      </c>
      <c r="K48" t="s">
        <v>410</v>
      </c>
      <c r="L48">
        <v>1368</v>
      </c>
      <c r="N48">
        <v>1011</v>
      </c>
      <c r="O48" t="s">
        <v>411</v>
      </c>
      <c r="P48" t="s">
        <v>411</v>
      </c>
      <c r="Q48">
        <v>1</v>
      </c>
      <c r="W48">
        <v>0</v>
      </c>
      <c r="X48">
        <v>-1718674368</v>
      </c>
      <c r="Y48">
        <v>0.03</v>
      </c>
      <c r="AA48">
        <v>0</v>
      </c>
      <c r="AB48">
        <v>546.51</v>
      </c>
      <c r="AC48">
        <v>13.5</v>
      </c>
      <c r="AD48">
        <v>0</v>
      </c>
      <c r="AE48">
        <v>0</v>
      </c>
      <c r="AF48">
        <v>111.99</v>
      </c>
      <c r="AG48">
        <v>13.5</v>
      </c>
      <c r="AH48">
        <v>0</v>
      </c>
      <c r="AI48">
        <v>1</v>
      </c>
      <c r="AJ48">
        <v>4.88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0.1</v>
      </c>
      <c r="AU48" t="s">
        <v>19</v>
      </c>
      <c r="AV48">
        <v>0</v>
      </c>
      <c r="AW48">
        <v>2</v>
      </c>
      <c r="AX48">
        <v>39610459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Y48*Source!I28</f>
        <v>0.24</v>
      </c>
      <c r="CY48">
        <f>AB48</f>
        <v>546.51</v>
      </c>
      <c r="CZ48">
        <f>AF48</f>
        <v>111.99</v>
      </c>
      <c r="DA48">
        <f>AJ48</f>
        <v>4.88</v>
      </c>
      <c r="DB48">
        <v>0</v>
      </c>
    </row>
    <row r="49" spans="1:106" x14ac:dyDescent="0.2">
      <c r="A49">
        <f>ROW(Source!A28)</f>
        <v>28</v>
      </c>
      <c r="B49">
        <v>39610380</v>
      </c>
      <c r="C49">
        <v>39610456</v>
      </c>
      <c r="D49">
        <v>36883554</v>
      </c>
      <c r="E49">
        <v>1</v>
      </c>
      <c r="F49">
        <v>1</v>
      </c>
      <c r="G49">
        <v>1</v>
      </c>
      <c r="H49">
        <v>2</v>
      </c>
      <c r="I49" t="s">
        <v>412</v>
      </c>
      <c r="J49" t="s">
        <v>413</v>
      </c>
      <c r="K49" t="s">
        <v>414</v>
      </c>
      <c r="L49">
        <v>1368</v>
      </c>
      <c r="N49">
        <v>1011</v>
      </c>
      <c r="O49" t="s">
        <v>411</v>
      </c>
      <c r="P49" t="s">
        <v>411</v>
      </c>
      <c r="Q49">
        <v>1</v>
      </c>
      <c r="W49">
        <v>0</v>
      </c>
      <c r="X49">
        <v>1372534845</v>
      </c>
      <c r="Y49">
        <v>0.03</v>
      </c>
      <c r="AA49">
        <v>0</v>
      </c>
      <c r="AB49">
        <v>320.66000000000003</v>
      </c>
      <c r="AC49">
        <v>11.6</v>
      </c>
      <c r="AD49">
        <v>0</v>
      </c>
      <c r="AE49">
        <v>0</v>
      </c>
      <c r="AF49">
        <v>65.709999999999994</v>
      </c>
      <c r="AG49">
        <v>11.6</v>
      </c>
      <c r="AH49">
        <v>0</v>
      </c>
      <c r="AI49">
        <v>1</v>
      </c>
      <c r="AJ49">
        <v>4.88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0.1</v>
      </c>
      <c r="AU49" t="s">
        <v>19</v>
      </c>
      <c r="AV49">
        <v>0</v>
      </c>
      <c r="AW49">
        <v>2</v>
      </c>
      <c r="AX49">
        <v>39610460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Y49*Source!I28</f>
        <v>0.24</v>
      </c>
      <c r="CY49">
        <f>AB49</f>
        <v>320.66000000000003</v>
      </c>
      <c r="CZ49">
        <f>AF49</f>
        <v>65.709999999999994</v>
      </c>
      <c r="DA49">
        <f>AJ49</f>
        <v>4.88</v>
      </c>
      <c r="DB49">
        <v>0</v>
      </c>
    </row>
    <row r="50" spans="1:106" x14ac:dyDescent="0.2">
      <c r="A50">
        <f>ROW(Source!A28)</f>
        <v>28</v>
      </c>
      <c r="B50">
        <v>39610380</v>
      </c>
      <c r="C50">
        <v>39610456</v>
      </c>
      <c r="D50">
        <v>36802094</v>
      </c>
      <c r="E50">
        <v>1</v>
      </c>
      <c r="F50">
        <v>1</v>
      </c>
      <c r="G50">
        <v>1</v>
      </c>
      <c r="H50">
        <v>3</v>
      </c>
      <c r="I50" t="s">
        <v>466</v>
      </c>
      <c r="J50" t="s">
        <v>467</v>
      </c>
      <c r="K50" t="s">
        <v>468</v>
      </c>
      <c r="L50">
        <v>1346</v>
      </c>
      <c r="N50">
        <v>1009</v>
      </c>
      <c r="O50" t="s">
        <v>424</v>
      </c>
      <c r="P50" t="s">
        <v>424</v>
      </c>
      <c r="Q50">
        <v>1</v>
      </c>
      <c r="W50">
        <v>0</v>
      </c>
      <c r="X50">
        <v>-1088866022</v>
      </c>
      <c r="Y50">
        <v>0</v>
      </c>
      <c r="AA50">
        <v>148.35</v>
      </c>
      <c r="AB50">
        <v>0</v>
      </c>
      <c r="AC50">
        <v>0</v>
      </c>
      <c r="AD50">
        <v>0</v>
      </c>
      <c r="AE50">
        <v>30.4</v>
      </c>
      <c r="AF50">
        <v>0</v>
      </c>
      <c r="AG50">
        <v>0</v>
      </c>
      <c r="AH50">
        <v>0</v>
      </c>
      <c r="AI50">
        <v>4.88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0.01</v>
      </c>
      <c r="AU50" t="s">
        <v>18</v>
      </c>
      <c r="AV50">
        <v>0</v>
      </c>
      <c r="AW50">
        <v>2</v>
      </c>
      <c r="AX50">
        <v>39610461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Y50*Source!I28</f>
        <v>0</v>
      </c>
      <c r="CY50">
        <f>AA50</f>
        <v>148.35</v>
      </c>
      <c r="CZ50">
        <f>AE50</f>
        <v>30.4</v>
      </c>
      <c r="DA50">
        <f>AI50</f>
        <v>4.88</v>
      </c>
      <c r="DB50">
        <v>0</v>
      </c>
    </row>
    <row r="51" spans="1:106" x14ac:dyDescent="0.2">
      <c r="A51">
        <f>ROW(Source!A28)</f>
        <v>28</v>
      </c>
      <c r="B51">
        <v>39610380</v>
      </c>
      <c r="C51">
        <v>39610456</v>
      </c>
      <c r="D51">
        <v>36804448</v>
      </c>
      <c r="E51">
        <v>1</v>
      </c>
      <c r="F51">
        <v>1</v>
      </c>
      <c r="G51">
        <v>1</v>
      </c>
      <c r="H51">
        <v>3</v>
      </c>
      <c r="I51" t="s">
        <v>425</v>
      </c>
      <c r="J51" t="s">
        <v>426</v>
      </c>
      <c r="K51" t="s">
        <v>427</v>
      </c>
      <c r="L51">
        <v>1346</v>
      </c>
      <c r="N51">
        <v>1009</v>
      </c>
      <c r="O51" t="s">
        <v>424</v>
      </c>
      <c r="P51" t="s">
        <v>424</v>
      </c>
      <c r="Q51">
        <v>1</v>
      </c>
      <c r="W51">
        <v>0</v>
      </c>
      <c r="X51">
        <v>103900845</v>
      </c>
      <c r="Y51">
        <v>0</v>
      </c>
      <c r="AA51">
        <v>44.12</v>
      </c>
      <c r="AB51">
        <v>0</v>
      </c>
      <c r="AC51">
        <v>0</v>
      </c>
      <c r="AD51">
        <v>0</v>
      </c>
      <c r="AE51">
        <v>9.0399999999999991</v>
      </c>
      <c r="AF51">
        <v>0</v>
      </c>
      <c r="AG51">
        <v>0</v>
      </c>
      <c r="AH51">
        <v>0</v>
      </c>
      <c r="AI51">
        <v>4.88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0.3</v>
      </c>
      <c r="AU51" t="s">
        <v>18</v>
      </c>
      <c r="AV51">
        <v>0</v>
      </c>
      <c r="AW51">
        <v>2</v>
      </c>
      <c r="AX51">
        <v>39610462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Y51*Source!I28</f>
        <v>0</v>
      </c>
      <c r="CY51">
        <f>AA51</f>
        <v>44.12</v>
      </c>
      <c r="CZ51">
        <f>AE51</f>
        <v>9.0399999999999991</v>
      </c>
      <c r="DA51">
        <f>AI51</f>
        <v>4.88</v>
      </c>
      <c r="DB51">
        <v>0</v>
      </c>
    </row>
    <row r="52" spans="1:106" x14ac:dyDescent="0.2">
      <c r="A52">
        <f>ROW(Source!A28)</f>
        <v>28</v>
      </c>
      <c r="B52">
        <v>39610380</v>
      </c>
      <c r="C52">
        <v>39610456</v>
      </c>
      <c r="D52">
        <v>36825981</v>
      </c>
      <c r="E52">
        <v>1</v>
      </c>
      <c r="F52">
        <v>1</v>
      </c>
      <c r="G52">
        <v>1</v>
      </c>
      <c r="H52">
        <v>3</v>
      </c>
      <c r="I52" t="s">
        <v>432</v>
      </c>
      <c r="J52" t="s">
        <v>433</v>
      </c>
      <c r="K52" t="s">
        <v>434</v>
      </c>
      <c r="L52">
        <v>1348</v>
      </c>
      <c r="N52">
        <v>1009</v>
      </c>
      <c r="O52" t="s">
        <v>237</v>
      </c>
      <c r="P52" t="s">
        <v>237</v>
      </c>
      <c r="Q52">
        <v>1000</v>
      </c>
      <c r="W52">
        <v>0</v>
      </c>
      <c r="X52">
        <v>-1598896989</v>
      </c>
      <c r="Y52">
        <v>0</v>
      </c>
      <c r="AA52">
        <v>24400</v>
      </c>
      <c r="AB52">
        <v>0</v>
      </c>
      <c r="AC52">
        <v>0</v>
      </c>
      <c r="AD52">
        <v>0</v>
      </c>
      <c r="AE52">
        <v>5000</v>
      </c>
      <c r="AF52">
        <v>0</v>
      </c>
      <c r="AG52">
        <v>0</v>
      </c>
      <c r="AH52">
        <v>0</v>
      </c>
      <c r="AI52">
        <v>4.88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5.9999999999999995E-4</v>
      </c>
      <c r="AU52" t="s">
        <v>18</v>
      </c>
      <c r="AV52">
        <v>0</v>
      </c>
      <c r="AW52">
        <v>2</v>
      </c>
      <c r="AX52">
        <v>39610463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Y52*Source!I28</f>
        <v>0</v>
      </c>
      <c r="CY52">
        <f>AA52</f>
        <v>24400</v>
      </c>
      <c r="CZ52">
        <f>AE52</f>
        <v>5000</v>
      </c>
      <c r="DA52">
        <f>AI52</f>
        <v>4.88</v>
      </c>
      <c r="DB52">
        <v>0</v>
      </c>
    </row>
    <row r="53" spans="1:106" x14ac:dyDescent="0.2">
      <c r="A53">
        <f>ROW(Source!A28)</f>
        <v>28</v>
      </c>
      <c r="B53">
        <v>39610380</v>
      </c>
      <c r="C53">
        <v>39610456</v>
      </c>
      <c r="D53">
        <v>36799065</v>
      </c>
      <c r="E53">
        <v>17</v>
      </c>
      <c r="F53">
        <v>1</v>
      </c>
      <c r="G53">
        <v>1</v>
      </c>
      <c r="H53">
        <v>3</v>
      </c>
      <c r="I53" t="s">
        <v>438</v>
      </c>
      <c r="J53" t="s">
        <v>3</v>
      </c>
      <c r="K53" t="s">
        <v>439</v>
      </c>
      <c r="L53">
        <v>1374</v>
      </c>
      <c r="N53">
        <v>1013</v>
      </c>
      <c r="O53" t="s">
        <v>440</v>
      </c>
      <c r="P53" t="s">
        <v>440</v>
      </c>
      <c r="Q53">
        <v>1</v>
      </c>
      <c r="W53">
        <v>0</v>
      </c>
      <c r="X53">
        <v>-1731369543</v>
      </c>
      <c r="Y53">
        <v>0</v>
      </c>
      <c r="AA53">
        <v>1</v>
      </c>
      <c r="AB53">
        <v>0</v>
      </c>
      <c r="AC53">
        <v>0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0.18</v>
      </c>
      <c r="AU53" t="s">
        <v>18</v>
      </c>
      <c r="AV53">
        <v>0</v>
      </c>
      <c r="AW53">
        <v>2</v>
      </c>
      <c r="AX53">
        <v>39610464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Y53*Source!I28</f>
        <v>0</v>
      </c>
      <c r="CY53">
        <f>AA53</f>
        <v>1</v>
      </c>
      <c r="CZ53">
        <f>AE53</f>
        <v>1</v>
      </c>
      <c r="DA53">
        <f>AI53</f>
        <v>1</v>
      </c>
      <c r="DB53">
        <v>0</v>
      </c>
    </row>
    <row r="54" spans="1:106" x14ac:dyDescent="0.2">
      <c r="A54">
        <f>ROW(Source!A29)</f>
        <v>29</v>
      </c>
      <c r="B54">
        <v>39610380</v>
      </c>
      <c r="C54">
        <v>39610466</v>
      </c>
      <c r="D54">
        <v>37069968</v>
      </c>
      <c r="E54">
        <v>1</v>
      </c>
      <c r="F54">
        <v>1</v>
      </c>
      <c r="G54">
        <v>1</v>
      </c>
      <c r="H54">
        <v>1</v>
      </c>
      <c r="I54" t="s">
        <v>493</v>
      </c>
      <c r="J54" t="s">
        <v>3</v>
      </c>
      <c r="K54" t="s">
        <v>494</v>
      </c>
      <c r="L54">
        <v>1191</v>
      </c>
      <c r="N54">
        <v>1013</v>
      </c>
      <c r="O54" t="s">
        <v>405</v>
      </c>
      <c r="P54" t="s">
        <v>405</v>
      </c>
      <c r="Q54">
        <v>1</v>
      </c>
      <c r="W54">
        <v>0</v>
      </c>
      <c r="X54">
        <v>-200730820</v>
      </c>
      <c r="Y54">
        <v>189</v>
      </c>
      <c r="AA54">
        <v>0</v>
      </c>
      <c r="AB54">
        <v>0</v>
      </c>
      <c r="AC54">
        <v>0</v>
      </c>
      <c r="AD54">
        <v>40.89</v>
      </c>
      <c r="AE54">
        <v>0</v>
      </c>
      <c r="AF54">
        <v>0</v>
      </c>
      <c r="AG54">
        <v>0</v>
      </c>
      <c r="AH54">
        <v>8.3800000000000008</v>
      </c>
      <c r="AI54">
        <v>1</v>
      </c>
      <c r="AJ54">
        <v>1</v>
      </c>
      <c r="AK54">
        <v>1</v>
      </c>
      <c r="AL54">
        <v>4.88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189</v>
      </c>
      <c r="AU54" t="s">
        <v>3</v>
      </c>
      <c r="AV54">
        <v>1</v>
      </c>
      <c r="AW54">
        <v>2</v>
      </c>
      <c r="AX54">
        <v>39610467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Y54*Source!I29</f>
        <v>1738.8</v>
      </c>
      <c r="CY54">
        <f>AD54</f>
        <v>40.89</v>
      </c>
      <c r="CZ54">
        <f>AH54</f>
        <v>8.3800000000000008</v>
      </c>
      <c r="DA54">
        <f>AL54</f>
        <v>4.88</v>
      </c>
      <c r="DB54">
        <v>0</v>
      </c>
    </row>
    <row r="55" spans="1:106" x14ac:dyDescent="0.2">
      <c r="A55">
        <f>ROW(Source!A30)</f>
        <v>30</v>
      </c>
      <c r="B55">
        <v>39610380</v>
      </c>
      <c r="C55">
        <v>39614022</v>
      </c>
      <c r="D55">
        <v>37070090</v>
      </c>
      <c r="E55">
        <v>1</v>
      </c>
      <c r="F55">
        <v>1</v>
      </c>
      <c r="G55">
        <v>1</v>
      </c>
      <c r="H55">
        <v>1</v>
      </c>
      <c r="I55" t="s">
        <v>495</v>
      </c>
      <c r="J55" t="s">
        <v>3</v>
      </c>
      <c r="K55" t="s">
        <v>496</v>
      </c>
      <c r="L55">
        <v>1191</v>
      </c>
      <c r="N55">
        <v>1013</v>
      </c>
      <c r="O55" t="s">
        <v>405</v>
      </c>
      <c r="P55" t="s">
        <v>405</v>
      </c>
      <c r="Q55">
        <v>1</v>
      </c>
      <c r="W55">
        <v>0</v>
      </c>
      <c r="X55">
        <v>-814890593</v>
      </c>
      <c r="Y55">
        <v>27.61</v>
      </c>
      <c r="AA55">
        <v>0</v>
      </c>
      <c r="AB55">
        <v>0</v>
      </c>
      <c r="AC55">
        <v>0</v>
      </c>
      <c r="AD55">
        <v>43.77</v>
      </c>
      <c r="AE55">
        <v>0</v>
      </c>
      <c r="AF55">
        <v>0</v>
      </c>
      <c r="AG55">
        <v>0</v>
      </c>
      <c r="AH55">
        <v>8.9700000000000006</v>
      </c>
      <c r="AI55">
        <v>1</v>
      </c>
      <c r="AJ55">
        <v>1</v>
      </c>
      <c r="AK55">
        <v>1</v>
      </c>
      <c r="AL55">
        <v>4.88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27.61</v>
      </c>
      <c r="AU55" t="s">
        <v>3</v>
      </c>
      <c r="AV55">
        <v>1</v>
      </c>
      <c r="AW55">
        <v>2</v>
      </c>
      <c r="AX55">
        <v>39614023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Y55*Source!I30</f>
        <v>3.3131999999999997</v>
      </c>
      <c r="CY55">
        <f>AD55</f>
        <v>43.77</v>
      </c>
      <c r="CZ55">
        <f>AH55</f>
        <v>8.9700000000000006</v>
      </c>
      <c r="DA55">
        <f>AL55</f>
        <v>4.88</v>
      </c>
      <c r="DB55">
        <v>0</v>
      </c>
    </row>
    <row r="56" spans="1:106" x14ac:dyDescent="0.2">
      <c r="A56">
        <f>ROW(Source!A30)</f>
        <v>30</v>
      </c>
      <c r="B56">
        <v>39610380</v>
      </c>
      <c r="C56">
        <v>39614022</v>
      </c>
      <c r="D56">
        <v>36883883</v>
      </c>
      <c r="E56">
        <v>1</v>
      </c>
      <c r="F56">
        <v>1</v>
      </c>
      <c r="G56">
        <v>1</v>
      </c>
      <c r="H56">
        <v>2</v>
      </c>
      <c r="I56" t="s">
        <v>497</v>
      </c>
      <c r="J56" t="s">
        <v>498</v>
      </c>
      <c r="K56" t="s">
        <v>499</v>
      </c>
      <c r="L56">
        <v>1368</v>
      </c>
      <c r="N56">
        <v>1011</v>
      </c>
      <c r="O56" t="s">
        <v>411</v>
      </c>
      <c r="P56" t="s">
        <v>411</v>
      </c>
      <c r="Q56">
        <v>1</v>
      </c>
      <c r="W56">
        <v>0</v>
      </c>
      <c r="X56">
        <v>-2111251057</v>
      </c>
      <c r="Y56">
        <v>11.43</v>
      </c>
      <c r="AA56">
        <v>0</v>
      </c>
      <c r="AB56">
        <v>158.6</v>
      </c>
      <c r="AC56">
        <v>0</v>
      </c>
      <c r="AD56">
        <v>0</v>
      </c>
      <c r="AE56">
        <v>0</v>
      </c>
      <c r="AF56">
        <v>32.5</v>
      </c>
      <c r="AG56">
        <v>0</v>
      </c>
      <c r="AH56">
        <v>0</v>
      </c>
      <c r="AI56">
        <v>1</v>
      </c>
      <c r="AJ56">
        <v>4.88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11.43</v>
      </c>
      <c r="AU56" t="s">
        <v>3</v>
      </c>
      <c r="AV56">
        <v>0</v>
      </c>
      <c r="AW56">
        <v>2</v>
      </c>
      <c r="AX56">
        <v>39614024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Y56*Source!I30</f>
        <v>1.3715999999999999</v>
      </c>
      <c r="CY56">
        <f>AB56</f>
        <v>158.6</v>
      </c>
      <c r="CZ56">
        <f>AF56</f>
        <v>32.5</v>
      </c>
      <c r="DA56">
        <f>AJ56</f>
        <v>4.88</v>
      </c>
      <c r="DB56">
        <v>0</v>
      </c>
    </row>
    <row r="57" spans="1:106" x14ac:dyDescent="0.2">
      <c r="A57">
        <f>ROW(Source!A30)</f>
        <v>30</v>
      </c>
      <c r="B57">
        <v>39610380</v>
      </c>
      <c r="C57">
        <v>39614022</v>
      </c>
      <c r="D57">
        <v>36884481</v>
      </c>
      <c r="E57">
        <v>1</v>
      </c>
      <c r="F57">
        <v>1</v>
      </c>
      <c r="G57">
        <v>1</v>
      </c>
      <c r="H57">
        <v>2</v>
      </c>
      <c r="I57" t="s">
        <v>500</v>
      </c>
      <c r="J57" t="s">
        <v>501</v>
      </c>
      <c r="K57" t="s">
        <v>502</v>
      </c>
      <c r="L57">
        <v>1368</v>
      </c>
      <c r="N57">
        <v>1011</v>
      </c>
      <c r="O57" t="s">
        <v>411</v>
      </c>
      <c r="P57" t="s">
        <v>411</v>
      </c>
      <c r="Q57">
        <v>1</v>
      </c>
      <c r="W57">
        <v>0</v>
      </c>
      <c r="X57">
        <v>1518765163</v>
      </c>
      <c r="Y57">
        <v>22.86</v>
      </c>
      <c r="AA57">
        <v>0</v>
      </c>
      <c r="AB57">
        <v>7.47</v>
      </c>
      <c r="AC57">
        <v>0</v>
      </c>
      <c r="AD57">
        <v>0</v>
      </c>
      <c r="AE57">
        <v>0</v>
      </c>
      <c r="AF57">
        <v>1.53</v>
      </c>
      <c r="AG57">
        <v>0</v>
      </c>
      <c r="AH57">
        <v>0</v>
      </c>
      <c r="AI57">
        <v>1</v>
      </c>
      <c r="AJ57">
        <v>4.88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22.86</v>
      </c>
      <c r="AU57" t="s">
        <v>3</v>
      </c>
      <c r="AV57">
        <v>0</v>
      </c>
      <c r="AW57">
        <v>2</v>
      </c>
      <c r="AX57">
        <v>39614025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Y57*Source!I30</f>
        <v>2.7431999999999999</v>
      </c>
      <c r="CY57">
        <f>AB57</f>
        <v>7.47</v>
      </c>
      <c r="CZ57">
        <f>AF57</f>
        <v>1.53</v>
      </c>
      <c r="DA57">
        <f>AJ57</f>
        <v>4.88</v>
      </c>
      <c r="DB57">
        <v>0</v>
      </c>
    </row>
    <row r="58" spans="1:106" x14ac:dyDescent="0.2">
      <c r="A58">
        <f>ROW(Source!A31)</f>
        <v>31</v>
      </c>
      <c r="B58">
        <v>39610380</v>
      </c>
      <c r="C58">
        <v>39614026</v>
      </c>
      <c r="D58">
        <v>37066837</v>
      </c>
      <c r="E58">
        <v>1</v>
      </c>
      <c r="F58">
        <v>1</v>
      </c>
      <c r="G58">
        <v>1</v>
      </c>
      <c r="H58">
        <v>1</v>
      </c>
      <c r="I58" t="s">
        <v>503</v>
      </c>
      <c r="J58" t="s">
        <v>3</v>
      </c>
      <c r="K58" t="s">
        <v>504</v>
      </c>
      <c r="L58">
        <v>1191</v>
      </c>
      <c r="N58">
        <v>1013</v>
      </c>
      <c r="O58" t="s">
        <v>405</v>
      </c>
      <c r="P58" t="s">
        <v>405</v>
      </c>
      <c r="Q58">
        <v>1</v>
      </c>
      <c r="W58">
        <v>0</v>
      </c>
      <c r="X58">
        <v>1850719656</v>
      </c>
      <c r="Y58">
        <v>8.1419999999999995</v>
      </c>
      <c r="AA58">
        <v>0</v>
      </c>
      <c r="AB58">
        <v>0</v>
      </c>
      <c r="AC58">
        <v>0</v>
      </c>
      <c r="AD58">
        <v>40.549999999999997</v>
      </c>
      <c r="AE58">
        <v>0</v>
      </c>
      <c r="AF58">
        <v>0</v>
      </c>
      <c r="AG58">
        <v>0</v>
      </c>
      <c r="AH58">
        <v>8.31</v>
      </c>
      <c r="AI58">
        <v>1</v>
      </c>
      <c r="AJ58">
        <v>1</v>
      </c>
      <c r="AK58">
        <v>1</v>
      </c>
      <c r="AL58">
        <v>4.88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7.08</v>
      </c>
      <c r="AU58" t="s">
        <v>68</v>
      </c>
      <c r="AV58">
        <v>1</v>
      </c>
      <c r="AW58">
        <v>2</v>
      </c>
      <c r="AX58">
        <v>39614027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Y58*Source!I31</f>
        <v>60.250799999999998</v>
      </c>
      <c r="CY58">
        <f>AD58</f>
        <v>40.549999999999997</v>
      </c>
      <c r="CZ58">
        <f>AH58</f>
        <v>8.31</v>
      </c>
      <c r="DA58">
        <f>AL58</f>
        <v>4.88</v>
      </c>
      <c r="DB58">
        <v>0</v>
      </c>
    </row>
    <row r="59" spans="1:106" x14ac:dyDescent="0.2">
      <c r="A59">
        <f>ROW(Source!A31)</f>
        <v>31</v>
      </c>
      <c r="B59">
        <v>39610380</v>
      </c>
      <c r="C59">
        <v>39614026</v>
      </c>
      <c r="D59">
        <v>37064876</v>
      </c>
      <c r="E59">
        <v>1</v>
      </c>
      <c r="F59">
        <v>1</v>
      </c>
      <c r="G59">
        <v>1</v>
      </c>
      <c r="H59">
        <v>1</v>
      </c>
      <c r="I59" t="s">
        <v>406</v>
      </c>
      <c r="J59" t="s">
        <v>3</v>
      </c>
      <c r="K59" t="s">
        <v>407</v>
      </c>
      <c r="L59">
        <v>1191</v>
      </c>
      <c r="N59">
        <v>1013</v>
      </c>
      <c r="O59" t="s">
        <v>405</v>
      </c>
      <c r="P59" t="s">
        <v>405</v>
      </c>
      <c r="Q59">
        <v>1</v>
      </c>
      <c r="W59">
        <v>0</v>
      </c>
      <c r="X59">
        <v>-1417349443</v>
      </c>
      <c r="Y59">
        <v>0.36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4.88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0.36</v>
      </c>
      <c r="AU59" t="s">
        <v>3</v>
      </c>
      <c r="AV59">
        <v>2</v>
      </c>
      <c r="AW59">
        <v>2</v>
      </c>
      <c r="AX59">
        <v>39614028</v>
      </c>
      <c r="AY59">
        <v>1</v>
      </c>
      <c r="AZ59">
        <v>2048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Y59*Source!I31</f>
        <v>2.6640000000000001</v>
      </c>
      <c r="CY59">
        <f>AD59</f>
        <v>0</v>
      </c>
      <c r="CZ59">
        <f>AH59</f>
        <v>0</v>
      </c>
      <c r="DA59">
        <f>AL59</f>
        <v>1</v>
      </c>
      <c r="DB59">
        <v>0</v>
      </c>
    </row>
    <row r="60" spans="1:106" x14ac:dyDescent="0.2">
      <c r="A60">
        <f>ROW(Source!A31)</f>
        <v>31</v>
      </c>
      <c r="B60">
        <v>39610380</v>
      </c>
      <c r="C60">
        <v>39614026</v>
      </c>
      <c r="D60">
        <v>36882057</v>
      </c>
      <c r="E60">
        <v>1</v>
      </c>
      <c r="F60">
        <v>1</v>
      </c>
      <c r="G60">
        <v>1</v>
      </c>
      <c r="H60">
        <v>2</v>
      </c>
      <c r="I60" t="s">
        <v>505</v>
      </c>
      <c r="J60" t="s">
        <v>506</v>
      </c>
      <c r="K60" t="s">
        <v>507</v>
      </c>
      <c r="L60">
        <v>1368</v>
      </c>
      <c r="N60">
        <v>1011</v>
      </c>
      <c r="O60" t="s">
        <v>411</v>
      </c>
      <c r="P60" t="s">
        <v>411</v>
      </c>
      <c r="Q60">
        <v>1</v>
      </c>
      <c r="W60">
        <v>0</v>
      </c>
      <c r="X60">
        <v>-1460065968</v>
      </c>
      <c r="Y60">
        <v>0.44999999999999996</v>
      </c>
      <c r="AA60">
        <v>0</v>
      </c>
      <c r="AB60">
        <v>421.63</v>
      </c>
      <c r="AC60">
        <v>13.5</v>
      </c>
      <c r="AD60">
        <v>0</v>
      </c>
      <c r="AE60">
        <v>0</v>
      </c>
      <c r="AF60">
        <v>86.4</v>
      </c>
      <c r="AG60">
        <v>13.5</v>
      </c>
      <c r="AH60">
        <v>0</v>
      </c>
      <c r="AI60">
        <v>1</v>
      </c>
      <c r="AJ60">
        <v>4.88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0.36</v>
      </c>
      <c r="AU60" t="s">
        <v>67</v>
      </c>
      <c r="AV60">
        <v>0</v>
      </c>
      <c r="AW60">
        <v>2</v>
      </c>
      <c r="AX60">
        <v>39614029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Y60*Source!I31</f>
        <v>3.3299999999999996</v>
      </c>
      <c r="CY60">
        <f>AB60</f>
        <v>421.63</v>
      </c>
      <c r="CZ60">
        <f>AF60</f>
        <v>86.4</v>
      </c>
      <c r="DA60">
        <f>AJ60</f>
        <v>4.88</v>
      </c>
      <c r="DB60">
        <v>0</v>
      </c>
    </row>
    <row r="61" spans="1:106" x14ac:dyDescent="0.2">
      <c r="A61">
        <f>ROW(Source!A31)</f>
        <v>31</v>
      </c>
      <c r="B61">
        <v>39610380</v>
      </c>
      <c r="C61">
        <v>39614026</v>
      </c>
      <c r="D61">
        <v>36801792</v>
      </c>
      <c r="E61">
        <v>1</v>
      </c>
      <c r="F61">
        <v>1</v>
      </c>
      <c r="G61">
        <v>1</v>
      </c>
      <c r="H61">
        <v>3</v>
      </c>
      <c r="I61" t="s">
        <v>508</v>
      </c>
      <c r="J61" t="s">
        <v>509</v>
      </c>
      <c r="K61" t="s">
        <v>510</v>
      </c>
      <c r="L61">
        <v>1339</v>
      </c>
      <c r="N61">
        <v>1007</v>
      </c>
      <c r="O61" t="s">
        <v>58</v>
      </c>
      <c r="P61" t="s">
        <v>58</v>
      </c>
      <c r="Q61">
        <v>1</v>
      </c>
      <c r="W61">
        <v>0</v>
      </c>
      <c r="X61">
        <v>-1660354250</v>
      </c>
      <c r="Y61">
        <v>0.46</v>
      </c>
      <c r="AA61">
        <v>11.91</v>
      </c>
      <c r="AB61">
        <v>0</v>
      </c>
      <c r="AC61">
        <v>0</v>
      </c>
      <c r="AD61">
        <v>0</v>
      </c>
      <c r="AE61">
        <v>2.44</v>
      </c>
      <c r="AF61">
        <v>0</v>
      </c>
      <c r="AG61">
        <v>0</v>
      </c>
      <c r="AH61">
        <v>0</v>
      </c>
      <c r="AI61">
        <v>4.88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0.46</v>
      </c>
      <c r="AU61" t="s">
        <v>3</v>
      </c>
      <c r="AV61">
        <v>0</v>
      </c>
      <c r="AW61">
        <v>2</v>
      </c>
      <c r="AX61">
        <v>39614030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Y61*Source!I31</f>
        <v>3.4040000000000004</v>
      </c>
      <c r="CY61">
        <f>AA61</f>
        <v>11.91</v>
      </c>
      <c r="CZ61">
        <f>AE61</f>
        <v>2.44</v>
      </c>
      <c r="DA61">
        <f>AI61</f>
        <v>4.88</v>
      </c>
      <c r="DB61">
        <v>0</v>
      </c>
    </row>
    <row r="62" spans="1:106" x14ac:dyDescent="0.2">
      <c r="A62">
        <f>ROW(Source!A31)</f>
        <v>31</v>
      </c>
      <c r="B62">
        <v>39610380</v>
      </c>
      <c r="C62">
        <v>39614026</v>
      </c>
      <c r="D62">
        <v>36807340</v>
      </c>
      <c r="E62">
        <v>1</v>
      </c>
      <c r="F62">
        <v>1</v>
      </c>
      <c r="G62">
        <v>1</v>
      </c>
      <c r="H62">
        <v>3</v>
      </c>
      <c r="I62" t="s">
        <v>511</v>
      </c>
      <c r="J62" t="s">
        <v>512</v>
      </c>
      <c r="K62" t="s">
        <v>513</v>
      </c>
      <c r="L62">
        <v>1339</v>
      </c>
      <c r="N62">
        <v>1007</v>
      </c>
      <c r="O62" t="s">
        <v>58</v>
      </c>
      <c r="P62" t="s">
        <v>58</v>
      </c>
      <c r="Q62">
        <v>1</v>
      </c>
      <c r="W62">
        <v>0</v>
      </c>
      <c r="X62">
        <v>-1019936957</v>
      </c>
      <c r="Y62">
        <v>0.221</v>
      </c>
      <c r="AA62">
        <v>2371.19</v>
      </c>
      <c r="AB62">
        <v>0</v>
      </c>
      <c r="AC62">
        <v>0</v>
      </c>
      <c r="AD62">
        <v>0</v>
      </c>
      <c r="AE62">
        <v>485.9</v>
      </c>
      <c r="AF62">
        <v>0</v>
      </c>
      <c r="AG62">
        <v>0</v>
      </c>
      <c r="AH62">
        <v>0</v>
      </c>
      <c r="AI62">
        <v>4.88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0.221</v>
      </c>
      <c r="AU62" t="s">
        <v>3</v>
      </c>
      <c r="AV62">
        <v>0</v>
      </c>
      <c r="AW62">
        <v>2</v>
      </c>
      <c r="AX62">
        <v>39614031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Y62*Source!I31</f>
        <v>1.6354000000000002</v>
      </c>
      <c r="CY62">
        <f>AA62</f>
        <v>2371.19</v>
      </c>
      <c r="CZ62">
        <f>AE62</f>
        <v>485.9</v>
      </c>
      <c r="DA62">
        <f>AI62</f>
        <v>4.88</v>
      </c>
      <c r="DB62">
        <v>0</v>
      </c>
    </row>
    <row r="63" spans="1:106" x14ac:dyDescent="0.2">
      <c r="A63">
        <f>ROW(Source!A31)</f>
        <v>31</v>
      </c>
      <c r="B63">
        <v>39610380</v>
      </c>
      <c r="C63">
        <v>39614026</v>
      </c>
      <c r="D63">
        <v>36796734</v>
      </c>
      <c r="E63">
        <v>17</v>
      </c>
      <c r="F63">
        <v>1</v>
      </c>
      <c r="G63">
        <v>1</v>
      </c>
      <c r="H63">
        <v>3</v>
      </c>
      <c r="I63" t="s">
        <v>73</v>
      </c>
      <c r="J63" t="s">
        <v>3</v>
      </c>
      <c r="K63" t="s">
        <v>74</v>
      </c>
      <c r="L63">
        <v>1356</v>
      </c>
      <c r="N63">
        <v>1010</v>
      </c>
      <c r="O63" t="s">
        <v>75</v>
      </c>
      <c r="P63" t="s">
        <v>75</v>
      </c>
      <c r="Q63">
        <v>1000</v>
      </c>
      <c r="W63">
        <v>0</v>
      </c>
      <c r="X63">
        <v>-1480842532</v>
      </c>
      <c r="Y63">
        <v>0.4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4.88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0.4</v>
      </c>
      <c r="AU63" t="s">
        <v>3</v>
      </c>
      <c r="AV63">
        <v>0</v>
      </c>
      <c r="AW63">
        <v>2</v>
      </c>
      <c r="AX63">
        <v>39614032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Y63*Source!I31</f>
        <v>2.9600000000000004</v>
      </c>
      <c r="CY63">
        <f>AA63</f>
        <v>0</v>
      </c>
      <c r="CZ63">
        <f>AE63</f>
        <v>0</v>
      </c>
      <c r="DA63">
        <f>AI63</f>
        <v>4.88</v>
      </c>
      <c r="DB63">
        <v>0</v>
      </c>
    </row>
    <row r="64" spans="1:106" x14ac:dyDescent="0.2">
      <c r="A64">
        <f>ROW(Source!A31)</f>
        <v>31</v>
      </c>
      <c r="B64">
        <v>39610380</v>
      </c>
      <c r="C64">
        <v>39614026</v>
      </c>
      <c r="D64">
        <v>36824289</v>
      </c>
      <c r="E64">
        <v>1</v>
      </c>
      <c r="F64">
        <v>1</v>
      </c>
      <c r="G64">
        <v>1</v>
      </c>
      <c r="H64">
        <v>3</v>
      </c>
      <c r="I64" t="s">
        <v>514</v>
      </c>
      <c r="J64" t="s">
        <v>515</v>
      </c>
      <c r="K64" t="s">
        <v>516</v>
      </c>
      <c r="L64">
        <v>1348</v>
      </c>
      <c r="N64">
        <v>1009</v>
      </c>
      <c r="O64" t="s">
        <v>237</v>
      </c>
      <c r="P64" t="s">
        <v>237</v>
      </c>
      <c r="Q64">
        <v>1000</v>
      </c>
      <c r="W64">
        <v>0</v>
      </c>
      <c r="X64">
        <v>-1756095795</v>
      </c>
      <c r="Y64">
        <v>2.3E-3</v>
      </c>
      <c r="AA64">
        <v>29226.32</v>
      </c>
      <c r="AB64">
        <v>0</v>
      </c>
      <c r="AC64">
        <v>0</v>
      </c>
      <c r="AD64">
        <v>0</v>
      </c>
      <c r="AE64">
        <v>5989</v>
      </c>
      <c r="AF64">
        <v>0</v>
      </c>
      <c r="AG64">
        <v>0</v>
      </c>
      <c r="AH64">
        <v>0</v>
      </c>
      <c r="AI64">
        <v>4.88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2.3E-3</v>
      </c>
      <c r="AU64" t="s">
        <v>3</v>
      </c>
      <c r="AV64">
        <v>0</v>
      </c>
      <c r="AW64">
        <v>2</v>
      </c>
      <c r="AX64">
        <v>39614033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Y64*Source!I31</f>
        <v>1.702E-2</v>
      </c>
      <c r="CY64">
        <f>AA64</f>
        <v>29226.32</v>
      </c>
      <c r="CZ64">
        <f>AE64</f>
        <v>5989</v>
      </c>
      <c r="DA64">
        <f>AI64</f>
        <v>4.88</v>
      </c>
      <c r="DB64">
        <v>0</v>
      </c>
    </row>
    <row r="65" spans="1:106" x14ac:dyDescent="0.2">
      <c r="A65">
        <f>ROW(Source!A33)</f>
        <v>33</v>
      </c>
      <c r="B65">
        <v>39610380</v>
      </c>
      <c r="C65">
        <v>39614201</v>
      </c>
      <c r="D65">
        <v>37064878</v>
      </c>
      <c r="E65">
        <v>1</v>
      </c>
      <c r="F65">
        <v>1</v>
      </c>
      <c r="G65">
        <v>1</v>
      </c>
      <c r="H65">
        <v>1</v>
      </c>
      <c r="I65" t="s">
        <v>517</v>
      </c>
      <c r="J65" t="s">
        <v>3</v>
      </c>
      <c r="K65" t="s">
        <v>518</v>
      </c>
      <c r="L65">
        <v>1191</v>
      </c>
      <c r="N65">
        <v>1013</v>
      </c>
      <c r="O65" t="s">
        <v>405</v>
      </c>
      <c r="P65" t="s">
        <v>405</v>
      </c>
      <c r="Q65">
        <v>1</v>
      </c>
      <c r="W65">
        <v>0</v>
      </c>
      <c r="X65">
        <v>-1081351934</v>
      </c>
      <c r="Y65">
        <v>123.77449999999999</v>
      </c>
      <c r="AA65">
        <v>0</v>
      </c>
      <c r="AB65">
        <v>0</v>
      </c>
      <c r="AC65">
        <v>0</v>
      </c>
      <c r="AD65">
        <v>45.87</v>
      </c>
      <c r="AE65">
        <v>0</v>
      </c>
      <c r="AF65">
        <v>0</v>
      </c>
      <c r="AG65">
        <v>0</v>
      </c>
      <c r="AH65">
        <v>9.4</v>
      </c>
      <c r="AI65">
        <v>1</v>
      </c>
      <c r="AJ65">
        <v>1</v>
      </c>
      <c r="AK65">
        <v>1</v>
      </c>
      <c r="AL65">
        <v>4.88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107.63</v>
      </c>
      <c r="AU65" t="s">
        <v>68</v>
      </c>
      <c r="AV65">
        <v>1</v>
      </c>
      <c r="AW65">
        <v>2</v>
      </c>
      <c r="AX65">
        <v>39614202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Y65*Source!I33</f>
        <v>12.37745</v>
      </c>
      <c r="CY65">
        <f>AD65</f>
        <v>45.87</v>
      </c>
      <c r="CZ65">
        <f>AH65</f>
        <v>9.4</v>
      </c>
      <c r="DA65">
        <f>AL65</f>
        <v>4.88</v>
      </c>
      <c r="DB65">
        <v>0</v>
      </c>
    </row>
    <row r="66" spans="1:106" x14ac:dyDescent="0.2">
      <c r="A66">
        <f>ROW(Source!A33)</f>
        <v>33</v>
      </c>
      <c r="B66">
        <v>39610380</v>
      </c>
      <c r="C66">
        <v>39614201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406</v>
      </c>
      <c r="J66" t="s">
        <v>3</v>
      </c>
      <c r="K66" t="s">
        <v>407</v>
      </c>
      <c r="L66">
        <v>1191</v>
      </c>
      <c r="N66">
        <v>1013</v>
      </c>
      <c r="O66" t="s">
        <v>405</v>
      </c>
      <c r="P66" t="s">
        <v>405</v>
      </c>
      <c r="Q66">
        <v>1</v>
      </c>
      <c r="W66">
        <v>0</v>
      </c>
      <c r="X66">
        <v>-1417349443</v>
      </c>
      <c r="Y66">
        <v>53.17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4.88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53.17</v>
      </c>
      <c r="AU66" t="s">
        <v>3</v>
      </c>
      <c r="AV66">
        <v>2</v>
      </c>
      <c r="AW66">
        <v>2</v>
      </c>
      <c r="AX66">
        <v>39614203</v>
      </c>
      <c r="AY66">
        <v>1</v>
      </c>
      <c r="AZ66">
        <v>2048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Y66*Source!I33</f>
        <v>5.3170000000000002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ROW(Source!A33)</f>
        <v>33</v>
      </c>
      <c r="B67">
        <v>39610380</v>
      </c>
      <c r="C67">
        <v>39614201</v>
      </c>
      <c r="D67">
        <v>36882180</v>
      </c>
      <c r="E67">
        <v>1</v>
      </c>
      <c r="F67">
        <v>1</v>
      </c>
      <c r="G67">
        <v>1</v>
      </c>
      <c r="H67">
        <v>2</v>
      </c>
      <c r="I67" t="s">
        <v>519</v>
      </c>
      <c r="J67" t="s">
        <v>520</v>
      </c>
      <c r="K67" t="s">
        <v>521</v>
      </c>
      <c r="L67">
        <v>1368</v>
      </c>
      <c r="N67">
        <v>1011</v>
      </c>
      <c r="O67" t="s">
        <v>411</v>
      </c>
      <c r="P67" t="s">
        <v>411</v>
      </c>
      <c r="Q67">
        <v>1</v>
      </c>
      <c r="W67">
        <v>0</v>
      </c>
      <c r="X67">
        <v>92482457</v>
      </c>
      <c r="Y67">
        <v>66.462500000000006</v>
      </c>
      <c r="AA67">
        <v>0</v>
      </c>
      <c r="AB67">
        <v>472.82</v>
      </c>
      <c r="AC67">
        <v>13.5</v>
      </c>
      <c r="AD67">
        <v>0</v>
      </c>
      <c r="AE67">
        <v>0</v>
      </c>
      <c r="AF67">
        <v>96.89</v>
      </c>
      <c r="AG67">
        <v>13.5</v>
      </c>
      <c r="AH67">
        <v>0</v>
      </c>
      <c r="AI67">
        <v>1</v>
      </c>
      <c r="AJ67">
        <v>4.88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53.17</v>
      </c>
      <c r="AU67" t="s">
        <v>67</v>
      </c>
      <c r="AV67">
        <v>0</v>
      </c>
      <c r="AW67">
        <v>2</v>
      </c>
      <c r="AX67">
        <v>39614204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Y67*Source!I33</f>
        <v>6.6462500000000011</v>
      </c>
      <c r="CY67">
        <f>AB67</f>
        <v>472.82</v>
      </c>
      <c r="CZ67">
        <f>AF67</f>
        <v>96.89</v>
      </c>
      <c r="DA67">
        <f>AJ67</f>
        <v>4.88</v>
      </c>
      <c r="DB67">
        <v>0</v>
      </c>
    </row>
    <row r="68" spans="1:106" x14ac:dyDescent="0.2">
      <c r="A68">
        <f>ROW(Source!A33)</f>
        <v>33</v>
      </c>
      <c r="B68">
        <v>39610380</v>
      </c>
      <c r="C68">
        <v>39614201</v>
      </c>
      <c r="D68">
        <v>36807340</v>
      </c>
      <c r="E68">
        <v>1</v>
      </c>
      <c r="F68">
        <v>1</v>
      </c>
      <c r="G68">
        <v>1</v>
      </c>
      <c r="H68">
        <v>3</v>
      </c>
      <c r="I68" t="s">
        <v>511</v>
      </c>
      <c r="J68" t="s">
        <v>512</v>
      </c>
      <c r="K68" t="s">
        <v>513</v>
      </c>
      <c r="L68">
        <v>1339</v>
      </c>
      <c r="N68">
        <v>1007</v>
      </c>
      <c r="O68" t="s">
        <v>58</v>
      </c>
      <c r="P68" t="s">
        <v>58</v>
      </c>
      <c r="Q68">
        <v>1</v>
      </c>
      <c r="W68">
        <v>0</v>
      </c>
      <c r="X68">
        <v>-1019936957</v>
      </c>
      <c r="Y68">
        <v>0.26</v>
      </c>
      <c r="AA68">
        <v>2371.19</v>
      </c>
      <c r="AB68">
        <v>0</v>
      </c>
      <c r="AC68">
        <v>0</v>
      </c>
      <c r="AD68">
        <v>0</v>
      </c>
      <c r="AE68">
        <v>485.9</v>
      </c>
      <c r="AF68">
        <v>0</v>
      </c>
      <c r="AG68">
        <v>0</v>
      </c>
      <c r="AH68">
        <v>0</v>
      </c>
      <c r="AI68">
        <v>4.88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0.26</v>
      </c>
      <c r="AU68" t="s">
        <v>3</v>
      </c>
      <c r="AV68">
        <v>0</v>
      </c>
      <c r="AW68">
        <v>2</v>
      </c>
      <c r="AX68">
        <v>39614205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Y68*Source!I33</f>
        <v>2.6000000000000002E-2</v>
      </c>
      <c r="CY68">
        <f>AA68</f>
        <v>2371.19</v>
      </c>
      <c r="CZ68">
        <f>AE68</f>
        <v>485.9</v>
      </c>
      <c r="DA68">
        <f>AI68</f>
        <v>4.88</v>
      </c>
      <c r="DB68">
        <v>0</v>
      </c>
    </row>
    <row r="69" spans="1:106" x14ac:dyDescent="0.2">
      <c r="A69">
        <f>ROW(Source!A33)</f>
        <v>33</v>
      </c>
      <c r="B69">
        <v>39610380</v>
      </c>
      <c r="C69">
        <v>39614201</v>
      </c>
      <c r="D69">
        <v>36808656</v>
      </c>
      <c r="E69">
        <v>1</v>
      </c>
      <c r="F69">
        <v>1</v>
      </c>
      <c r="G69">
        <v>1</v>
      </c>
      <c r="H69">
        <v>3</v>
      </c>
      <c r="I69" t="s">
        <v>84</v>
      </c>
      <c r="J69" t="s">
        <v>87</v>
      </c>
      <c r="K69" t="s">
        <v>85</v>
      </c>
      <c r="L69">
        <v>1354</v>
      </c>
      <c r="N69">
        <v>1010</v>
      </c>
      <c r="O69" t="s">
        <v>86</v>
      </c>
      <c r="P69" t="s">
        <v>86</v>
      </c>
      <c r="Q69">
        <v>1</v>
      </c>
      <c r="W69">
        <v>0</v>
      </c>
      <c r="X69">
        <v>388335175</v>
      </c>
      <c r="Y69">
        <v>100</v>
      </c>
      <c r="AA69">
        <v>7744.9</v>
      </c>
      <c r="AB69">
        <v>0</v>
      </c>
      <c r="AC69">
        <v>0</v>
      </c>
      <c r="AD69">
        <v>0</v>
      </c>
      <c r="AE69">
        <v>1587.07</v>
      </c>
      <c r="AF69">
        <v>0</v>
      </c>
      <c r="AG69">
        <v>0</v>
      </c>
      <c r="AH69">
        <v>0</v>
      </c>
      <c r="AI69">
        <v>4.88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100</v>
      </c>
      <c r="AU69" t="s">
        <v>3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Y69*Source!I33</f>
        <v>10</v>
      </c>
      <c r="CY69">
        <f>AA69</f>
        <v>7744.9</v>
      </c>
      <c r="CZ69">
        <f>AE69</f>
        <v>1587.07</v>
      </c>
      <c r="DA69">
        <f>AI69</f>
        <v>4.88</v>
      </c>
      <c r="DB69">
        <v>0</v>
      </c>
    </row>
    <row r="70" spans="1:106" x14ac:dyDescent="0.2">
      <c r="A70">
        <f>ROW(Source!A33)</f>
        <v>33</v>
      </c>
      <c r="B70">
        <v>39610380</v>
      </c>
      <c r="C70">
        <v>39614201</v>
      </c>
      <c r="D70">
        <v>36796591</v>
      </c>
      <c r="E70">
        <v>17</v>
      </c>
      <c r="F70">
        <v>1</v>
      </c>
      <c r="G70">
        <v>1</v>
      </c>
      <c r="H70">
        <v>3</v>
      </c>
      <c r="I70" t="s">
        <v>89</v>
      </c>
      <c r="J70" t="s">
        <v>3</v>
      </c>
      <c r="K70" t="s">
        <v>90</v>
      </c>
      <c r="L70">
        <v>1354</v>
      </c>
      <c r="N70">
        <v>1010</v>
      </c>
      <c r="O70" t="s">
        <v>86</v>
      </c>
      <c r="P70" t="s">
        <v>86</v>
      </c>
      <c r="Q70">
        <v>1</v>
      </c>
      <c r="W70">
        <v>0</v>
      </c>
      <c r="X70">
        <v>-1926765613</v>
      </c>
      <c r="Y70">
        <v>100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4.88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100</v>
      </c>
      <c r="AU70" t="s">
        <v>3</v>
      </c>
      <c r="AV70">
        <v>0</v>
      </c>
      <c r="AW70">
        <v>2</v>
      </c>
      <c r="AX70">
        <v>39614206</v>
      </c>
      <c r="AY70">
        <v>1</v>
      </c>
      <c r="AZ70">
        <v>0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Y70*Source!I33</f>
        <v>10</v>
      </c>
      <c r="CY70">
        <f>AA70</f>
        <v>0</v>
      </c>
      <c r="CZ70">
        <f>AE70</f>
        <v>0</v>
      </c>
      <c r="DA70">
        <f>AI70</f>
        <v>4.88</v>
      </c>
      <c r="DB70">
        <v>0</v>
      </c>
    </row>
    <row r="71" spans="1:106" x14ac:dyDescent="0.2">
      <c r="A71">
        <f>ROW(Source!A36)</f>
        <v>36</v>
      </c>
      <c r="B71">
        <v>39610380</v>
      </c>
      <c r="C71">
        <v>39614035</v>
      </c>
      <c r="D71">
        <v>37066739</v>
      </c>
      <c r="E71">
        <v>1</v>
      </c>
      <c r="F71">
        <v>1</v>
      </c>
      <c r="G71">
        <v>1</v>
      </c>
      <c r="H71">
        <v>1</v>
      </c>
      <c r="I71" t="s">
        <v>522</v>
      </c>
      <c r="J71" t="s">
        <v>3</v>
      </c>
      <c r="K71" t="s">
        <v>523</v>
      </c>
      <c r="L71">
        <v>1191</v>
      </c>
      <c r="N71">
        <v>1013</v>
      </c>
      <c r="O71" t="s">
        <v>405</v>
      </c>
      <c r="P71" t="s">
        <v>405</v>
      </c>
      <c r="Q71">
        <v>1</v>
      </c>
      <c r="W71">
        <v>0</v>
      </c>
      <c r="X71">
        <v>-608433632</v>
      </c>
      <c r="Y71">
        <v>507.47199999999992</v>
      </c>
      <c r="AA71">
        <v>0</v>
      </c>
      <c r="AB71">
        <v>0</v>
      </c>
      <c r="AC71">
        <v>0</v>
      </c>
      <c r="AD71">
        <v>41.28</v>
      </c>
      <c r="AE71">
        <v>0</v>
      </c>
      <c r="AF71">
        <v>0</v>
      </c>
      <c r="AG71">
        <v>0</v>
      </c>
      <c r="AH71">
        <v>8.4600000000000009</v>
      </c>
      <c r="AI71">
        <v>1</v>
      </c>
      <c r="AJ71">
        <v>1</v>
      </c>
      <c r="AK71">
        <v>1</v>
      </c>
      <c r="AL71">
        <v>4.88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441.28</v>
      </c>
      <c r="AU71" t="s">
        <v>68</v>
      </c>
      <c r="AV71">
        <v>1</v>
      </c>
      <c r="AW71">
        <v>2</v>
      </c>
      <c r="AX71">
        <v>39614036</v>
      </c>
      <c r="AY71">
        <v>1</v>
      </c>
      <c r="AZ71">
        <v>0</v>
      </c>
      <c r="BA71">
        <v>70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Y71*Source!I36</f>
        <v>4.5672479999999993</v>
      </c>
      <c r="CY71">
        <f>AD71</f>
        <v>41.28</v>
      </c>
      <c r="CZ71">
        <f>AH71</f>
        <v>8.4600000000000009</v>
      </c>
      <c r="DA71">
        <f>AL71</f>
        <v>4.88</v>
      </c>
      <c r="DB71">
        <v>0</v>
      </c>
    </row>
    <row r="72" spans="1:106" x14ac:dyDescent="0.2">
      <c r="A72">
        <f>ROW(Source!A36)</f>
        <v>36</v>
      </c>
      <c r="B72">
        <v>39610380</v>
      </c>
      <c r="C72">
        <v>39614035</v>
      </c>
      <c r="D72">
        <v>37064876</v>
      </c>
      <c r="E72">
        <v>1</v>
      </c>
      <c r="F72">
        <v>1</v>
      </c>
      <c r="G72">
        <v>1</v>
      </c>
      <c r="H72">
        <v>1</v>
      </c>
      <c r="I72" t="s">
        <v>406</v>
      </c>
      <c r="J72" t="s">
        <v>3</v>
      </c>
      <c r="K72" t="s">
        <v>407</v>
      </c>
      <c r="L72">
        <v>1191</v>
      </c>
      <c r="N72">
        <v>1013</v>
      </c>
      <c r="O72" t="s">
        <v>405</v>
      </c>
      <c r="P72" t="s">
        <v>405</v>
      </c>
      <c r="Q72">
        <v>1</v>
      </c>
      <c r="W72">
        <v>0</v>
      </c>
      <c r="X72">
        <v>-1417349443</v>
      </c>
      <c r="Y72">
        <v>36.11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4.88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36.11</v>
      </c>
      <c r="AU72" t="s">
        <v>3</v>
      </c>
      <c r="AV72">
        <v>2</v>
      </c>
      <c r="AW72">
        <v>2</v>
      </c>
      <c r="AX72">
        <v>39614037</v>
      </c>
      <c r="AY72">
        <v>1</v>
      </c>
      <c r="AZ72">
        <v>2048</v>
      </c>
      <c r="BA72">
        <v>71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Y72*Source!I36</f>
        <v>0.32498999999999995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ROW(Source!A36)</f>
        <v>36</v>
      </c>
      <c r="B73">
        <v>39610380</v>
      </c>
      <c r="C73">
        <v>39614035</v>
      </c>
      <c r="D73">
        <v>36882159</v>
      </c>
      <c r="E73">
        <v>1</v>
      </c>
      <c r="F73">
        <v>1</v>
      </c>
      <c r="G73">
        <v>1</v>
      </c>
      <c r="H73">
        <v>2</v>
      </c>
      <c r="I73" t="s">
        <v>408</v>
      </c>
      <c r="J73" t="s">
        <v>409</v>
      </c>
      <c r="K73" t="s">
        <v>410</v>
      </c>
      <c r="L73">
        <v>1368</v>
      </c>
      <c r="N73">
        <v>1011</v>
      </c>
      <c r="O73" t="s">
        <v>411</v>
      </c>
      <c r="P73" t="s">
        <v>411</v>
      </c>
      <c r="Q73">
        <v>1</v>
      </c>
      <c r="W73">
        <v>0</v>
      </c>
      <c r="X73">
        <v>-1718674368</v>
      </c>
      <c r="Y73">
        <v>1.3125</v>
      </c>
      <c r="AA73">
        <v>0</v>
      </c>
      <c r="AB73">
        <v>546.51</v>
      </c>
      <c r="AC73">
        <v>13.5</v>
      </c>
      <c r="AD73">
        <v>0</v>
      </c>
      <c r="AE73">
        <v>0</v>
      </c>
      <c r="AF73">
        <v>111.99</v>
      </c>
      <c r="AG73">
        <v>13.5</v>
      </c>
      <c r="AH73">
        <v>0</v>
      </c>
      <c r="AI73">
        <v>1</v>
      </c>
      <c r="AJ73">
        <v>4.88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1.05</v>
      </c>
      <c r="AU73" t="s">
        <v>67</v>
      </c>
      <c r="AV73">
        <v>0</v>
      </c>
      <c r="AW73">
        <v>2</v>
      </c>
      <c r="AX73">
        <v>39614038</v>
      </c>
      <c r="AY73">
        <v>1</v>
      </c>
      <c r="AZ73">
        <v>0</v>
      </c>
      <c r="BA73">
        <v>72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Y73*Source!I36</f>
        <v>1.1812499999999998E-2</v>
      </c>
      <c r="CY73">
        <f>AB73</f>
        <v>546.51</v>
      </c>
      <c r="CZ73">
        <f>AF73</f>
        <v>111.99</v>
      </c>
      <c r="DA73">
        <f>AJ73</f>
        <v>4.88</v>
      </c>
      <c r="DB73">
        <v>0</v>
      </c>
    </row>
    <row r="74" spans="1:106" x14ac:dyDescent="0.2">
      <c r="A74">
        <f>ROW(Source!A36)</f>
        <v>36</v>
      </c>
      <c r="B74">
        <v>39610380</v>
      </c>
      <c r="C74">
        <v>39614035</v>
      </c>
      <c r="D74">
        <v>36882180</v>
      </c>
      <c r="E74">
        <v>1</v>
      </c>
      <c r="F74">
        <v>1</v>
      </c>
      <c r="G74">
        <v>1</v>
      </c>
      <c r="H74">
        <v>2</v>
      </c>
      <c r="I74" t="s">
        <v>519</v>
      </c>
      <c r="J74" t="s">
        <v>520</v>
      </c>
      <c r="K74" t="s">
        <v>521</v>
      </c>
      <c r="L74">
        <v>1368</v>
      </c>
      <c r="N74">
        <v>1011</v>
      </c>
      <c r="O74" t="s">
        <v>411</v>
      </c>
      <c r="P74" t="s">
        <v>411</v>
      </c>
      <c r="Q74">
        <v>1</v>
      </c>
      <c r="W74">
        <v>0</v>
      </c>
      <c r="X74">
        <v>92482457</v>
      </c>
      <c r="Y74">
        <v>41.574999999999996</v>
      </c>
      <c r="AA74">
        <v>0</v>
      </c>
      <c r="AB74">
        <v>472.82</v>
      </c>
      <c r="AC74">
        <v>13.5</v>
      </c>
      <c r="AD74">
        <v>0</v>
      </c>
      <c r="AE74">
        <v>0</v>
      </c>
      <c r="AF74">
        <v>96.89</v>
      </c>
      <c r="AG74">
        <v>13.5</v>
      </c>
      <c r="AH74">
        <v>0</v>
      </c>
      <c r="AI74">
        <v>1</v>
      </c>
      <c r="AJ74">
        <v>4.88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33.26</v>
      </c>
      <c r="AU74" t="s">
        <v>67</v>
      </c>
      <c r="AV74">
        <v>0</v>
      </c>
      <c r="AW74">
        <v>2</v>
      </c>
      <c r="AX74">
        <v>39614039</v>
      </c>
      <c r="AY74">
        <v>1</v>
      </c>
      <c r="AZ74">
        <v>0</v>
      </c>
      <c r="BA74">
        <v>73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Y74*Source!I36</f>
        <v>0.37417499999999992</v>
      </c>
      <c r="CY74">
        <f>AB74</f>
        <v>472.82</v>
      </c>
      <c r="CZ74">
        <f>AF74</f>
        <v>96.89</v>
      </c>
      <c r="DA74">
        <f>AJ74</f>
        <v>4.88</v>
      </c>
      <c r="DB74">
        <v>0</v>
      </c>
    </row>
    <row r="75" spans="1:106" x14ac:dyDescent="0.2">
      <c r="A75">
        <f>ROW(Source!A36)</f>
        <v>36</v>
      </c>
      <c r="B75">
        <v>39610380</v>
      </c>
      <c r="C75">
        <v>39614035</v>
      </c>
      <c r="D75">
        <v>36882383</v>
      </c>
      <c r="E75">
        <v>1</v>
      </c>
      <c r="F75">
        <v>1</v>
      </c>
      <c r="G75">
        <v>1</v>
      </c>
      <c r="H75">
        <v>2</v>
      </c>
      <c r="I75" t="s">
        <v>524</v>
      </c>
      <c r="J75" t="s">
        <v>525</v>
      </c>
      <c r="K75" t="s">
        <v>526</v>
      </c>
      <c r="L75">
        <v>1368</v>
      </c>
      <c r="N75">
        <v>1011</v>
      </c>
      <c r="O75" t="s">
        <v>411</v>
      </c>
      <c r="P75" t="s">
        <v>411</v>
      </c>
      <c r="Q75">
        <v>1</v>
      </c>
      <c r="W75">
        <v>0</v>
      </c>
      <c r="X75">
        <v>1225731627</v>
      </c>
      <c r="Y75">
        <v>0.33750000000000002</v>
      </c>
      <c r="AA75">
        <v>0</v>
      </c>
      <c r="AB75">
        <v>439.15</v>
      </c>
      <c r="AC75">
        <v>10.06</v>
      </c>
      <c r="AD75">
        <v>0</v>
      </c>
      <c r="AE75">
        <v>0</v>
      </c>
      <c r="AF75">
        <v>89.99</v>
      </c>
      <c r="AG75">
        <v>10.06</v>
      </c>
      <c r="AH75">
        <v>0</v>
      </c>
      <c r="AI75">
        <v>1</v>
      </c>
      <c r="AJ75">
        <v>4.88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0.27</v>
      </c>
      <c r="AU75" t="s">
        <v>67</v>
      </c>
      <c r="AV75">
        <v>0</v>
      </c>
      <c r="AW75">
        <v>2</v>
      </c>
      <c r="AX75">
        <v>39614040</v>
      </c>
      <c r="AY75">
        <v>1</v>
      </c>
      <c r="AZ75">
        <v>0</v>
      </c>
      <c r="BA75">
        <v>74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Y75*Source!I36</f>
        <v>3.0374999999999998E-3</v>
      </c>
      <c r="CY75">
        <f>AB75</f>
        <v>439.15</v>
      </c>
      <c r="CZ75">
        <f>AF75</f>
        <v>89.99</v>
      </c>
      <c r="DA75">
        <f>AJ75</f>
        <v>4.88</v>
      </c>
      <c r="DB75">
        <v>0</v>
      </c>
    </row>
    <row r="76" spans="1:106" x14ac:dyDescent="0.2">
      <c r="A76">
        <f>ROW(Source!A36)</f>
        <v>36</v>
      </c>
      <c r="B76">
        <v>39610380</v>
      </c>
      <c r="C76">
        <v>39614035</v>
      </c>
      <c r="D76">
        <v>36882567</v>
      </c>
      <c r="E76">
        <v>1</v>
      </c>
      <c r="F76">
        <v>1</v>
      </c>
      <c r="G76">
        <v>1</v>
      </c>
      <c r="H76">
        <v>2</v>
      </c>
      <c r="I76" t="s">
        <v>527</v>
      </c>
      <c r="J76" t="s">
        <v>528</v>
      </c>
      <c r="K76" t="s">
        <v>529</v>
      </c>
      <c r="L76">
        <v>1368</v>
      </c>
      <c r="N76">
        <v>1011</v>
      </c>
      <c r="O76" t="s">
        <v>411</v>
      </c>
      <c r="P76" t="s">
        <v>411</v>
      </c>
      <c r="Q76">
        <v>1</v>
      </c>
      <c r="W76">
        <v>0</v>
      </c>
      <c r="X76">
        <v>1468674927</v>
      </c>
      <c r="Y76">
        <v>29.4</v>
      </c>
      <c r="AA76">
        <v>0</v>
      </c>
      <c r="AB76">
        <v>9.27</v>
      </c>
      <c r="AC76">
        <v>0</v>
      </c>
      <c r="AD76">
        <v>0</v>
      </c>
      <c r="AE76">
        <v>0</v>
      </c>
      <c r="AF76">
        <v>1.9</v>
      </c>
      <c r="AG76">
        <v>0</v>
      </c>
      <c r="AH76">
        <v>0</v>
      </c>
      <c r="AI76">
        <v>1</v>
      </c>
      <c r="AJ76">
        <v>4.88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23.52</v>
      </c>
      <c r="AU76" t="s">
        <v>67</v>
      </c>
      <c r="AV76">
        <v>0</v>
      </c>
      <c r="AW76">
        <v>2</v>
      </c>
      <c r="AX76">
        <v>39614041</v>
      </c>
      <c r="AY76">
        <v>1</v>
      </c>
      <c r="AZ76">
        <v>0</v>
      </c>
      <c r="BA76">
        <v>75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Y76*Source!I36</f>
        <v>0.26459999999999995</v>
      </c>
      <c r="CY76">
        <f>AB76</f>
        <v>9.27</v>
      </c>
      <c r="CZ76">
        <f>AF76</f>
        <v>1.9</v>
      </c>
      <c r="DA76">
        <f>AJ76</f>
        <v>4.88</v>
      </c>
      <c r="DB76">
        <v>0</v>
      </c>
    </row>
    <row r="77" spans="1:106" x14ac:dyDescent="0.2">
      <c r="A77">
        <f>ROW(Source!A36)</f>
        <v>36</v>
      </c>
      <c r="B77">
        <v>39610380</v>
      </c>
      <c r="C77">
        <v>39614035</v>
      </c>
      <c r="D77">
        <v>36883554</v>
      </c>
      <c r="E77">
        <v>1</v>
      </c>
      <c r="F77">
        <v>1</v>
      </c>
      <c r="G77">
        <v>1</v>
      </c>
      <c r="H77">
        <v>2</v>
      </c>
      <c r="I77" t="s">
        <v>412</v>
      </c>
      <c r="J77" t="s">
        <v>413</v>
      </c>
      <c r="K77" t="s">
        <v>414</v>
      </c>
      <c r="L77">
        <v>1368</v>
      </c>
      <c r="N77">
        <v>1011</v>
      </c>
      <c r="O77" t="s">
        <v>411</v>
      </c>
      <c r="P77" t="s">
        <v>411</v>
      </c>
      <c r="Q77">
        <v>1</v>
      </c>
      <c r="W77">
        <v>0</v>
      </c>
      <c r="X77">
        <v>1372534845</v>
      </c>
      <c r="Y77">
        <v>1.9125000000000001</v>
      </c>
      <c r="AA77">
        <v>0</v>
      </c>
      <c r="AB77">
        <v>320.66000000000003</v>
      </c>
      <c r="AC77">
        <v>11.6</v>
      </c>
      <c r="AD77">
        <v>0</v>
      </c>
      <c r="AE77">
        <v>0</v>
      </c>
      <c r="AF77">
        <v>65.709999999999994</v>
      </c>
      <c r="AG77">
        <v>11.6</v>
      </c>
      <c r="AH77">
        <v>0</v>
      </c>
      <c r="AI77">
        <v>1</v>
      </c>
      <c r="AJ77">
        <v>4.88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1.53</v>
      </c>
      <c r="AU77" t="s">
        <v>67</v>
      </c>
      <c r="AV77">
        <v>0</v>
      </c>
      <c r="AW77">
        <v>2</v>
      </c>
      <c r="AX77">
        <v>39614042</v>
      </c>
      <c r="AY77">
        <v>1</v>
      </c>
      <c r="AZ77">
        <v>0</v>
      </c>
      <c r="BA77">
        <v>76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Y77*Source!I36</f>
        <v>1.7212499999999999E-2</v>
      </c>
      <c r="CY77">
        <f>AB77</f>
        <v>320.66000000000003</v>
      </c>
      <c r="CZ77">
        <f>AF77</f>
        <v>65.709999999999994</v>
      </c>
      <c r="DA77">
        <f>AJ77</f>
        <v>4.88</v>
      </c>
      <c r="DB77">
        <v>0</v>
      </c>
    </row>
    <row r="78" spans="1:106" x14ac:dyDescent="0.2">
      <c r="A78">
        <f>ROW(Source!A36)</f>
        <v>36</v>
      </c>
      <c r="B78">
        <v>39610380</v>
      </c>
      <c r="C78">
        <v>39614035</v>
      </c>
      <c r="D78">
        <v>36801792</v>
      </c>
      <c r="E78">
        <v>1</v>
      </c>
      <c r="F78">
        <v>1</v>
      </c>
      <c r="G78">
        <v>1</v>
      </c>
      <c r="H78">
        <v>3</v>
      </c>
      <c r="I78" t="s">
        <v>508</v>
      </c>
      <c r="J78" t="s">
        <v>509</v>
      </c>
      <c r="K78" t="s">
        <v>510</v>
      </c>
      <c r="L78">
        <v>1339</v>
      </c>
      <c r="N78">
        <v>1007</v>
      </c>
      <c r="O78" t="s">
        <v>58</v>
      </c>
      <c r="P78" t="s">
        <v>58</v>
      </c>
      <c r="Q78">
        <v>1</v>
      </c>
      <c r="W78">
        <v>0</v>
      </c>
      <c r="X78">
        <v>-1660354250</v>
      </c>
      <c r="Y78">
        <v>1.75</v>
      </c>
      <c r="AA78">
        <v>11.91</v>
      </c>
      <c r="AB78">
        <v>0</v>
      </c>
      <c r="AC78">
        <v>0</v>
      </c>
      <c r="AD78">
        <v>0</v>
      </c>
      <c r="AE78">
        <v>2.44</v>
      </c>
      <c r="AF78">
        <v>0</v>
      </c>
      <c r="AG78">
        <v>0</v>
      </c>
      <c r="AH78">
        <v>0</v>
      </c>
      <c r="AI78">
        <v>4.88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1.75</v>
      </c>
      <c r="AU78" t="s">
        <v>3</v>
      </c>
      <c r="AV78">
        <v>0</v>
      </c>
      <c r="AW78">
        <v>2</v>
      </c>
      <c r="AX78">
        <v>39614043</v>
      </c>
      <c r="AY78">
        <v>1</v>
      </c>
      <c r="AZ78">
        <v>0</v>
      </c>
      <c r="BA78">
        <v>77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Y78*Source!I36</f>
        <v>1.575E-2</v>
      </c>
      <c r="CY78">
        <f t="shared" ref="CY78:CY88" si="9">AA78</f>
        <v>11.91</v>
      </c>
      <c r="CZ78">
        <f t="shared" ref="CZ78:CZ88" si="10">AE78</f>
        <v>2.44</v>
      </c>
      <c r="DA78">
        <f t="shared" ref="DA78:DA88" si="11">AI78</f>
        <v>4.88</v>
      </c>
      <c r="DB78">
        <v>0</v>
      </c>
    </row>
    <row r="79" spans="1:106" x14ac:dyDescent="0.2">
      <c r="A79">
        <f>ROW(Source!A36)</f>
        <v>36</v>
      </c>
      <c r="B79">
        <v>39610380</v>
      </c>
      <c r="C79">
        <v>39614035</v>
      </c>
      <c r="D79">
        <v>36802304</v>
      </c>
      <c r="E79">
        <v>1</v>
      </c>
      <c r="F79">
        <v>1</v>
      </c>
      <c r="G79">
        <v>1</v>
      </c>
      <c r="H79">
        <v>3</v>
      </c>
      <c r="I79" t="s">
        <v>530</v>
      </c>
      <c r="J79" t="s">
        <v>531</v>
      </c>
      <c r="K79" t="s">
        <v>532</v>
      </c>
      <c r="L79">
        <v>1327</v>
      </c>
      <c r="N79">
        <v>1005</v>
      </c>
      <c r="O79" t="s">
        <v>533</v>
      </c>
      <c r="P79" t="s">
        <v>533</v>
      </c>
      <c r="Q79">
        <v>1</v>
      </c>
      <c r="W79">
        <v>0</v>
      </c>
      <c r="X79">
        <v>440019653</v>
      </c>
      <c r="Y79">
        <v>5.6</v>
      </c>
      <c r="AA79">
        <v>17.670000000000002</v>
      </c>
      <c r="AB79">
        <v>0</v>
      </c>
      <c r="AC79">
        <v>0</v>
      </c>
      <c r="AD79">
        <v>0</v>
      </c>
      <c r="AE79">
        <v>3.62</v>
      </c>
      <c r="AF79">
        <v>0</v>
      </c>
      <c r="AG79">
        <v>0</v>
      </c>
      <c r="AH79">
        <v>0</v>
      </c>
      <c r="AI79">
        <v>4.88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5.6</v>
      </c>
      <c r="AU79" t="s">
        <v>3</v>
      </c>
      <c r="AV79">
        <v>0</v>
      </c>
      <c r="AW79">
        <v>2</v>
      </c>
      <c r="AX79">
        <v>39614044</v>
      </c>
      <c r="AY79">
        <v>1</v>
      </c>
      <c r="AZ79">
        <v>0</v>
      </c>
      <c r="BA79">
        <v>78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Y79*Source!I36</f>
        <v>5.0399999999999993E-2</v>
      </c>
      <c r="CY79">
        <f t="shared" si="9"/>
        <v>17.670000000000002</v>
      </c>
      <c r="CZ79">
        <f t="shared" si="10"/>
        <v>3.62</v>
      </c>
      <c r="DA79">
        <f t="shared" si="11"/>
        <v>4.88</v>
      </c>
      <c r="DB79">
        <v>0</v>
      </c>
    </row>
    <row r="80" spans="1:106" x14ac:dyDescent="0.2">
      <c r="A80">
        <f>ROW(Source!A36)</f>
        <v>36</v>
      </c>
      <c r="B80">
        <v>39610380</v>
      </c>
      <c r="C80">
        <v>39614035</v>
      </c>
      <c r="D80">
        <v>36804545</v>
      </c>
      <c r="E80">
        <v>1</v>
      </c>
      <c r="F80">
        <v>1</v>
      </c>
      <c r="G80">
        <v>1</v>
      </c>
      <c r="H80">
        <v>3</v>
      </c>
      <c r="I80" t="s">
        <v>534</v>
      </c>
      <c r="J80" t="s">
        <v>535</v>
      </c>
      <c r="K80" t="s">
        <v>536</v>
      </c>
      <c r="L80">
        <v>1348</v>
      </c>
      <c r="N80">
        <v>1009</v>
      </c>
      <c r="O80" t="s">
        <v>237</v>
      </c>
      <c r="P80" t="s">
        <v>237</v>
      </c>
      <c r="Q80">
        <v>1000</v>
      </c>
      <c r="W80">
        <v>0</v>
      </c>
      <c r="X80">
        <v>1174701286</v>
      </c>
      <c r="Y80">
        <v>3.6999999999999998E-2</v>
      </c>
      <c r="AA80">
        <v>58452.639999999999</v>
      </c>
      <c r="AB80">
        <v>0</v>
      </c>
      <c r="AC80">
        <v>0</v>
      </c>
      <c r="AD80">
        <v>0</v>
      </c>
      <c r="AE80">
        <v>11978</v>
      </c>
      <c r="AF80">
        <v>0</v>
      </c>
      <c r="AG80">
        <v>0</v>
      </c>
      <c r="AH80">
        <v>0</v>
      </c>
      <c r="AI80">
        <v>4.88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3.6999999999999998E-2</v>
      </c>
      <c r="AU80" t="s">
        <v>3</v>
      </c>
      <c r="AV80">
        <v>0</v>
      </c>
      <c r="AW80">
        <v>2</v>
      </c>
      <c r="AX80">
        <v>39614045</v>
      </c>
      <c r="AY80">
        <v>1</v>
      </c>
      <c r="AZ80">
        <v>0</v>
      </c>
      <c r="BA80">
        <v>79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Y80*Source!I36</f>
        <v>3.3299999999999996E-4</v>
      </c>
      <c r="CY80">
        <f t="shared" si="9"/>
        <v>58452.639999999999</v>
      </c>
      <c r="CZ80">
        <f t="shared" si="10"/>
        <v>11978</v>
      </c>
      <c r="DA80">
        <f t="shared" si="11"/>
        <v>4.88</v>
      </c>
      <c r="DB80">
        <v>0</v>
      </c>
    </row>
    <row r="81" spans="1:106" x14ac:dyDescent="0.2">
      <c r="A81">
        <f>ROW(Source!A36)</f>
        <v>36</v>
      </c>
      <c r="B81">
        <v>39610380</v>
      </c>
      <c r="C81">
        <v>39614035</v>
      </c>
      <c r="D81">
        <v>36806520</v>
      </c>
      <c r="E81">
        <v>1</v>
      </c>
      <c r="F81">
        <v>1</v>
      </c>
      <c r="G81">
        <v>1</v>
      </c>
      <c r="H81">
        <v>3</v>
      </c>
      <c r="I81" t="s">
        <v>537</v>
      </c>
      <c r="J81" t="s">
        <v>538</v>
      </c>
      <c r="K81" t="s">
        <v>539</v>
      </c>
      <c r="L81">
        <v>1348</v>
      </c>
      <c r="N81">
        <v>1009</v>
      </c>
      <c r="O81" t="s">
        <v>237</v>
      </c>
      <c r="P81" t="s">
        <v>237</v>
      </c>
      <c r="Q81">
        <v>1000</v>
      </c>
      <c r="W81">
        <v>0</v>
      </c>
      <c r="X81">
        <v>36820162</v>
      </c>
      <c r="Y81">
        <v>0.05</v>
      </c>
      <c r="AA81">
        <v>3584.36</v>
      </c>
      <c r="AB81">
        <v>0</v>
      </c>
      <c r="AC81">
        <v>0</v>
      </c>
      <c r="AD81">
        <v>0</v>
      </c>
      <c r="AE81">
        <v>734.5</v>
      </c>
      <c r="AF81">
        <v>0</v>
      </c>
      <c r="AG81">
        <v>0</v>
      </c>
      <c r="AH81">
        <v>0</v>
      </c>
      <c r="AI81">
        <v>4.88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0.05</v>
      </c>
      <c r="AU81" t="s">
        <v>3</v>
      </c>
      <c r="AV81">
        <v>0</v>
      </c>
      <c r="AW81">
        <v>2</v>
      </c>
      <c r="AX81">
        <v>39614046</v>
      </c>
      <c r="AY81">
        <v>1</v>
      </c>
      <c r="AZ81">
        <v>0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Y81*Source!I36</f>
        <v>4.4999999999999999E-4</v>
      </c>
      <c r="CY81">
        <f t="shared" si="9"/>
        <v>3584.36</v>
      </c>
      <c r="CZ81">
        <f t="shared" si="10"/>
        <v>734.5</v>
      </c>
      <c r="DA81">
        <f t="shared" si="11"/>
        <v>4.88</v>
      </c>
      <c r="DB81">
        <v>0</v>
      </c>
    </row>
    <row r="82" spans="1:106" x14ac:dyDescent="0.2">
      <c r="A82">
        <f>ROW(Source!A36)</f>
        <v>36</v>
      </c>
      <c r="B82">
        <v>39610380</v>
      </c>
      <c r="C82">
        <v>39614035</v>
      </c>
      <c r="D82">
        <v>36806944</v>
      </c>
      <c r="E82">
        <v>1</v>
      </c>
      <c r="F82">
        <v>1</v>
      </c>
      <c r="G82">
        <v>1</v>
      </c>
      <c r="H82">
        <v>3</v>
      </c>
      <c r="I82" t="s">
        <v>98</v>
      </c>
      <c r="J82" t="s">
        <v>100</v>
      </c>
      <c r="K82" t="s">
        <v>99</v>
      </c>
      <c r="L82">
        <v>1339</v>
      </c>
      <c r="N82">
        <v>1007</v>
      </c>
      <c r="O82" t="s">
        <v>58</v>
      </c>
      <c r="P82" t="s">
        <v>58</v>
      </c>
      <c r="Q82">
        <v>1</v>
      </c>
      <c r="W82">
        <v>0</v>
      </c>
      <c r="X82">
        <v>-964623361</v>
      </c>
      <c r="Y82">
        <v>102</v>
      </c>
      <c r="AA82">
        <v>2295.36</v>
      </c>
      <c r="AB82">
        <v>0</v>
      </c>
      <c r="AC82">
        <v>0</v>
      </c>
      <c r="AD82">
        <v>0</v>
      </c>
      <c r="AE82">
        <v>470.36</v>
      </c>
      <c r="AF82">
        <v>0</v>
      </c>
      <c r="AG82">
        <v>0</v>
      </c>
      <c r="AH82">
        <v>0</v>
      </c>
      <c r="AI82">
        <v>4.88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102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Y82*Source!I36</f>
        <v>0.91799999999999993</v>
      </c>
      <c r="CY82">
        <f t="shared" si="9"/>
        <v>2295.36</v>
      </c>
      <c r="CZ82">
        <f t="shared" si="10"/>
        <v>470.36</v>
      </c>
      <c r="DA82">
        <f t="shared" si="11"/>
        <v>4.88</v>
      </c>
      <c r="DB82">
        <v>0</v>
      </c>
    </row>
    <row r="83" spans="1:106" x14ac:dyDescent="0.2">
      <c r="A83">
        <f>ROW(Source!A36)</f>
        <v>36</v>
      </c>
      <c r="B83">
        <v>39610380</v>
      </c>
      <c r="C83">
        <v>39614035</v>
      </c>
      <c r="D83">
        <v>36825646</v>
      </c>
      <c r="E83">
        <v>1</v>
      </c>
      <c r="F83">
        <v>1</v>
      </c>
      <c r="G83">
        <v>1</v>
      </c>
      <c r="H83">
        <v>3</v>
      </c>
      <c r="I83" t="s">
        <v>540</v>
      </c>
      <c r="J83" t="s">
        <v>541</v>
      </c>
      <c r="K83" t="s">
        <v>542</v>
      </c>
      <c r="L83">
        <v>1348</v>
      </c>
      <c r="N83">
        <v>1009</v>
      </c>
      <c r="O83" t="s">
        <v>237</v>
      </c>
      <c r="P83" t="s">
        <v>237</v>
      </c>
      <c r="Q83">
        <v>1000</v>
      </c>
      <c r="W83">
        <v>0</v>
      </c>
      <c r="X83">
        <v>-1396314973</v>
      </c>
      <c r="Y83">
        <v>0.04</v>
      </c>
      <c r="AA83">
        <v>21741.38</v>
      </c>
      <c r="AB83">
        <v>0</v>
      </c>
      <c r="AC83">
        <v>0</v>
      </c>
      <c r="AD83">
        <v>0</v>
      </c>
      <c r="AE83">
        <v>4455.2</v>
      </c>
      <c r="AF83">
        <v>0</v>
      </c>
      <c r="AG83">
        <v>0</v>
      </c>
      <c r="AH83">
        <v>0</v>
      </c>
      <c r="AI83">
        <v>4.88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0.04</v>
      </c>
      <c r="AU83" t="s">
        <v>3</v>
      </c>
      <c r="AV83">
        <v>0</v>
      </c>
      <c r="AW83">
        <v>2</v>
      </c>
      <c r="AX83">
        <v>39614048</v>
      </c>
      <c r="AY83">
        <v>1</v>
      </c>
      <c r="AZ83">
        <v>0</v>
      </c>
      <c r="BA83">
        <v>82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Y83*Source!I36</f>
        <v>3.5999999999999997E-4</v>
      </c>
      <c r="CY83">
        <f t="shared" si="9"/>
        <v>21741.38</v>
      </c>
      <c r="CZ83">
        <f t="shared" si="10"/>
        <v>4455.2</v>
      </c>
      <c r="DA83">
        <f t="shared" si="11"/>
        <v>4.88</v>
      </c>
      <c r="DB83">
        <v>0</v>
      </c>
    </row>
    <row r="84" spans="1:106" x14ac:dyDescent="0.2">
      <c r="A84">
        <f>ROW(Source!A36)</f>
        <v>36</v>
      </c>
      <c r="B84">
        <v>39610380</v>
      </c>
      <c r="C84">
        <v>39614035</v>
      </c>
      <c r="D84">
        <v>36830220</v>
      </c>
      <c r="E84">
        <v>1</v>
      </c>
      <c r="F84">
        <v>1</v>
      </c>
      <c r="G84">
        <v>1</v>
      </c>
      <c r="H84">
        <v>3</v>
      </c>
      <c r="I84" t="s">
        <v>543</v>
      </c>
      <c r="J84" t="s">
        <v>544</v>
      </c>
      <c r="K84" t="s">
        <v>545</v>
      </c>
      <c r="L84">
        <v>1339</v>
      </c>
      <c r="N84">
        <v>1007</v>
      </c>
      <c r="O84" t="s">
        <v>58</v>
      </c>
      <c r="P84" t="s">
        <v>58</v>
      </c>
      <c r="Q84">
        <v>1</v>
      </c>
      <c r="W84">
        <v>0</v>
      </c>
      <c r="X84">
        <v>-444202262</v>
      </c>
      <c r="Y84">
        <v>0.69</v>
      </c>
      <c r="AA84">
        <v>2724.65</v>
      </c>
      <c r="AB84">
        <v>0</v>
      </c>
      <c r="AC84">
        <v>0</v>
      </c>
      <c r="AD84">
        <v>0</v>
      </c>
      <c r="AE84">
        <v>558.33000000000004</v>
      </c>
      <c r="AF84">
        <v>0</v>
      </c>
      <c r="AG84">
        <v>0</v>
      </c>
      <c r="AH84">
        <v>0</v>
      </c>
      <c r="AI84">
        <v>4.88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0.69</v>
      </c>
      <c r="AU84" t="s">
        <v>3</v>
      </c>
      <c r="AV84">
        <v>0</v>
      </c>
      <c r="AW84">
        <v>2</v>
      </c>
      <c r="AX84">
        <v>39614049</v>
      </c>
      <c r="AY84">
        <v>1</v>
      </c>
      <c r="AZ84">
        <v>0</v>
      </c>
      <c r="BA84">
        <v>83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Y84*Source!I36</f>
        <v>6.2099999999999994E-3</v>
      </c>
      <c r="CY84">
        <f t="shared" si="9"/>
        <v>2724.65</v>
      </c>
      <c r="CZ84">
        <f t="shared" si="10"/>
        <v>558.33000000000004</v>
      </c>
      <c r="DA84">
        <f t="shared" si="11"/>
        <v>4.88</v>
      </c>
      <c r="DB84">
        <v>0</v>
      </c>
    </row>
    <row r="85" spans="1:106" x14ac:dyDescent="0.2">
      <c r="A85">
        <f>ROW(Source!A36)</f>
        <v>36</v>
      </c>
      <c r="B85">
        <v>39610380</v>
      </c>
      <c r="C85">
        <v>39614035</v>
      </c>
      <c r="D85">
        <v>36830315</v>
      </c>
      <c r="E85">
        <v>1</v>
      </c>
      <c r="F85">
        <v>1</v>
      </c>
      <c r="G85">
        <v>1</v>
      </c>
      <c r="H85">
        <v>3</v>
      </c>
      <c r="I85" t="s">
        <v>546</v>
      </c>
      <c r="J85" t="s">
        <v>547</v>
      </c>
      <c r="K85" t="s">
        <v>548</v>
      </c>
      <c r="L85">
        <v>1339</v>
      </c>
      <c r="N85">
        <v>1007</v>
      </c>
      <c r="O85" t="s">
        <v>58</v>
      </c>
      <c r="P85" t="s">
        <v>58</v>
      </c>
      <c r="Q85">
        <v>1</v>
      </c>
      <c r="W85">
        <v>0</v>
      </c>
      <c r="X85">
        <v>-395792271</v>
      </c>
      <c r="Y85">
        <v>0.08</v>
      </c>
      <c r="AA85">
        <v>6280.56</v>
      </c>
      <c r="AB85">
        <v>0</v>
      </c>
      <c r="AC85">
        <v>0</v>
      </c>
      <c r="AD85">
        <v>0</v>
      </c>
      <c r="AE85">
        <v>1287</v>
      </c>
      <c r="AF85">
        <v>0</v>
      </c>
      <c r="AG85">
        <v>0</v>
      </c>
      <c r="AH85">
        <v>0</v>
      </c>
      <c r="AI85">
        <v>4.88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0.08</v>
      </c>
      <c r="AU85" t="s">
        <v>3</v>
      </c>
      <c r="AV85">
        <v>0</v>
      </c>
      <c r="AW85">
        <v>2</v>
      </c>
      <c r="AX85">
        <v>39614050</v>
      </c>
      <c r="AY85">
        <v>1</v>
      </c>
      <c r="AZ85">
        <v>0</v>
      </c>
      <c r="BA85">
        <v>84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Y85*Source!I36</f>
        <v>7.1999999999999994E-4</v>
      </c>
      <c r="CY85">
        <f t="shared" si="9"/>
        <v>6280.56</v>
      </c>
      <c r="CZ85">
        <f t="shared" si="10"/>
        <v>1287</v>
      </c>
      <c r="DA85">
        <f t="shared" si="11"/>
        <v>4.88</v>
      </c>
      <c r="DB85">
        <v>0</v>
      </c>
    </row>
    <row r="86" spans="1:106" x14ac:dyDescent="0.2">
      <c r="A86">
        <f>ROW(Source!A36)</f>
        <v>36</v>
      </c>
      <c r="B86">
        <v>39610380</v>
      </c>
      <c r="C86">
        <v>39614035</v>
      </c>
      <c r="D86">
        <v>36830501</v>
      </c>
      <c r="E86">
        <v>1</v>
      </c>
      <c r="F86">
        <v>1</v>
      </c>
      <c r="G86">
        <v>1</v>
      </c>
      <c r="H86">
        <v>3</v>
      </c>
      <c r="I86" t="s">
        <v>549</v>
      </c>
      <c r="J86" t="s">
        <v>550</v>
      </c>
      <c r="K86" t="s">
        <v>551</v>
      </c>
      <c r="L86">
        <v>1339</v>
      </c>
      <c r="N86">
        <v>1007</v>
      </c>
      <c r="O86" t="s">
        <v>58</v>
      </c>
      <c r="P86" t="s">
        <v>58</v>
      </c>
      <c r="Q86">
        <v>1</v>
      </c>
      <c r="W86">
        <v>0</v>
      </c>
      <c r="X86">
        <v>2024089152</v>
      </c>
      <c r="Y86">
        <v>0.2</v>
      </c>
      <c r="AA86">
        <v>5368</v>
      </c>
      <c r="AB86">
        <v>0</v>
      </c>
      <c r="AC86">
        <v>0</v>
      </c>
      <c r="AD86">
        <v>0</v>
      </c>
      <c r="AE86">
        <v>1100</v>
      </c>
      <c r="AF86">
        <v>0</v>
      </c>
      <c r="AG86">
        <v>0</v>
      </c>
      <c r="AH86">
        <v>0</v>
      </c>
      <c r="AI86">
        <v>4.88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0.2</v>
      </c>
      <c r="AU86" t="s">
        <v>3</v>
      </c>
      <c r="AV86">
        <v>0</v>
      </c>
      <c r="AW86">
        <v>2</v>
      </c>
      <c r="AX86">
        <v>39614051</v>
      </c>
      <c r="AY86">
        <v>1</v>
      </c>
      <c r="AZ86">
        <v>0</v>
      </c>
      <c r="BA86">
        <v>85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Y86*Source!I36</f>
        <v>1.8E-3</v>
      </c>
      <c r="CY86">
        <f t="shared" si="9"/>
        <v>5368</v>
      </c>
      <c r="CZ86">
        <f t="shared" si="10"/>
        <v>1100</v>
      </c>
      <c r="DA86">
        <f t="shared" si="11"/>
        <v>4.88</v>
      </c>
      <c r="DB86">
        <v>0</v>
      </c>
    </row>
    <row r="87" spans="1:106" x14ac:dyDescent="0.2">
      <c r="A87">
        <f>ROW(Source!A36)</f>
        <v>36</v>
      </c>
      <c r="B87">
        <v>39610380</v>
      </c>
      <c r="C87">
        <v>39614035</v>
      </c>
      <c r="D87">
        <v>36830509</v>
      </c>
      <c r="E87">
        <v>1</v>
      </c>
      <c r="F87">
        <v>1</v>
      </c>
      <c r="G87">
        <v>1</v>
      </c>
      <c r="H87">
        <v>3</v>
      </c>
      <c r="I87" t="s">
        <v>552</v>
      </c>
      <c r="J87" t="s">
        <v>553</v>
      </c>
      <c r="K87" t="s">
        <v>554</v>
      </c>
      <c r="L87">
        <v>1339</v>
      </c>
      <c r="N87">
        <v>1007</v>
      </c>
      <c r="O87" t="s">
        <v>58</v>
      </c>
      <c r="P87" t="s">
        <v>58</v>
      </c>
      <c r="Q87">
        <v>1</v>
      </c>
      <c r="W87">
        <v>0</v>
      </c>
      <c r="X87">
        <v>-709960560</v>
      </c>
      <c r="Y87">
        <v>0.69</v>
      </c>
      <c r="AA87">
        <v>5153.28</v>
      </c>
      <c r="AB87">
        <v>0</v>
      </c>
      <c r="AC87">
        <v>0</v>
      </c>
      <c r="AD87">
        <v>0</v>
      </c>
      <c r="AE87">
        <v>1056</v>
      </c>
      <c r="AF87">
        <v>0</v>
      </c>
      <c r="AG87">
        <v>0</v>
      </c>
      <c r="AH87">
        <v>0</v>
      </c>
      <c r="AI87">
        <v>4.88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0.69</v>
      </c>
      <c r="AU87" t="s">
        <v>3</v>
      </c>
      <c r="AV87">
        <v>0</v>
      </c>
      <c r="AW87">
        <v>2</v>
      </c>
      <c r="AX87">
        <v>39614052</v>
      </c>
      <c r="AY87">
        <v>1</v>
      </c>
      <c r="AZ87">
        <v>0</v>
      </c>
      <c r="BA87">
        <v>86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Y87*Source!I36</f>
        <v>6.2099999999999994E-3</v>
      </c>
      <c r="CY87">
        <f t="shared" si="9"/>
        <v>5153.28</v>
      </c>
      <c r="CZ87">
        <f t="shared" si="10"/>
        <v>1056</v>
      </c>
      <c r="DA87">
        <f t="shared" si="11"/>
        <v>4.88</v>
      </c>
      <c r="DB87">
        <v>0</v>
      </c>
    </row>
    <row r="88" spans="1:106" x14ac:dyDescent="0.2">
      <c r="A88">
        <f>ROW(Source!A36)</f>
        <v>36</v>
      </c>
      <c r="B88">
        <v>39610380</v>
      </c>
      <c r="C88">
        <v>39614035</v>
      </c>
      <c r="D88">
        <v>36831733</v>
      </c>
      <c r="E88">
        <v>1</v>
      </c>
      <c r="F88">
        <v>1</v>
      </c>
      <c r="G88">
        <v>1</v>
      </c>
      <c r="H88">
        <v>3</v>
      </c>
      <c r="I88" t="s">
        <v>555</v>
      </c>
      <c r="J88" t="s">
        <v>556</v>
      </c>
      <c r="K88" t="s">
        <v>557</v>
      </c>
      <c r="L88">
        <v>1327</v>
      </c>
      <c r="N88">
        <v>1005</v>
      </c>
      <c r="O88" t="s">
        <v>533</v>
      </c>
      <c r="P88" t="s">
        <v>533</v>
      </c>
      <c r="Q88">
        <v>1</v>
      </c>
      <c r="W88">
        <v>0</v>
      </c>
      <c r="X88">
        <v>312915526</v>
      </c>
      <c r="Y88">
        <v>49.5</v>
      </c>
      <c r="AA88">
        <v>173.39</v>
      </c>
      <c r="AB88">
        <v>0</v>
      </c>
      <c r="AC88">
        <v>0</v>
      </c>
      <c r="AD88">
        <v>0</v>
      </c>
      <c r="AE88">
        <v>35.53</v>
      </c>
      <c r="AF88">
        <v>0</v>
      </c>
      <c r="AG88">
        <v>0</v>
      </c>
      <c r="AH88">
        <v>0</v>
      </c>
      <c r="AI88">
        <v>4.88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49.5</v>
      </c>
      <c r="AU88" t="s">
        <v>3</v>
      </c>
      <c r="AV88">
        <v>0</v>
      </c>
      <c r="AW88">
        <v>2</v>
      </c>
      <c r="AX88">
        <v>39614053</v>
      </c>
      <c r="AY88">
        <v>1</v>
      </c>
      <c r="AZ88">
        <v>0</v>
      </c>
      <c r="BA88">
        <v>87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Y88*Source!I36</f>
        <v>0.44549999999999995</v>
      </c>
      <c r="CY88">
        <f t="shared" si="9"/>
        <v>173.39</v>
      </c>
      <c r="CZ88">
        <f t="shared" si="10"/>
        <v>35.53</v>
      </c>
      <c r="DA88">
        <f t="shared" si="11"/>
        <v>4.88</v>
      </c>
      <c r="DB88">
        <v>0</v>
      </c>
    </row>
    <row r="89" spans="1:106" x14ac:dyDescent="0.2">
      <c r="A89">
        <f>ROW(Source!A38)</f>
        <v>38</v>
      </c>
      <c r="B89">
        <v>39610380</v>
      </c>
      <c r="C89">
        <v>39610468</v>
      </c>
      <c r="D89">
        <v>37080781</v>
      </c>
      <c r="E89">
        <v>1</v>
      </c>
      <c r="F89">
        <v>1</v>
      </c>
      <c r="G89">
        <v>1</v>
      </c>
      <c r="H89">
        <v>1</v>
      </c>
      <c r="I89" t="s">
        <v>558</v>
      </c>
      <c r="J89" t="s">
        <v>3</v>
      </c>
      <c r="K89" t="s">
        <v>559</v>
      </c>
      <c r="L89">
        <v>1191</v>
      </c>
      <c r="N89">
        <v>1013</v>
      </c>
      <c r="O89" t="s">
        <v>405</v>
      </c>
      <c r="P89" t="s">
        <v>405</v>
      </c>
      <c r="Q89">
        <v>1</v>
      </c>
      <c r="W89">
        <v>0</v>
      </c>
      <c r="X89">
        <v>912892513</v>
      </c>
      <c r="Y89">
        <v>1.1200000000000001</v>
      </c>
      <c r="AA89">
        <v>0</v>
      </c>
      <c r="AB89">
        <v>0</v>
      </c>
      <c r="AC89">
        <v>0</v>
      </c>
      <c r="AD89">
        <v>48.41</v>
      </c>
      <c r="AE89">
        <v>0</v>
      </c>
      <c r="AF89">
        <v>0</v>
      </c>
      <c r="AG89">
        <v>0</v>
      </c>
      <c r="AH89">
        <v>9.92</v>
      </c>
      <c r="AI89">
        <v>1</v>
      </c>
      <c r="AJ89">
        <v>1</v>
      </c>
      <c r="AK89">
        <v>1</v>
      </c>
      <c r="AL89">
        <v>4.88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1.1200000000000001</v>
      </c>
      <c r="AU89" t="s">
        <v>3</v>
      </c>
      <c r="AV89">
        <v>1</v>
      </c>
      <c r="AW89">
        <v>2</v>
      </c>
      <c r="AX89">
        <v>39610469</v>
      </c>
      <c r="AY89">
        <v>1</v>
      </c>
      <c r="AZ89">
        <v>0</v>
      </c>
      <c r="BA89">
        <v>88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Y89*Source!I38</f>
        <v>20.160000000000004</v>
      </c>
      <c r="CY89">
        <f>AD89</f>
        <v>48.41</v>
      </c>
      <c r="CZ89">
        <f>AH89</f>
        <v>9.92</v>
      </c>
      <c r="DA89">
        <f>AL89</f>
        <v>4.88</v>
      </c>
      <c r="DB89">
        <v>0</v>
      </c>
    </row>
    <row r="90" spans="1:106" x14ac:dyDescent="0.2">
      <c r="A90">
        <f>ROW(Source!A38)</f>
        <v>38</v>
      </c>
      <c r="B90">
        <v>39610380</v>
      </c>
      <c r="C90">
        <v>39610468</v>
      </c>
      <c r="D90">
        <v>36804448</v>
      </c>
      <c r="E90">
        <v>1</v>
      </c>
      <c r="F90">
        <v>1</v>
      </c>
      <c r="G90">
        <v>1</v>
      </c>
      <c r="H90">
        <v>3</v>
      </c>
      <c r="I90" t="s">
        <v>425</v>
      </c>
      <c r="J90" t="s">
        <v>426</v>
      </c>
      <c r="K90" t="s">
        <v>427</v>
      </c>
      <c r="L90">
        <v>1346</v>
      </c>
      <c r="N90">
        <v>1009</v>
      </c>
      <c r="O90" t="s">
        <v>424</v>
      </c>
      <c r="P90" t="s">
        <v>424</v>
      </c>
      <c r="Q90">
        <v>1</v>
      </c>
      <c r="W90">
        <v>0</v>
      </c>
      <c r="X90">
        <v>103900845</v>
      </c>
      <c r="Y90">
        <v>0.02</v>
      </c>
      <c r="AA90">
        <v>44.12</v>
      </c>
      <c r="AB90">
        <v>0</v>
      </c>
      <c r="AC90">
        <v>0</v>
      </c>
      <c r="AD90">
        <v>0</v>
      </c>
      <c r="AE90">
        <v>9.0399999999999991</v>
      </c>
      <c r="AF90">
        <v>0</v>
      </c>
      <c r="AG90">
        <v>0</v>
      </c>
      <c r="AH90">
        <v>0</v>
      </c>
      <c r="AI90">
        <v>4.88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0.02</v>
      </c>
      <c r="AU90" t="s">
        <v>3</v>
      </c>
      <c r="AV90">
        <v>0</v>
      </c>
      <c r="AW90">
        <v>2</v>
      </c>
      <c r="AX90">
        <v>39610470</v>
      </c>
      <c r="AY90">
        <v>1</v>
      </c>
      <c r="AZ90">
        <v>0</v>
      </c>
      <c r="BA90">
        <v>89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Y90*Source!I38</f>
        <v>0.36</v>
      </c>
      <c r="CY90">
        <f t="shared" ref="CY90:CY95" si="12">AA90</f>
        <v>44.12</v>
      </c>
      <c r="CZ90">
        <f t="shared" ref="CZ90:CZ95" si="13">AE90</f>
        <v>9.0399999999999991</v>
      </c>
      <c r="DA90">
        <f t="shared" ref="DA90:DA95" si="14">AI90</f>
        <v>4.88</v>
      </c>
      <c r="DB90">
        <v>0</v>
      </c>
    </row>
    <row r="91" spans="1:106" x14ac:dyDescent="0.2">
      <c r="A91">
        <f>ROW(Source!A38)</f>
        <v>38</v>
      </c>
      <c r="B91">
        <v>39610380</v>
      </c>
      <c r="C91">
        <v>39610468</v>
      </c>
      <c r="D91">
        <v>36873479</v>
      </c>
      <c r="E91">
        <v>1</v>
      </c>
      <c r="F91">
        <v>1</v>
      </c>
      <c r="G91">
        <v>1</v>
      </c>
      <c r="H91">
        <v>3</v>
      </c>
      <c r="I91" t="s">
        <v>118</v>
      </c>
      <c r="J91" t="s">
        <v>120</v>
      </c>
      <c r="K91" t="s">
        <v>119</v>
      </c>
      <c r="L91">
        <v>1354</v>
      </c>
      <c r="N91">
        <v>1010</v>
      </c>
      <c r="O91" t="s">
        <v>86</v>
      </c>
      <c r="P91" t="s">
        <v>86</v>
      </c>
      <c r="Q91">
        <v>1</v>
      </c>
      <c r="W91">
        <v>0</v>
      </c>
      <c r="X91">
        <v>375729356</v>
      </c>
      <c r="Y91">
        <v>0.222222</v>
      </c>
      <c r="AA91">
        <v>2391.1999999999998</v>
      </c>
      <c r="AB91">
        <v>0</v>
      </c>
      <c r="AC91">
        <v>0</v>
      </c>
      <c r="AD91">
        <v>0</v>
      </c>
      <c r="AE91">
        <v>490</v>
      </c>
      <c r="AF91">
        <v>0</v>
      </c>
      <c r="AG91">
        <v>0</v>
      </c>
      <c r="AH91">
        <v>0</v>
      </c>
      <c r="AI91">
        <v>4.88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3</v>
      </c>
      <c r="AT91">
        <v>0.222222</v>
      </c>
      <c r="AU91" t="s">
        <v>3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Y91*Source!I38</f>
        <v>3.9999959999999999</v>
      </c>
      <c r="CY91">
        <f t="shared" si="12"/>
        <v>2391.1999999999998</v>
      </c>
      <c r="CZ91">
        <f t="shared" si="13"/>
        <v>490</v>
      </c>
      <c r="DA91">
        <f t="shared" si="14"/>
        <v>4.88</v>
      </c>
      <c r="DB91">
        <v>0</v>
      </c>
    </row>
    <row r="92" spans="1:106" x14ac:dyDescent="0.2">
      <c r="A92">
        <f>ROW(Source!A38)</f>
        <v>38</v>
      </c>
      <c r="B92">
        <v>39610380</v>
      </c>
      <c r="C92">
        <v>39610468</v>
      </c>
      <c r="D92">
        <v>36873480</v>
      </c>
      <c r="E92">
        <v>1</v>
      </c>
      <c r="F92">
        <v>1</v>
      </c>
      <c r="G92">
        <v>1</v>
      </c>
      <c r="H92">
        <v>3</v>
      </c>
      <c r="I92" t="s">
        <v>114</v>
      </c>
      <c r="J92" t="s">
        <v>116</v>
      </c>
      <c r="K92" t="s">
        <v>115</v>
      </c>
      <c r="L92">
        <v>1354</v>
      </c>
      <c r="N92">
        <v>1010</v>
      </c>
      <c r="O92" t="s">
        <v>86</v>
      </c>
      <c r="P92" t="s">
        <v>86</v>
      </c>
      <c r="Q92">
        <v>1</v>
      </c>
      <c r="W92">
        <v>0</v>
      </c>
      <c r="X92">
        <v>-1538616603</v>
      </c>
      <c r="Y92">
        <v>0.38888899999999998</v>
      </c>
      <c r="AA92">
        <v>2732.75</v>
      </c>
      <c r="AB92">
        <v>0</v>
      </c>
      <c r="AC92">
        <v>0</v>
      </c>
      <c r="AD92">
        <v>0</v>
      </c>
      <c r="AE92">
        <v>559.99</v>
      </c>
      <c r="AF92">
        <v>0</v>
      </c>
      <c r="AG92">
        <v>0</v>
      </c>
      <c r="AH92">
        <v>0</v>
      </c>
      <c r="AI92">
        <v>4.88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0.38888899999999998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Y92*Source!I38</f>
        <v>7.0000019999999994</v>
      </c>
      <c r="CY92">
        <f t="shared" si="12"/>
        <v>2732.75</v>
      </c>
      <c r="CZ92">
        <f t="shared" si="13"/>
        <v>559.99</v>
      </c>
      <c r="DA92">
        <f t="shared" si="14"/>
        <v>4.88</v>
      </c>
      <c r="DB92">
        <v>0</v>
      </c>
    </row>
    <row r="93" spans="1:106" x14ac:dyDescent="0.2">
      <c r="A93">
        <f>ROW(Source!A38)</f>
        <v>38</v>
      </c>
      <c r="B93">
        <v>39610380</v>
      </c>
      <c r="C93">
        <v>39610468</v>
      </c>
      <c r="D93">
        <v>36873481</v>
      </c>
      <c r="E93">
        <v>1</v>
      </c>
      <c r="F93">
        <v>1</v>
      </c>
      <c r="G93">
        <v>1</v>
      </c>
      <c r="H93">
        <v>3</v>
      </c>
      <c r="I93" t="s">
        <v>106</v>
      </c>
      <c r="J93" t="s">
        <v>108</v>
      </c>
      <c r="K93" t="s">
        <v>107</v>
      </c>
      <c r="L93">
        <v>1354</v>
      </c>
      <c r="N93">
        <v>1010</v>
      </c>
      <c r="O93" t="s">
        <v>86</v>
      </c>
      <c r="P93" t="s">
        <v>86</v>
      </c>
      <c r="Q93">
        <v>1</v>
      </c>
      <c r="W93">
        <v>0</v>
      </c>
      <c r="X93">
        <v>-1842424436</v>
      </c>
      <c r="Y93">
        <v>0.16666700000000001</v>
      </c>
      <c r="AA93">
        <v>5123.95</v>
      </c>
      <c r="AB93">
        <v>0</v>
      </c>
      <c r="AC93">
        <v>0</v>
      </c>
      <c r="AD93">
        <v>0</v>
      </c>
      <c r="AE93">
        <v>1049.99</v>
      </c>
      <c r="AF93">
        <v>0</v>
      </c>
      <c r="AG93">
        <v>0</v>
      </c>
      <c r="AH93">
        <v>0</v>
      </c>
      <c r="AI93">
        <v>4.88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0.16666700000000001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Y93*Source!I38</f>
        <v>3.000006</v>
      </c>
      <c r="CY93">
        <f t="shared" si="12"/>
        <v>5123.95</v>
      </c>
      <c r="CZ93">
        <f t="shared" si="13"/>
        <v>1049.99</v>
      </c>
      <c r="DA93">
        <f t="shared" si="14"/>
        <v>4.88</v>
      </c>
      <c r="DB93">
        <v>0</v>
      </c>
    </row>
    <row r="94" spans="1:106" x14ac:dyDescent="0.2">
      <c r="A94">
        <f>ROW(Source!A38)</f>
        <v>38</v>
      </c>
      <c r="B94">
        <v>39610380</v>
      </c>
      <c r="C94">
        <v>39610468</v>
      </c>
      <c r="D94">
        <v>36873483</v>
      </c>
      <c r="E94">
        <v>1</v>
      </c>
      <c r="F94">
        <v>1</v>
      </c>
      <c r="G94">
        <v>1</v>
      </c>
      <c r="H94">
        <v>3</v>
      </c>
      <c r="I94" t="s">
        <v>110</v>
      </c>
      <c r="J94" t="s">
        <v>112</v>
      </c>
      <c r="K94" t="s">
        <v>111</v>
      </c>
      <c r="L94">
        <v>1354</v>
      </c>
      <c r="N94">
        <v>1010</v>
      </c>
      <c r="O94" t="s">
        <v>86</v>
      </c>
      <c r="P94" t="s">
        <v>86</v>
      </c>
      <c r="Q94">
        <v>1</v>
      </c>
      <c r="W94">
        <v>0</v>
      </c>
      <c r="X94">
        <v>516885426</v>
      </c>
      <c r="Y94">
        <v>0.222222</v>
      </c>
      <c r="AA94">
        <v>4218.5200000000004</v>
      </c>
      <c r="AB94">
        <v>0</v>
      </c>
      <c r="AC94">
        <v>0</v>
      </c>
      <c r="AD94">
        <v>0</v>
      </c>
      <c r="AE94">
        <v>864.45</v>
      </c>
      <c r="AF94">
        <v>0</v>
      </c>
      <c r="AG94">
        <v>0</v>
      </c>
      <c r="AH94">
        <v>0</v>
      </c>
      <c r="AI94">
        <v>4.88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0.222222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Y94*Source!I38</f>
        <v>3.9999959999999999</v>
      </c>
      <c r="CY94">
        <f t="shared" si="12"/>
        <v>4218.5200000000004</v>
      </c>
      <c r="CZ94">
        <f t="shared" si="13"/>
        <v>864.45</v>
      </c>
      <c r="DA94">
        <f t="shared" si="14"/>
        <v>4.88</v>
      </c>
      <c r="DB94">
        <v>0</v>
      </c>
    </row>
    <row r="95" spans="1:106" x14ac:dyDescent="0.2">
      <c r="A95">
        <f>ROW(Source!A38)</f>
        <v>38</v>
      </c>
      <c r="B95">
        <v>39610380</v>
      </c>
      <c r="C95">
        <v>39610468</v>
      </c>
      <c r="D95">
        <v>36799065</v>
      </c>
      <c r="E95">
        <v>17</v>
      </c>
      <c r="F95">
        <v>1</v>
      </c>
      <c r="G95">
        <v>1</v>
      </c>
      <c r="H95">
        <v>3</v>
      </c>
      <c r="I95" t="s">
        <v>438</v>
      </c>
      <c r="J95" t="s">
        <v>3</v>
      </c>
      <c r="K95" t="s">
        <v>439</v>
      </c>
      <c r="L95">
        <v>1374</v>
      </c>
      <c r="N95">
        <v>1013</v>
      </c>
      <c r="O95" t="s">
        <v>440</v>
      </c>
      <c r="P95" t="s">
        <v>440</v>
      </c>
      <c r="Q95">
        <v>1</v>
      </c>
      <c r="W95">
        <v>0</v>
      </c>
      <c r="X95">
        <v>-1731369543</v>
      </c>
      <c r="Y95">
        <v>0.22</v>
      </c>
      <c r="AA95">
        <v>1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0.22</v>
      </c>
      <c r="AU95" t="s">
        <v>3</v>
      </c>
      <c r="AV95">
        <v>0</v>
      </c>
      <c r="AW95">
        <v>2</v>
      </c>
      <c r="AX95">
        <v>39610471</v>
      </c>
      <c r="AY95">
        <v>1</v>
      </c>
      <c r="AZ95">
        <v>0</v>
      </c>
      <c r="BA95">
        <v>90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Y95*Source!I38</f>
        <v>3.96</v>
      </c>
      <c r="CY95">
        <f t="shared" si="12"/>
        <v>1</v>
      </c>
      <c r="CZ95">
        <f t="shared" si="13"/>
        <v>1</v>
      </c>
      <c r="DA95">
        <f t="shared" si="14"/>
        <v>1</v>
      </c>
      <c r="DB95">
        <v>0</v>
      </c>
    </row>
    <row r="96" spans="1:106" x14ac:dyDescent="0.2">
      <c r="A96">
        <f>ROW(Source!A43)</f>
        <v>43</v>
      </c>
      <c r="B96">
        <v>39610380</v>
      </c>
      <c r="C96">
        <v>39610472</v>
      </c>
      <c r="D96">
        <v>37070202</v>
      </c>
      <c r="E96">
        <v>1</v>
      </c>
      <c r="F96">
        <v>1</v>
      </c>
      <c r="G96">
        <v>1</v>
      </c>
      <c r="H96">
        <v>1</v>
      </c>
      <c r="I96" t="s">
        <v>560</v>
      </c>
      <c r="J96" t="s">
        <v>3</v>
      </c>
      <c r="K96" t="s">
        <v>561</v>
      </c>
      <c r="L96">
        <v>1191</v>
      </c>
      <c r="N96">
        <v>1013</v>
      </c>
      <c r="O96" t="s">
        <v>405</v>
      </c>
      <c r="P96" t="s">
        <v>405</v>
      </c>
      <c r="Q96">
        <v>1</v>
      </c>
      <c r="W96">
        <v>0</v>
      </c>
      <c r="X96">
        <v>1983201532</v>
      </c>
      <c r="Y96">
        <v>1.56</v>
      </c>
      <c r="AA96">
        <v>0</v>
      </c>
      <c r="AB96">
        <v>0</v>
      </c>
      <c r="AC96">
        <v>0</v>
      </c>
      <c r="AD96">
        <v>46.41</v>
      </c>
      <c r="AE96">
        <v>0</v>
      </c>
      <c r="AF96">
        <v>0</v>
      </c>
      <c r="AG96">
        <v>0</v>
      </c>
      <c r="AH96">
        <v>9.51</v>
      </c>
      <c r="AI96">
        <v>1</v>
      </c>
      <c r="AJ96">
        <v>1</v>
      </c>
      <c r="AK96">
        <v>1</v>
      </c>
      <c r="AL96">
        <v>4.88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1.56</v>
      </c>
      <c r="AU96" t="s">
        <v>3</v>
      </c>
      <c r="AV96">
        <v>1</v>
      </c>
      <c r="AW96">
        <v>2</v>
      </c>
      <c r="AX96">
        <v>39610473</v>
      </c>
      <c r="AY96">
        <v>1</v>
      </c>
      <c r="AZ96">
        <v>0</v>
      </c>
      <c r="BA96">
        <v>91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Y96*Source!I43</f>
        <v>12.48</v>
      </c>
      <c r="CY96">
        <f>AD96</f>
        <v>46.41</v>
      </c>
      <c r="CZ96">
        <f>AH96</f>
        <v>9.51</v>
      </c>
      <c r="DA96">
        <f>AL96</f>
        <v>4.88</v>
      </c>
      <c r="DB96">
        <v>0</v>
      </c>
    </row>
    <row r="97" spans="1:106" x14ac:dyDescent="0.2">
      <c r="A97">
        <f>ROW(Source!A43)</f>
        <v>43</v>
      </c>
      <c r="B97">
        <v>39610380</v>
      </c>
      <c r="C97">
        <v>39610472</v>
      </c>
      <c r="D97">
        <v>36883858</v>
      </c>
      <c r="E97">
        <v>1</v>
      </c>
      <c r="F97">
        <v>1</v>
      </c>
      <c r="G97">
        <v>1</v>
      </c>
      <c r="H97">
        <v>2</v>
      </c>
      <c r="I97" t="s">
        <v>415</v>
      </c>
      <c r="J97" t="s">
        <v>416</v>
      </c>
      <c r="K97" t="s">
        <v>417</v>
      </c>
      <c r="L97">
        <v>1368</v>
      </c>
      <c r="N97">
        <v>1011</v>
      </c>
      <c r="O97" t="s">
        <v>411</v>
      </c>
      <c r="P97" t="s">
        <v>411</v>
      </c>
      <c r="Q97">
        <v>1</v>
      </c>
      <c r="W97">
        <v>0</v>
      </c>
      <c r="X97">
        <v>-353815937</v>
      </c>
      <c r="Y97">
        <v>0.13</v>
      </c>
      <c r="AA97">
        <v>0</v>
      </c>
      <c r="AB97">
        <v>39.53</v>
      </c>
      <c r="AC97">
        <v>0</v>
      </c>
      <c r="AD97">
        <v>0</v>
      </c>
      <c r="AE97">
        <v>0</v>
      </c>
      <c r="AF97">
        <v>8.1</v>
      </c>
      <c r="AG97">
        <v>0</v>
      </c>
      <c r="AH97">
        <v>0</v>
      </c>
      <c r="AI97">
        <v>1</v>
      </c>
      <c r="AJ97">
        <v>4.88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0.13</v>
      </c>
      <c r="AU97" t="s">
        <v>3</v>
      </c>
      <c r="AV97">
        <v>0</v>
      </c>
      <c r="AW97">
        <v>2</v>
      </c>
      <c r="AX97">
        <v>39610474</v>
      </c>
      <c r="AY97">
        <v>1</v>
      </c>
      <c r="AZ97">
        <v>0</v>
      </c>
      <c r="BA97">
        <v>92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Y97*Source!I43</f>
        <v>1.04</v>
      </c>
      <c r="CY97">
        <f>AB97</f>
        <v>39.53</v>
      </c>
      <c r="CZ97">
        <f>AF97</f>
        <v>8.1</v>
      </c>
      <c r="DA97">
        <f>AJ97</f>
        <v>4.88</v>
      </c>
      <c r="DB97">
        <v>0</v>
      </c>
    </row>
    <row r="98" spans="1:106" x14ac:dyDescent="0.2">
      <c r="A98">
        <f>ROW(Source!A43)</f>
        <v>43</v>
      </c>
      <c r="B98">
        <v>39610380</v>
      </c>
      <c r="C98">
        <v>39610472</v>
      </c>
      <c r="D98">
        <v>36800043</v>
      </c>
      <c r="E98">
        <v>1</v>
      </c>
      <c r="F98">
        <v>1</v>
      </c>
      <c r="G98">
        <v>1</v>
      </c>
      <c r="H98">
        <v>3</v>
      </c>
      <c r="I98" t="s">
        <v>460</v>
      </c>
      <c r="J98" t="s">
        <v>461</v>
      </c>
      <c r="K98" t="s">
        <v>462</v>
      </c>
      <c r="L98">
        <v>1346</v>
      </c>
      <c r="N98">
        <v>1009</v>
      </c>
      <c r="O98" t="s">
        <v>424</v>
      </c>
      <c r="P98" t="s">
        <v>424</v>
      </c>
      <c r="Q98">
        <v>1</v>
      </c>
      <c r="W98">
        <v>0</v>
      </c>
      <c r="X98">
        <v>618806536</v>
      </c>
      <c r="Y98">
        <v>6.0000000000000001E-3</v>
      </c>
      <c r="AA98">
        <v>219.45</v>
      </c>
      <c r="AB98">
        <v>0</v>
      </c>
      <c r="AC98">
        <v>0</v>
      </c>
      <c r="AD98">
        <v>0</v>
      </c>
      <c r="AE98">
        <v>44.97</v>
      </c>
      <c r="AF98">
        <v>0</v>
      </c>
      <c r="AG98">
        <v>0</v>
      </c>
      <c r="AH98">
        <v>0</v>
      </c>
      <c r="AI98">
        <v>4.88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6.0000000000000001E-3</v>
      </c>
      <c r="AU98" t="s">
        <v>3</v>
      </c>
      <c r="AV98">
        <v>0</v>
      </c>
      <c r="AW98">
        <v>2</v>
      </c>
      <c r="AX98">
        <v>39610475</v>
      </c>
      <c r="AY98">
        <v>1</v>
      </c>
      <c r="AZ98">
        <v>0</v>
      </c>
      <c r="BA98">
        <v>93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Y98*Source!I43</f>
        <v>4.8000000000000001E-2</v>
      </c>
      <c r="CY98">
        <f t="shared" ref="CY98:CY111" si="15">AA98</f>
        <v>219.45</v>
      </c>
      <c r="CZ98">
        <f t="shared" ref="CZ98:CZ111" si="16">AE98</f>
        <v>44.97</v>
      </c>
      <c r="DA98">
        <f t="shared" ref="DA98:DA111" si="17">AI98</f>
        <v>4.88</v>
      </c>
      <c r="DB98">
        <v>0</v>
      </c>
    </row>
    <row r="99" spans="1:106" x14ac:dyDescent="0.2">
      <c r="A99">
        <f>ROW(Source!A43)</f>
        <v>43</v>
      </c>
      <c r="B99">
        <v>39610380</v>
      </c>
      <c r="C99">
        <v>39610472</v>
      </c>
      <c r="D99">
        <v>36801775</v>
      </c>
      <c r="E99">
        <v>1</v>
      </c>
      <c r="F99">
        <v>1</v>
      </c>
      <c r="G99">
        <v>1</v>
      </c>
      <c r="H99">
        <v>3</v>
      </c>
      <c r="I99" t="s">
        <v>463</v>
      </c>
      <c r="J99" t="s">
        <v>464</v>
      </c>
      <c r="K99" t="s">
        <v>465</v>
      </c>
      <c r="L99">
        <v>1346</v>
      </c>
      <c r="N99">
        <v>1009</v>
      </c>
      <c r="O99" t="s">
        <v>424</v>
      </c>
      <c r="P99" t="s">
        <v>424</v>
      </c>
      <c r="Q99">
        <v>1</v>
      </c>
      <c r="W99">
        <v>0</v>
      </c>
      <c r="X99">
        <v>56922527</v>
      </c>
      <c r="Y99">
        <v>1E-3</v>
      </c>
      <c r="AA99">
        <v>56.12</v>
      </c>
      <c r="AB99">
        <v>0</v>
      </c>
      <c r="AC99">
        <v>0</v>
      </c>
      <c r="AD99">
        <v>0</v>
      </c>
      <c r="AE99">
        <v>11.5</v>
      </c>
      <c r="AF99">
        <v>0</v>
      </c>
      <c r="AG99">
        <v>0</v>
      </c>
      <c r="AH99">
        <v>0</v>
      </c>
      <c r="AI99">
        <v>4.88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1E-3</v>
      </c>
      <c r="AU99" t="s">
        <v>3</v>
      </c>
      <c r="AV99">
        <v>0</v>
      </c>
      <c r="AW99">
        <v>2</v>
      </c>
      <c r="AX99">
        <v>39610476</v>
      </c>
      <c r="AY99">
        <v>1</v>
      </c>
      <c r="AZ99">
        <v>0</v>
      </c>
      <c r="BA99">
        <v>94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Y99*Source!I43</f>
        <v>8.0000000000000002E-3</v>
      </c>
      <c r="CY99">
        <f t="shared" si="15"/>
        <v>56.12</v>
      </c>
      <c r="CZ99">
        <f t="shared" si="16"/>
        <v>11.5</v>
      </c>
      <c r="DA99">
        <f t="shared" si="17"/>
        <v>4.88</v>
      </c>
      <c r="DB99">
        <v>0</v>
      </c>
    </row>
    <row r="100" spans="1:106" x14ac:dyDescent="0.2">
      <c r="A100">
        <f>ROW(Source!A43)</f>
        <v>43</v>
      </c>
      <c r="B100">
        <v>39610380</v>
      </c>
      <c r="C100">
        <v>39610472</v>
      </c>
      <c r="D100">
        <v>36802094</v>
      </c>
      <c r="E100">
        <v>1</v>
      </c>
      <c r="F100">
        <v>1</v>
      </c>
      <c r="G100">
        <v>1</v>
      </c>
      <c r="H100">
        <v>3</v>
      </c>
      <c r="I100" t="s">
        <v>466</v>
      </c>
      <c r="J100" t="s">
        <v>467</v>
      </c>
      <c r="K100" t="s">
        <v>468</v>
      </c>
      <c r="L100">
        <v>1346</v>
      </c>
      <c r="N100">
        <v>1009</v>
      </c>
      <c r="O100" t="s">
        <v>424</v>
      </c>
      <c r="P100" t="s">
        <v>424</v>
      </c>
      <c r="Q100">
        <v>1</v>
      </c>
      <c r="W100">
        <v>0</v>
      </c>
      <c r="X100">
        <v>-1088866022</v>
      </c>
      <c r="Y100">
        <v>1.2E-2</v>
      </c>
      <c r="AA100">
        <v>148.35</v>
      </c>
      <c r="AB100">
        <v>0</v>
      </c>
      <c r="AC100">
        <v>0</v>
      </c>
      <c r="AD100">
        <v>0</v>
      </c>
      <c r="AE100">
        <v>30.4</v>
      </c>
      <c r="AF100">
        <v>0</v>
      </c>
      <c r="AG100">
        <v>0</v>
      </c>
      <c r="AH100">
        <v>0</v>
      </c>
      <c r="AI100">
        <v>4.88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1.2E-2</v>
      </c>
      <c r="AU100" t="s">
        <v>3</v>
      </c>
      <c r="AV100">
        <v>0</v>
      </c>
      <c r="AW100">
        <v>2</v>
      </c>
      <c r="AX100">
        <v>39610477</v>
      </c>
      <c r="AY100">
        <v>1</v>
      </c>
      <c r="AZ100">
        <v>0</v>
      </c>
      <c r="BA100">
        <v>95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Y100*Source!I43</f>
        <v>9.6000000000000002E-2</v>
      </c>
      <c r="CY100">
        <f t="shared" si="15"/>
        <v>148.35</v>
      </c>
      <c r="CZ100">
        <f t="shared" si="16"/>
        <v>30.4</v>
      </c>
      <c r="DA100">
        <f t="shared" si="17"/>
        <v>4.88</v>
      </c>
      <c r="DB100">
        <v>0</v>
      </c>
    </row>
    <row r="101" spans="1:106" x14ac:dyDescent="0.2">
      <c r="A101">
        <f>ROW(Source!A43)</f>
        <v>43</v>
      </c>
      <c r="B101">
        <v>39610380</v>
      </c>
      <c r="C101">
        <v>39610472</v>
      </c>
      <c r="D101">
        <v>36803258</v>
      </c>
      <c r="E101">
        <v>1</v>
      </c>
      <c r="F101">
        <v>1</v>
      </c>
      <c r="G101">
        <v>1</v>
      </c>
      <c r="H101">
        <v>3</v>
      </c>
      <c r="I101" t="s">
        <v>421</v>
      </c>
      <c r="J101" t="s">
        <v>422</v>
      </c>
      <c r="K101" t="s">
        <v>423</v>
      </c>
      <c r="L101">
        <v>1346</v>
      </c>
      <c r="N101">
        <v>1009</v>
      </c>
      <c r="O101" t="s">
        <v>424</v>
      </c>
      <c r="P101" t="s">
        <v>424</v>
      </c>
      <c r="Q101">
        <v>1</v>
      </c>
      <c r="W101">
        <v>0</v>
      </c>
      <c r="X101">
        <v>586013393</v>
      </c>
      <c r="Y101">
        <v>7.0000000000000007E-2</v>
      </c>
      <c r="AA101">
        <v>51.58</v>
      </c>
      <c r="AB101">
        <v>0</v>
      </c>
      <c r="AC101">
        <v>0</v>
      </c>
      <c r="AD101">
        <v>0</v>
      </c>
      <c r="AE101">
        <v>10.57</v>
      </c>
      <c r="AF101">
        <v>0</v>
      </c>
      <c r="AG101">
        <v>0</v>
      </c>
      <c r="AH101">
        <v>0</v>
      </c>
      <c r="AI101">
        <v>4.88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7.0000000000000007E-2</v>
      </c>
      <c r="AU101" t="s">
        <v>3</v>
      </c>
      <c r="AV101">
        <v>0</v>
      </c>
      <c r="AW101">
        <v>2</v>
      </c>
      <c r="AX101">
        <v>39610478</v>
      </c>
      <c r="AY101">
        <v>1</v>
      </c>
      <c r="AZ101">
        <v>0</v>
      </c>
      <c r="BA101">
        <v>96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Y101*Source!I43</f>
        <v>0.56000000000000005</v>
      </c>
      <c r="CY101">
        <f t="shared" si="15"/>
        <v>51.58</v>
      </c>
      <c r="CZ101">
        <f t="shared" si="16"/>
        <v>10.57</v>
      </c>
      <c r="DA101">
        <f t="shared" si="17"/>
        <v>4.88</v>
      </c>
      <c r="DB101">
        <v>0</v>
      </c>
    </row>
    <row r="102" spans="1:106" x14ac:dyDescent="0.2">
      <c r="A102">
        <f>ROW(Source!A43)</f>
        <v>43</v>
      </c>
      <c r="B102">
        <v>39610380</v>
      </c>
      <c r="C102">
        <v>39610472</v>
      </c>
      <c r="D102">
        <v>36804448</v>
      </c>
      <c r="E102">
        <v>1</v>
      </c>
      <c r="F102">
        <v>1</v>
      </c>
      <c r="G102">
        <v>1</v>
      </c>
      <c r="H102">
        <v>3</v>
      </c>
      <c r="I102" t="s">
        <v>425</v>
      </c>
      <c r="J102" t="s">
        <v>426</v>
      </c>
      <c r="K102" t="s">
        <v>427</v>
      </c>
      <c r="L102">
        <v>1346</v>
      </c>
      <c r="N102">
        <v>1009</v>
      </c>
      <c r="O102" t="s">
        <v>424</v>
      </c>
      <c r="P102" t="s">
        <v>424</v>
      </c>
      <c r="Q102">
        <v>1</v>
      </c>
      <c r="W102">
        <v>0</v>
      </c>
      <c r="X102">
        <v>103900845</v>
      </c>
      <c r="Y102">
        <v>4.9000000000000002E-2</v>
      </c>
      <c r="AA102">
        <v>44.12</v>
      </c>
      <c r="AB102">
        <v>0</v>
      </c>
      <c r="AC102">
        <v>0</v>
      </c>
      <c r="AD102">
        <v>0</v>
      </c>
      <c r="AE102">
        <v>9.0399999999999991</v>
      </c>
      <c r="AF102">
        <v>0</v>
      </c>
      <c r="AG102">
        <v>0</v>
      </c>
      <c r="AH102">
        <v>0</v>
      </c>
      <c r="AI102">
        <v>4.88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4.9000000000000002E-2</v>
      </c>
      <c r="AU102" t="s">
        <v>3</v>
      </c>
      <c r="AV102">
        <v>0</v>
      </c>
      <c r="AW102">
        <v>2</v>
      </c>
      <c r="AX102">
        <v>39610479</v>
      </c>
      <c r="AY102">
        <v>1</v>
      </c>
      <c r="AZ102">
        <v>0</v>
      </c>
      <c r="BA102">
        <v>97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Y102*Source!I43</f>
        <v>0.39200000000000002</v>
      </c>
      <c r="CY102">
        <f t="shared" si="15"/>
        <v>44.12</v>
      </c>
      <c r="CZ102">
        <f t="shared" si="16"/>
        <v>9.0399999999999991</v>
      </c>
      <c r="DA102">
        <f t="shared" si="17"/>
        <v>4.88</v>
      </c>
      <c r="DB102">
        <v>0</v>
      </c>
    </row>
    <row r="103" spans="1:106" x14ac:dyDescent="0.2">
      <c r="A103">
        <f>ROW(Source!A43)</f>
        <v>43</v>
      </c>
      <c r="B103">
        <v>39610380</v>
      </c>
      <c r="C103">
        <v>39610472</v>
      </c>
      <c r="D103">
        <v>36804580</v>
      </c>
      <c r="E103">
        <v>1</v>
      </c>
      <c r="F103">
        <v>1</v>
      </c>
      <c r="G103">
        <v>1</v>
      </c>
      <c r="H103">
        <v>3</v>
      </c>
      <c r="I103" t="s">
        <v>469</v>
      </c>
      <c r="J103" t="s">
        <v>470</v>
      </c>
      <c r="K103" t="s">
        <v>471</v>
      </c>
      <c r="L103">
        <v>1355</v>
      </c>
      <c r="N103">
        <v>1010</v>
      </c>
      <c r="O103" t="s">
        <v>148</v>
      </c>
      <c r="P103" t="s">
        <v>148</v>
      </c>
      <c r="Q103">
        <v>100</v>
      </c>
      <c r="W103">
        <v>0</v>
      </c>
      <c r="X103">
        <v>1794244060</v>
      </c>
      <c r="Y103">
        <v>1.4E-2</v>
      </c>
      <c r="AA103">
        <v>419.68</v>
      </c>
      <c r="AB103">
        <v>0</v>
      </c>
      <c r="AC103">
        <v>0</v>
      </c>
      <c r="AD103">
        <v>0</v>
      </c>
      <c r="AE103">
        <v>86</v>
      </c>
      <c r="AF103">
        <v>0</v>
      </c>
      <c r="AG103">
        <v>0</v>
      </c>
      <c r="AH103">
        <v>0</v>
      </c>
      <c r="AI103">
        <v>4.88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1.4E-2</v>
      </c>
      <c r="AU103" t="s">
        <v>3</v>
      </c>
      <c r="AV103">
        <v>0</v>
      </c>
      <c r="AW103">
        <v>2</v>
      </c>
      <c r="AX103">
        <v>39610480</v>
      </c>
      <c r="AY103">
        <v>1</v>
      </c>
      <c r="AZ103">
        <v>0</v>
      </c>
      <c r="BA103">
        <v>98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Y103*Source!I43</f>
        <v>0.112</v>
      </c>
      <c r="CY103">
        <f t="shared" si="15"/>
        <v>419.68</v>
      </c>
      <c r="CZ103">
        <f t="shared" si="16"/>
        <v>86</v>
      </c>
      <c r="DA103">
        <f t="shared" si="17"/>
        <v>4.88</v>
      </c>
      <c r="DB103">
        <v>0</v>
      </c>
    </row>
    <row r="104" spans="1:106" x14ac:dyDescent="0.2">
      <c r="A104">
        <f>ROW(Source!A43)</f>
        <v>43</v>
      </c>
      <c r="B104">
        <v>39610380</v>
      </c>
      <c r="C104">
        <v>39610472</v>
      </c>
      <c r="D104">
        <v>36805500</v>
      </c>
      <c r="E104">
        <v>1</v>
      </c>
      <c r="F104">
        <v>1</v>
      </c>
      <c r="G104">
        <v>1</v>
      </c>
      <c r="H104">
        <v>3</v>
      </c>
      <c r="I104" t="s">
        <v>472</v>
      </c>
      <c r="J104" t="s">
        <v>473</v>
      </c>
      <c r="K104" t="s">
        <v>474</v>
      </c>
      <c r="L104">
        <v>1346</v>
      </c>
      <c r="N104">
        <v>1009</v>
      </c>
      <c r="O104" t="s">
        <v>424</v>
      </c>
      <c r="P104" t="s">
        <v>424</v>
      </c>
      <c r="Q104">
        <v>1</v>
      </c>
      <c r="W104">
        <v>0</v>
      </c>
      <c r="X104">
        <v>-856710481</v>
      </c>
      <c r="Y104">
        <v>1E-3</v>
      </c>
      <c r="AA104">
        <v>649.28</v>
      </c>
      <c r="AB104">
        <v>0</v>
      </c>
      <c r="AC104">
        <v>0</v>
      </c>
      <c r="AD104">
        <v>0</v>
      </c>
      <c r="AE104">
        <v>133.05000000000001</v>
      </c>
      <c r="AF104">
        <v>0</v>
      </c>
      <c r="AG104">
        <v>0</v>
      </c>
      <c r="AH104">
        <v>0</v>
      </c>
      <c r="AI104">
        <v>4.88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1E-3</v>
      </c>
      <c r="AU104" t="s">
        <v>3</v>
      </c>
      <c r="AV104">
        <v>0</v>
      </c>
      <c r="AW104">
        <v>2</v>
      </c>
      <c r="AX104">
        <v>39610481</v>
      </c>
      <c r="AY104">
        <v>1</v>
      </c>
      <c r="AZ104">
        <v>0</v>
      </c>
      <c r="BA104">
        <v>99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Y104*Source!I43</f>
        <v>8.0000000000000002E-3</v>
      </c>
      <c r="CY104">
        <f t="shared" si="15"/>
        <v>649.28</v>
      </c>
      <c r="CZ104">
        <f t="shared" si="16"/>
        <v>133.05000000000001</v>
      </c>
      <c r="DA104">
        <f t="shared" si="17"/>
        <v>4.88</v>
      </c>
      <c r="DB104">
        <v>0</v>
      </c>
    </row>
    <row r="105" spans="1:106" x14ac:dyDescent="0.2">
      <c r="A105">
        <f>ROW(Source!A43)</f>
        <v>43</v>
      </c>
      <c r="B105">
        <v>39610380</v>
      </c>
      <c r="C105">
        <v>39610472</v>
      </c>
      <c r="D105">
        <v>36823140</v>
      </c>
      <c r="E105">
        <v>1</v>
      </c>
      <c r="F105">
        <v>1</v>
      </c>
      <c r="G105">
        <v>1</v>
      </c>
      <c r="H105">
        <v>3</v>
      </c>
      <c r="I105" t="s">
        <v>475</v>
      </c>
      <c r="J105" t="s">
        <v>476</v>
      </c>
      <c r="K105" t="s">
        <v>477</v>
      </c>
      <c r="L105">
        <v>1348</v>
      </c>
      <c r="N105">
        <v>1009</v>
      </c>
      <c r="O105" t="s">
        <v>237</v>
      </c>
      <c r="P105" t="s">
        <v>237</v>
      </c>
      <c r="Q105">
        <v>1000</v>
      </c>
      <c r="W105">
        <v>0</v>
      </c>
      <c r="X105">
        <v>426000481</v>
      </c>
      <c r="Y105">
        <v>1E-3</v>
      </c>
      <c r="AA105">
        <v>56120</v>
      </c>
      <c r="AB105">
        <v>0</v>
      </c>
      <c r="AC105">
        <v>0</v>
      </c>
      <c r="AD105">
        <v>0</v>
      </c>
      <c r="AE105">
        <v>11500</v>
      </c>
      <c r="AF105">
        <v>0</v>
      </c>
      <c r="AG105">
        <v>0</v>
      </c>
      <c r="AH105">
        <v>0</v>
      </c>
      <c r="AI105">
        <v>4.88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1E-3</v>
      </c>
      <c r="AU105" t="s">
        <v>3</v>
      </c>
      <c r="AV105">
        <v>0</v>
      </c>
      <c r="AW105">
        <v>2</v>
      </c>
      <c r="AX105">
        <v>39610482</v>
      </c>
      <c r="AY105">
        <v>1</v>
      </c>
      <c r="AZ105">
        <v>0</v>
      </c>
      <c r="BA105">
        <v>100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Y105*Source!I43</f>
        <v>8.0000000000000002E-3</v>
      </c>
      <c r="CY105">
        <f t="shared" si="15"/>
        <v>56120</v>
      </c>
      <c r="CZ105">
        <f t="shared" si="16"/>
        <v>11500</v>
      </c>
      <c r="DA105">
        <f t="shared" si="17"/>
        <v>4.88</v>
      </c>
      <c r="DB105">
        <v>0</v>
      </c>
    </row>
    <row r="106" spans="1:106" x14ac:dyDescent="0.2">
      <c r="A106">
        <f>ROW(Source!A43)</f>
        <v>43</v>
      </c>
      <c r="B106">
        <v>39610380</v>
      </c>
      <c r="C106">
        <v>39610472</v>
      </c>
      <c r="D106">
        <v>36838317</v>
      </c>
      <c r="E106">
        <v>1</v>
      </c>
      <c r="F106">
        <v>1</v>
      </c>
      <c r="G106">
        <v>1</v>
      </c>
      <c r="H106">
        <v>3</v>
      </c>
      <c r="I106" t="s">
        <v>435</v>
      </c>
      <c r="J106" t="s">
        <v>436</v>
      </c>
      <c r="K106" t="s">
        <v>437</v>
      </c>
      <c r="L106">
        <v>1346</v>
      </c>
      <c r="N106">
        <v>1009</v>
      </c>
      <c r="O106" t="s">
        <v>424</v>
      </c>
      <c r="P106" t="s">
        <v>424</v>
      </c>
      <c r="Q106">
        <v>1</v>
      </c>
      <c r="W106">
        <v>0</v>
      </c>
      <c r="X106">
        <v>210558753</v>
      </c>
      <c r="Y106">
        <v>3.5999999999999997E-2</v>
      </c>
      <c r="AA106">
        <v>139.57</v>
      </c>
      <c r="AB106">
        <v>0</v>
      </c>
      <c r="AC106">
        <v>0</v>
      </c>
      <c r="AD106">
        <v>0</v>
      </c>
      <c r="AE106">
        <v>28.6</v>
      </c>
      <c r="AF106">
        <v>0</v>
      </c>
      <c r="AG106">
        <v>0</v>
      </c>
      <c r="AH106">
        <v>0</v>
      </c>
      <c r="AI106">
        <v>4.88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3.5999999999999997E-2</v>
      </c>
      <c r="AU106" t="s">
        <v>3</v>
      </c>
      <c r="AV106">
        <v>0</v>
      </c>
      <c r="AW106">
        <v>2</v>
      </c>
      <c r="AX106">
        <v>39610483</v>
      </c>
      <c r="AY106">
        <v>1</v>
      </c>
      <c r="AZ106">
        <v>0</v>
      </c>
      <c r="BA106">
        <v>101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Y106*Source!I43</f>
        <v>0.28799999999999998</v>
      </c>
      <c r="CY106">
        <f t="shared" si="15"/>
        <v>139.57</v>
      </c>
      <c r="CZ106">
        <f t="shared" si="16"/>
        <v>28.6</v>
      </c>
      <c r="DA106">
        <f t="shared" si="17"/>
        <v>4.88</v>
      </c>
      <c r="DB106">
        <v>0</v>
      </c>
    </row>
    <row r="107" spans="1:106" x14ac:dyDescent="0.2">
      <c r="A107">
        <f>ROW(Source!A43)</f>
        <v>43</v>
      </c>
      <c r="B107">
        <v>39610380</v>
      </c>
      <c r="C107">
        <v>39610472</v>
      </c>
      <c r="D107">
        <v>36838470</v>
      </c>
      <c r="E107">
        <v>1</v>
      </c>
      <c r="F107">
        <v>1</v>
      </c>
      <c r="G107">
        <v>1</v>
      </c>
      <c r="H107">
        <v>3</v>
      </c>
      <c r="I107" t="s">
        <v>478</v>
      </c>
      <c r="J107" t="s">
        <v>479</v>
      </c>
      <c r="K107" t="s">
        <v>480</v>
      </c>
      <c r="L107">
        <v>1346</v>
      </c>
      <c r="N107">
        <v>1009</v>
      </c>
      <c r="O107" t="s">
        <v>424</v>
      </c>
      <c r="P107" t="s">
        <v>424</v>
      </c>
      <c r="Q107">
        <v>1</v>
      </c>
      <c r="W107">
        <v>0</v>
      </c>
      <c r="X107">
        <v>-1274984028</v>
      </c>
      <c r="Y107">
        <v>6.0000000000000001E-3</v>
      </c>
      <c r="AA107">
        <v>173.87</v>
      </c>
      <c r="AB107">
        <v>0</v>
      </c>
      <c r="AC107">
        <v>0</v>
      </c>
      <c r="AD107">
        <v>0</v>
      </c>
      <c r="AE107">
        <v>35.630000000000003</v>
      </c>
      <c r="AF107">
        <v>0</v>
      </c>
      <c r="AG107">
        <v>0</v>
      </c>
      <c r="AH107">
        <v>0</v>
      </c>
      <c r="AI107">
        <v>4.88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6.0000000000000001E-3</v>
      </c>
      <c r="AU107" t="s">
        <v>3</v>
      </c>
      <c r="AV107">
        <v>0</v>
      </c>
      <c r="AW107">
        <v>2</v>
      </c>
      <c r="AX107">
        <v>39610484</v>
      </c>
      <c r="AY107">
        <v>1</v>
      </c>
      <c r="AZ107">
        <v>0</v>
      </c>
      <c r="BA107">
        <v>102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Y107*Source!I43</f>
        <v>4.8000000000000001E-2</v>
      </c>
      <c r="CY107">
        <f t="shared" si="15"/>
        <v>173.87</v>
      </c>
      <c r="CZ107">
        <f t="shared" si="16"/>
        <v>35.630000000000003</v>
      </c>
      <c r="DA107">
        <f t="shared" si="17"/>
        <v>4.88</v>
      </c>
      <c r="DB107">
        <v>0</v>
      </c>
    </row>
    <row r="108" spans="1:106" x14ac:dyDescent="0.2">
      <c r="A108">
        <f>ROW(Source!A43)</f>
        <v>43</v>
      </c>
      <c r="B108">
        <v>39610380</v>
      </c>
      <c r="C108">
        <v>39610472</v>
      </c>
      <c r="D108">
        <v>36851945</v>
      </c>
      <c r="E108">
        <v>1</v>
      </c>
      <c r="F108">
        <v>1</v>
      </c>
      <c r="G108">
        <v>1</v>
      </c>
      <c r="H108">
        <v>3</v>
      </c>
      <c r="I108" t="s">
        <v>481</v>
      </c>
      <c r="J108" t="s">
        <v>482</v>
      </c>
      <c r="K108" t="s">
        <v>483</v>
      </c>
      <c r="L108">
        <v>1358</v>
      </c>
      <c r="N108">
        <v>1010</v>
      </c>
      <c r="O108" t="s">
        <v>484</v>
      </c>
      <c r="P108" t="s">
        <v>484</v>
      </c>
      <c r="Q108">
        <v>10</v>
      </c>
      <c r="W108">
        <v>0</v>
      </c>
      <c r="X108">
        <v>1386890308</v>
      </c>
      <c r="Y108">
        <v>0.1</v>
      </c>
      <c r="AA108">
        <v>190.32</v>
      </c>
      <c r="AB108">
        <v>0</v>
      </c>
      <c r="AC108">
        <v>0</v>
      </c>
      <c r="AD108">
        <v>0</v>
      </c>
      <c r="AE108">
        <v>39</v>
      </c>
      <c r="AF108">
        <v>0</v>
      </c>
      <c r="AG108">
        <v>0</v>
      </c>
      <c r="AH108">
        <v>0</v>
      </c>
      <c r="AI108">
        <v>4.88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0.1</v>
      </c>
      <c r="AU108" t="s">
        <v>3</v>
      </c>
      <c r="AV108">
        <v>0</v>
      </c>
      <c r="AW108">
        <v>2</v>
      </c>
      <c r="AX108">
        <v>39610485</v>
      </c>
      <c r="AY108">
        <v>1</v>
      </c>
      <c r="AZ108">
        <v>0</v>
      </c>
      <c r="BA108">
        <v>103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Y108*Source!I43</f>
        <v>0.8</v>
      </c>
      <c r="CY108">
        <f t="shared" si="15"/>
        <v>190.32</v>
      </c>
      <c r="CZ108">
        <f t="shared" si="16"/>
        <v>39</v>
      </c>
      <c r="DA108">
        <f t="shared" si="17"/>
        <v>4.88</v>
      </c>
      <c r="DB108">
        <v>0</v>
      </c>
    </row>
    <row r="109" spans="1:106" x14ac:dyDescent="0.2">
      <c r="A109">
        <f>ROW(Source!A43)</f>
        <v>43</v>
      </c>
      <c r="B109">
        <v>39610380</v>
      </c>
      <c r="C109">
        <v>39610472</v>
      </c>
      <c r="D109">
        <v>36873469</v>
      </c>
      <c r="E109">
        <v>1</v>
      </c>
      <c r="F109">
        <v>1</v>
      </c>
      <c r="G109">
        <v>1</v>
      </c>
      <c r="H109">
        <v>3</v>
      </c>
      <c r="I109" t="s">
        <v>130</v>
      </c>
      <c r="J109" t="s">
        <v>132</v>
      </c>
      <c r="K109" t="s">
        <v>131</v>
      </c>
      <c r="L109">
        <v>1354</v>
      </c>
      <c r="N109">
        <v>1010</v>
      </c>
      <c r="O109" t="s">
        <v>86</v>
      </c>
      <c r="P109" t="s">
        <v>86</v>
      </c>
      <c r="Q109">
        <v>1</v>
      </c>
      <c r="W109">
        <v>0</v>
      </c>
      <c r="X109">
        <v>1787171070</v>
      </c>
      <c r="Y109">
        <v>0.5</v>
      </c>
      <c r="AA109">
        <v>776.21</v>
      </c>
      <c r="AB109">
        <v>0</v>
      </c>
      <c r="AC109">
        <v>0</v>
      </c>
      <c r="AD109">
        <v>0</v>
      </c>
      <c r="AE109">
        <v>159.06</v>
      </c>
      <c r="AF109">
        <v>0</v>
      </c>
      <c r="AG109">
        <v>0</v>
      </c>
      <c r="AH109">
        <v>0</v>
      </c>
      <c r="AI109">
        <v>4.88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3</v>
      </c>
      <c r="AT109">
        <v>0.5</v>
      </c>
      <c r="AU109" t="s">
        <v>3</v>
      </c>
      <c r="AV109">
        <v>0</v>
      </c>
      <c r="AW109">
        <v>1</v>
      </c>
      <c r="AX109">
        <v>-1</v>
      </c>
      <c r="AY109">
        <v>0</v>
      </c>
      <c r="AZ109">
        <v>0</v>
      </c>
      <c r="BA109" t="s">
        <v>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Y109*Source!I43</f>
        <v>4</v>
      </c>
      <c r="CY109">
        <f t="shared" si="15"/>
        <v>776.21</v>
      </c>
      <c r="CZ109">
        <f t="shared" si="16"/>
        <v>159.06</v>
      </c>
      <c r="DA109">
        <f t="shared" si="17"/>
        <v>4.88</v>
      </c>
      <c r="DB109">
        <v>0</v>
      </c>
    </row>
    <row r="110" spans="1:106" x14ac:dyDescent="0.2">
      <c r="A110">
        <f>ROW(Source!A43)</f>
        <v>43</v>
      </c>
      <c r="B110">
        <v>39610380</v>
      </c>
      <c r="C110">
        <v>39610472</v>
      </c>
      <c r="D110">
        <v>36873470</v>
      </c>
      <c r="E110">
        <v>1</v>
      </c>
      <c r="F110">
        <v>1</v>
      </c>
      <c r="G110">
        <v>1</v>
      </c>
      <c r="H110">
        <v>3</v>
      </c>
      <c r="I110" t="s">
        <v>126</v>
      </c>
      <c r="J110" t="s">
        <v>128</v>
      </c>
      <c r="K110" t="s">
        <v>127</v>
      </c>
      <c r="L110">
        <v>1354</v>
      </c>
      <c r="N110">
        <v>1010</v>
      </c>
      <c r="O110" t="s">
        <v>86</v>
      </c>
      <c r="P110" t="s">
        <v>86</v>
      </c>
      <c r="Q110">
        <v>1</v>
      </c>
      <c r="W110">
        <v>0</v>
      </c>
      <c r="X110">
        <v>1482355325</v>
      </c>
      <c r="Y110">
        <v>0.5</v>
      </c>
      <c r="AA110">
        <v>776.21</v>
      </c>
      <c r="AB110">
        <v>0</v>
      </c>
      <c r="AC110">
        <v>0</v>
      </c>
      <c r="AD110">
        <v>0</v>
      </c>
      <c r="AE110">
        <v>159.06</v>
      </c>
      <c r="AF110">
        <v>0</v>
      </c>
      <c r="AG110">
        <v>0</v>
      </c>
      <c r="AH110">
        <v>0</v>
      </c>
      <c r="AI110">
        <v>4.88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0.5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Y110*Source!I43</f>
        <v>4</v>
      </c>
      <c r="CY110">
        <f t="shared" si="15"/>
        <v>776.21</v>
      </c>
      <c r="CZ110">
        <f t="shared" si="16"/>
        <v>159.06</v>
      </c>
      <c r="DA110">
        <f t="shared" si="17"/>
        <v>4.88</v>
      </c>
      <c r="DB110">
        <v>0</v>
      </c>
    </row>
    <row r="111" spans="1:106" x14ac:dyDescent="0.2">
      <c r="A111">
        <f>ROW(Source!A43)</f>
        <v>43</v>
      </c>
      <c r="B111">
        <v>39610380</v>
      </c>
      <c r="C111">
        <v>39610472</v>
      </c>
      <c r="D111">
        <v>36799065</v>
      </c>
      <c r="E111">
        <v>17</v>
      </c>
      <c r="F111">
        <v>1</v>
      </c>
      <c r="G111">
        <v>1</v>
      </c>
      <c r="H111">
        <v>3</v>
      </c>
      <c r="I111" t="s">
        <v>438</v>
      </c>
      <c r="J111" t="s">
        <v>3</v>
      </c>
      <c r="K111" t="s">
        <v>439</v>
      </c>
      <c r="L111">
        <v>1374</v>
      </c>
      <c r="N111">
        <v>1013</v>
      </c>
      <c r="O111" t="s">
        <v>440</v>
      </c>
      <c r="P111" t="s">
        <v>440</v>
      </c>
      <c r="Q111">
        <v>1</v>
      </c>
      <c r="W111">
        <v>0</v>
      </c>
      <c r="X111">
        <v>-1731369543</v>
      </c>
      <c r="Y111">
        <v>0.3</v>
      </c>
      <c r="AA111">
        <v>1</v>
      </c>
      <c r="AB111">
        <v>0</v>
      </c>
      <c r="AC111">
        <v>0</v>
      </c>
      <c r="AD111">
        <v>0</v>
      </c>
      <c r="AE111">
        <v>1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0.3</v>
      </c>
      <c r="AU111" t="s">
        <v>3</v>
      </c>
      <c r="AV111">
        <v>0</v>
      </c>
      <c r="AW111">
        <v>2</v>
      </c>
      <c r="AX111">
        <v>39610486</v>
      </c>
      <c r="AY111">
        <v>1</v>
      </c>
      <c r="AZ111">
        <v>0</v>
      </c>
      <c r="BA111">
        <v>104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Y111*Source!I43</f>
        <v>2.4</v>
      </c>
      <c r="CY111">
        <f t="shared" si="15"/>
        <v>1</v>
      </c>
      <c r="CZ111">
        <f t="shared" si="16"/>
        <v>1</v>
      </c>
      <c r="DA111">
        <f t="shared" si="17"/>
        <v>1</v>
      </c>
      <c r="DB111">
        <v>0</v>
      </c>
    </row>
    <row r="112" spans="1:106" x14ac:dyDescent="0.2">
      <c r="A112">
        <f>ROW(Source!A46)</f>
        <v>46</v>
      </c>
      <c r="B112">
        <v>39610380</v>
      </c>
      <c r="C112">
        <v>39610762</v>
      </c>
      <c r="D112">
        <v>37064878</v>
      </c>
      <c r="E112">
        <v>1</v>
      </c>
      <c r="F112">
        <v>1</v>
      </c>
      <c r="G112">
        <v>1</v>
      </c>
      <c r="H112">
        <v>1</v>
      </c>
      <c r="I112" t="s">
        <v>517</v>
      </c>
      <c r="J112" t="s">
        <v>3</v>
      </c>
      <c r="K112" t="s">
        <v>518</v>
      </c>
      <c r="L112">
        <v>1191</v>
      </c>
      <c r="N112">
        <v>1013</v>
      </c>
      <c r="O112" t="s">
        <v>405</v>
      </c>
      <c r="P112" t="s">
        <v>405</v>
      </c>
      <c r="Q112">
        <v>1</v>
      </c>
      <c r="W112">
        <v>0</v>
      </c>
      <c r="X112">
        <v>-1081351934</v>
      </c>
      <c r="Y112">
        <v>2.31</v>
      </c>
      <c r="AA112">
        <v>0</v>
      </c>
      <c r="AB112">
        <v>0</v>
      </c>
      <c r="AC112">
        <v>0</v>
      </c>
      <c r="AD112">
        <v>45.87</v>
      </c>
      <c r="AE112">
        <v>0</v>
      </c>
      <c r="AF112">
        <v>0</v>
      </c>
      <c r="AG112">
        <v>0</v>
      </c>
      <c r="AH112">
        <v>9.4</v>
      </c>
      <c r="AI112">
        <v>1</v>
      </c>
      <c r="AJ112">
        <v>1</v>
      </c>
      <c r="AK112">
        <v>1</v>
      </c>
      <c r="AL112">
        <v>4.88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2.31</v>
      </c>
      <c r="AU112" t="s">
        <v>3</v>
      </c>
      <c r="AV112">
        <v>1</v>
      </c>
      <c r="AW112">
        <v>2</v>
      </c>
      <c r="AX112">
        <v>39610763</v>
      </c>
      <c r="AY112">
        <v>1</v>
      </c>
      <c r="AZ112">
        <v>0</v>
      </c>
      <c r="BA112">
        <v>105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Y112*Source!I46</f>
        <v>46.2</v>
      </c>
      <c r="CY112">
        <f>AD112</f>
        <v>45.87</v>
      </c>
      <c r="CZ112">
        <f>AH112</f>
        <v>9.4</v>
      </c>
      <c r="DA112">
        <f>AL112</f>
        <v>4.88</v>
      </c>
      <c r="DB112">
        <v>0</v>
      </c>
    </row>
    <row r="113" spans="1:106" x14ac:dyDescent="0.2">
      <c r="A113">
        <f>ROW(Source!A46)</f>
        <v>46</v>
      </c>
      <c r="B113">
        <v>39610380</v>
      </c>
      <c r="C113">
        <v>39610762</v>
      </c>
      <c r="D113">
        <v>37064876</v>
      </c>
      <c r="E113">
        <v>1</v>
      </c>
      <c r="F113">
        <v>1</v>
      </c>
      <c r="G113">
        <v>1</v>
      </c>
      <c r="H113">
        <v>1</v>
      </c>
      <c r="I113" t="s">
        <v>406</v>
      </c>
      <c r="J113" t="s">
        <v>3</v>
      </c>
      <c r="K113" t="s">
        <v>407</v>
      </c>
      <c r="L113">
        <v>1191</v>
      </c>
      <c r="N113">
        <v>1013</v>
      </c>
      <c r="O113" t="s">
        <v>405</v>
      </c>
      <c r="P113" t="s">
        <v>405</v>
      </c>
      <c r="Q113">
        <v>1</v>
      </c>
      <c r="W113">
        <v>0</v>
      </c>
      <c r="X113">
        <v>-1417349443</v>
      </c>
      <c r="Y113">
        <v>0.04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4.88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0.04</v>
      </c>
      <c r="AU113" t="s">
        <v>3</v>
      </c>
      <c r="AV113">
        <v>2</v>
      </c>
      <c r="AW113">
        <v>2</v>
      </c>
      <c r="AX113">
        <v>39610764</v>
      </c>
      <c r="AY113">
        <v>1</v>
      </c>
      <c r="AZ113">
        <v>0</v>
      </c>
      <c r="BA113">
        <v>106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Y113*Source!I46</f>
        <v>0.8</v>
      </c>
      <c r="CY113">
        <f>AD113</f>
        <v>0</v>
      </c>
      <c r="CZ113">
        <f>AH113</f>
        <v>0</v>
      </c>
      <c r="DA113">
        <f>AL113</f>
        <v>1</v>
      </c>
      <c r="DB113">
        <v>0</v>
      </c>
    </row>
    <row r="114" spans="1:106" x14ac:dyDescent="0.2">
      <c r="A114">
        <f>ROW(Source!A46)</f>
        <v>46</v>
      </c>
      <c r="B114">
        <v>39610380</v>
      </c>
      <c r="C114">
        <v>39610762</v>
      </c>
      <c r="D114">
        <v>36882159</v>
      </c>
      <c r="E114">
        <v>1</v>
      </c>
      <c r="F114">
        <v>1</v>
      </c>
      <c r="G114">
        <v>1</v>
      </c>
      <c r="H114">
        <v>2</v>
      </c>
      <c r="I114" t="s">
        <v>408</v>
      </c>
      <c r="J114" t="s">
        <v>409</v>
      </c>
      <c r="K114" t="s">
        <v>410</v>
      </c>
      <c r="L114">
        <v>1368</v>
      </c>
      <c r="N114">
        <v>1011</v>
      </c>
      <c r="O114" t="s">
        <v>411</v>
      </c>
      <c r="P114" t="s">
        <v>411</v>
      </c>
      <c r="Q114">
        <v>1</v>
      </c>
      <c r="W114">
        <v>0</v>
      </c>
      <c r="X114">
        <v>-1718674368</v>
      </c>
      <c r="Y114">
        <v>0.02</v>
      </c>
      <c r="AA114">
        <v>0</v>
      </c>
      <c r="AB114">
        <v>546.51</v>
      </c>
      <c r="AC114">
        <v>13.5</v>
      </c>
      <c r="AD114">
        <v>0</v>
      </c>
      <c r="AE114">
        <v>0</v>
      </c>
      <c r="AF114">
        <v>111.99</v>
      </c>
      <c r="AG114">
        <v>13.5</v>
      </c>
      <c r="AH114">
        <v>0</v>
      </c>
      <c r="AI114">
        <v>1</v>
      </c>
      <c r="AJ114">
        <v>4.88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0.02</v>
      </c>
      <c r="AU114" t="s">
        <v>3</v>
      </c>
      <c r="AV114">
        <v>0</v>
      </c>
      <c r="AW114">
        <v>2</v>
      </c>
      <c r="AX114">
        <v>39610765</v>
      </c>
      <c r="AY114">
        <v>1</v>
      </c>
      <c r="AZ114">
        <v>0</v>
      </c>
      <c r="BA114">
        <v>107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Y114*Source!I46</f>
        <v>0.4</v>
      </c>
      <c r="CY114">
        <f>AB114</f>
        <v>546.51</v>
      </c>
      <c r="CZ114">
        <f>AF114</f>
        <v>111.99</v>
      </c>
      <c r="DA114">
        <f>AJ114</f>
        <v>4.88</v>
      </c>
      <c r="DB114">
        <v>0</v>
      </c>
    </row>
    <row r="115" spans="1:106" x14ac:dyDescent="0.2">
      <c r="A115">
        <f>ROW(Source!A46)</f>
        <v>46</v>
      </c>
      <c r="B115">
        <v>39610380</v>
      </c>
      <c r="C115">
        <v>39610762</v>
      </c>
      <c r="D115">
        <v>36883554</v>
      </c>
      <c r="E115">
        <v>1</v>
      </c>
      <c r="F115">
        <v>1</v>
      </c>
      <c r="G115">
        <v>1</v>
      </c>
      <c r="H115">
        <v>2</v>
      </c>
      <c r="I115" t="s">
        <v>412</v>
      </c>
      <c r="J115" t="s">
        <v>413</v>
      </c>
      <c r="K115" t="s">
        <v>414</v>
      </c>
      <c r="L115">
        <v>1368</v>
      </c>
      <c r="N115">
        <v>1011</v>
      </c>
      <c r="O115" t="s">
        <v>411</v>
      </c>
      <c r="P115" t="s">
        <v>411</v>
      </c>
      <c r="Q115">
        <v>1</v>
      </c>
      <c r="W115">
        <v>0</v>
      </c>
      <c r="X115">
        <v>1372534845</v>
      </c>
      <c r="Y115">
        <v>0.02</v>
      </c>
      <c r="AA115">
        <v>0</v>
      </c>
      <c r="AB115">
        <v>320.66000000000003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4.88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0.02</v>
      </c>
      <c r="AU115" t="s">
        <v>3</v>
      </c>
      <c r="AV115">
        <v>0</v>
      </c>
      <c r="AW115">
        <v>2</v>
      </c>
      <c r="AX115">
        <v>39610766</v>
      </c>
      <c r="AY115">
        <v>1</v>
      </c>
      <c r="AZ115">
        <v>0</v>
      </c>
      <c r="BA115">
        <v>108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Y115*Source!I46</f>
        <v>0.4</v>
      </c>
      <c r="CY115">
        <f>AB115</f>
        <v>320.66000000000003</v>
      </c>
      <c r="CZ115">
        <f>AF115</f>
        <v>65.709999999999994</v>
      </c>
      <c r="DA115">
        <f>AJ115</f>
        <v>4.88</v>
      </c>
      <c r="DB115">
        <v>0</v>
      </c>
    </row>
    <row r="116" spans="1:106" x14ac:dyDescent="0.2">
      <c r="A116">
        <f>ROW(Source!A46)</f>
        <v>46</v>
      </c>
      <c r="B116">
        <v>39610380</v>
      </c>
      <c r="C116">
        <v>39610762</v>
      </c>
      <c r="D116">
        <v>36838317</v>
      </c>
      <c r="E116">
        <v>1</v>
      </c>
      <c r="F116">
        <v>1</v>
      </c>
      <c r="G116">
        <v>1</v>
      </c>
      <c r="H116">
        <v>3</v>
      </c>
      <c r="I116" t="s">
        <v>435</v>
      </c>
      <c r="J116" t="s">
        <v>436</v>
      </c>
      <c r="K116" t="s">
        <v>437</v>
      </c>
      <c r="L116">
        <v>1346</v>
      </c>
      <c r="N116">
        <v>1009</v>
      </c>
      <c r="O116" t="s">
        <v>424</v>
      </c>
      <c r="P116" t="s">
        <v>424</v>
      </c>
      <c r="Q116">
        <v>1</v>
      </c>
      <c r="W116">
        <v>0</v>
      </c>
      <c r="X116">
        <v>210558753</v>
      </c>
      <c r="Y116">
        <v>4.0000000000000001E-3</v>
      </c>
      <c r="AA116">
        <v>139.57</v>
      </c>
      <c r="AB116">
        <v>0</v>
      </c>
      <c r="AC116">
        <v>0</v>
      </c>
      <c r="AD116">
        <v>0</v>
      </c>
      <c r="AE116">
        <v>28.6</v>
      </c>
      <c r="AF116">
        <v>0</v>
      </c>
      <c r="AG116">
        <v>0</v>
      </c>
      <c r="AH116">
        <v>0</v>
      </c>
      <c r="AI116">
        <v>4.88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4.0000000000000001E-3</v>
      </c>
      <c r="AU116" t="s">
        <v>3</v>
      </c>
      <c r="AV116">
        <v>0</v>
      </c>
      <c r="AW116">
        <v>2</v>
      </c>
      <c r="AX116">
        <v>39610767</v>
      </c>
      <c r="AY116">
        <v>1</v>
      </c>
      <c r="AZ116">
        <v>0</v>
      </c>
      <c r="BA116">
        <v>109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Y116*Source!I46</f>
        <v>0.08</v>
      </c>
      <c r="CY116">
        <f>AA116</f>
        <v>139.57</v>
      </c>
      <c r="CZ116">
        <f>AE116</f>
        <v>28.6</v>
      </c>
      <c r="DA116">
        <f>AI116</f>
        <v>4.88</v>
      </c>
      <c r="DB116">
        <v>0</v>
      </c>
    </row>
    <row r="117" spans="1:106" x14ac:dyDescent="0.2">
      <c r="A117">
        <f>ROW(Source!A46)</f>
        <v>46</v>
      </c>
      <c r="B117">
        <v>39610380</v>
      </c>
      <c r="C117">
        <v>39610762</v>
      </c>
      <c r="D117">
        <v>36873467</v>
      </c>
      <c r="E117">
        <v>1</v>
      </c>
      <c r="F117">
        <v>1</v>
      </c>
      <c r="G117">
        <v>1</v>
      </c>
      <c r="H117">
        <v>3</v>
      </c>
      <c r="I117" t="s">
        <v>138</v>
      </c>
      <c r="J117" t="s">
        <v>140</v>
      </c>
      <c r="K117" t="s">
        <v>139</v>
      </c>
      <c r="L117">
        <v>1354</v>
      </c>
      <c r="N117">
        <v>1010</v>
      </c>
      <c r="O117" t="s">
        <v>86</v>
      </c>
      <c r="P117" t="s">
        <v>86</v>
      </c>
      <c r="Q117">
        <v>1</v>
      </c>
      <c r="W117">
        <v>0</v>
      </c>
      <c r="X117">
        <v>45999523</v>
      </c>
      <c r="Y117">
        <v>1</v>
      </c>
      <c r="AA117">
        <v>910.51</v>
      </c>
      <c r="AB117">
        <v>0</v>
      </c>
      <c r="AC117">
        <v>0</v>
      </c>
      <c r="AD117">
        <v>0</v>
      </c>
      <c r="AE117">
        <v>186.58</v>
      </c>
      <c r="AF117">
        <v>0</v>
      </c>
      <c r="AG117">
        <v>0</v>
      </c>
      <c r="AH117">
        <v>0</v>
      </c>
      <c r="AI117">
        <v>4.88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1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Y117*Source!I46</f>
        <v>20</v>
      </c>
      <c r="CY117">
        <f>AA117</f>
        <v>910.51</v>
      </c>
      <c r="CZ117">
        <f>AE117</f>
        <v>186.58</v>
      </c>
      <c r="DA117">
        <f>AI117</f>
        <v>4.88</v>
      </c>
      <c r="DB117">
        <v>0</v>
      </c>
    </row>
    <row r="118" spans="1:106" x14ac:dyDescent="0.2">
      <c r="A118">
        <f>ROW(Source!A46)</f>
        <v>46</v>
      </c>
      <c r="B118">
        <v>39610380</v>
      </c>
      <c r="C118">
        <v>39610762</v>
      </c>
      <c r="D118">
        <v>36799065</v>
      </c>
      <c r="E118">
        <v>17</v>
      </c>
      <c r="F118">
        <v>1</v>
      </c>
      <c r="G118">
        <v>1</v>
      </c>
      <c r="H118">
        <v>3</v>
      </c>
      <c r="I118" t="s">
        <v>438</v>
      </c>
      <c r="J118" t="s">
        <v>3</v>
      </c>
      <c r="K118" t="s">
        <v>439</v>
      </c>
      <c r="L118">
        <v>1374</v>
      </c>
      <c r="N118">
        <v>1013</v>
      </c>
      <c r="O118" t="s">
        <v>440</v>
      </c>
      <c r="P118" t="s">
        <v>440</v>
      </c>
      <c r="Q118">
        <v>1</v>
      </c>
      <c r="W118">
        <v>0</v>
      </c>
      <c r="X118">
        <v>-1731369543</v>
      </c>
      <c r="Y118">
        <v>0.43</v>
      </c>
      <c r="AA118">
        <v>1</v>
      </c>
      <c r="AB118">
        <v>0</v>
      </c>
      <c r="AC118">
        <v>0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0.43</v>
      </c>
      <c r="AU118" t="s">
        <v>3</v>
      </c>
      <c r="AV118">
        <v>0</v>
      </c>
      <c r="AW118">
        <v>2</v>
      </c>
      <c r="AX118">
        <v>39610768</v>
      </c>
      <c r="AY118">
        <v>1</v>
      </c>
      <c r="AZ118">
        <v>0</v>
      </c>
      <c r="BA118">
        <v>110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Y118*Source!I46</f>
        <v>8.6</v>
      </c>
      <c r="CY118">
        <f>AA118</f>
        <v>1</v>
      </c>
      <c r="CZ118">
        <f>AE118</f>
        <v>1</v>
      </c>
      <c r="DA118">
        <f>AI118</f>
        <v>1</v>
      </c>
      <c r="DB118">
        <v>0</v>
      </c>
    </row>
    <row r="119" spans="1:106" x14ac:dyDescent="0.2">
      <c r="A119">
        <f>ROW(Source!A48)</f>
        <v>48</v>
      </c>
      <c r="B119">
        <v>39610380</v>
      </c>
      <c r="C119">
        <v>39613937</v>
      </c>
      <c r="D119">
        <v>37080781</v>
      </c>
      <c r="E119">
        <v>1</v>
      </c>
      <c r="F119">
        <v>1</v>
      </c>
      <c r="G119">
        <v>1</v>
      </c>
      <c r="H119">
        <v>1</v>
      </c>
      <c r="I119" t="s">
        <v>558</v>
      </c>
      <c r="J119" t="s">
        <v>3</v>
      </c>
      <c r="K119" t="s">
        <v>559</v>
      </c>
      <c r="L119">
        <v>1191</v>
      </c>
      <c r="N119">
        <v>1013</v>
      </c>
      <c r="O119" t="s">
        <v>405</v>
      </c>
      <c r="P119" t="s">
        <v>405</v>
      </c>
      <c r="Q119">
        <v>1</v>
      </c>
      <c r="W119">
        <v>0</v>
      </c>
      <c r="X119">
        <v>912892513</v>
      </c>
      <c r="Y119">
        <v>34.56</v>
      </c>
      <c r="AA119">
        <v>0</v>
      </c>
      <c r="AB119">
        <v>0</v>
      </c>
      <c r="AC119">
        <v>0</v>
      </c>
      <c r="AD119">
        <v>48.41</v>
      </c>
      <c r="AE119">
        <v>0</v>
      </c>
      <c r="AF119">
        <v>0</v>
      </c>
      <c r="AG119">
        <v>0</v>
      </c>
      <c r="AH119">
        <v>9.92</v>
      </c>
      <c r="AI119">
        <v>1</v>
      </c>
      <c r="AJ119">
        <v>1</v>
      </c>
      <c r="AK119">
        <v>1</v>
      </c>
      <c r="AL119">
        <v>4.88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34.56</v>
      </c>
      <c r="AU119" t="s">
        <v>3</v>
      </c>
      <c r="AV119">
        <v>1</v>
      </c>
      <c r="AW119">
        <v>2</v>
      </c>
      <c r="AX119">
        <v>39613938</v>
      </c>
      <c r="AY119">
        <v>1</v>
      </c>
      <c r="AZ119">
        <v>0</v>
      </c>
      <c r="BA119">
        <v>111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Y119*Source!I48</f>
        <v>1.3824000000000001</v>
      </c>
      <c r="CY119">
        <f>AD119</f>
        <v>48.41</v>
      </c>
      <c r="CZ119">
        <f>AH119</f>
        <v>9.92</v>
      </c>
      <c r="DA119">
        <f>AL119</f>
        <v>4.88</v>
      </c>
      <c r="DB119">
        <v>0</v>
      </c>
    </row>
    <row r="120" spans="1:106" x14ac:dyDescent="0.2">
      <c r="A120">
        <f>ROW(Source!A48)</f>
        <v>48</v>
      </c>
      <c r="B120">
        <v>39610380</v>
      </c>
      <c r="C120">
        <v>39613937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406</v>
      </c>
      <c r="J120" t="s">
        <v>3</v>
      </c>
      <c r="K120" t="s">
        <v>407</v>
      </c>
      <c r="L120">
        <v>1191</v>
      </c>
      <c r="N120">
        <v>1013</v>
      </c>
      <c r="O120" t="s">
        <v>405</v>
      </c>
      <c r="P120" t="s">
        <v>405</v>
      </c>
      <c r="Q120">
        <v>1</v>
      </c>
      <c r="W120">
        <v>0</v>
      </c>
      <c r="X120">
        <v>-1417349443</v>
      </c>
      <c r="Y120">
        <v>0.05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4.88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0.05</v>
      </c>
      <c r="AU120" t="s">
        <v>3</v>
      </c>
      <c r="AV120">
        <v>2</v>
      </c>
      <c r="AW120">
        <v>2</v>
      </c>
      <c r="AX120">
        <v>39613939</v>
      </c>
      <c r="AY120">
        <v>1</v>
      </c>
      <c r="AZ120">
        <v>0</v>
      </c>
      <c r="BA120">
        <v>112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Y120*Source!I48</f>
        <v>2E-3</v>
      </c>
      <c r="CY120">
        <f>AD120</f>
        <v>0</v>
      </c>
      <c r="CZ120">
        <f>AH120</f>
        <v>0</v>
      </c>
      <c r="DA120">
        <f>AL120</f>
        <v>1</v>
      </c>
      <c r="DB120">
        <v>0</v>
      </c>
    </row>
    <row r="121" spans="1:106" x14ac:dyDescent="0.2">
      <c r="A121">
        <f>ROW(Source!A48)</f>
        <v>48</v>
      </c>
      <c r="B121">
        <v>39610380</v>
      </c>
      <c r="C121">
        <v>39613937</v>
      </c>
      <c r="D121">
        <v>36882159</v>
      </c>
      <c r="E121">
        <v>1</v>
      </c>
      <c r="F121">
        <v>1</v>
      </c>
      <c r="G121">
        <v>1</v>
      </c>
      <c r="H121">
        <v>2</v>
      </c>
      <c r="I121" t="s">
        <v>408</v>
      </c>
      <c r="J121" t="s">
        <v>409</v>
      </c>
      <c r="K121" t="s">
        <v>410</v>
      </c>
      <c r="L121">
        <v>1368</v>
      </c>
      <c r="N121">
        <v>1011</v>
      </c>
      <c r="O121" t="s">
        <v>411</v>
      </c>
      <c r="P121" t="s">
        <v>411</v>
      </c>
      <c r="Q121">
        <v>1</v>
      </c>
      <c r="W121">
        <v>0</v>
      </c>
      <c r="X121">
        <v>-1718674368</v>
      </c>
      <c r="Y121">
        <v>0.03</v>
      </c>
      <c r="AA121">
        <v>0</v>
      </c>
      <c r="AB121">
        <v>546.51</v>
      </c>
      <c r="AC121">
        <v>13.5</v>
      </c>
      <c r="AD121">
        <v>0</v>
      </c>
      <c r="AE121">
        <v>0</v>
      </c>
      <c r="AF121">
        <v>111.99</v>
      </c>
      <c r="AG121">
        <v>13.5</v>
      </c>
      <c r="AH121">
        <v>0</v>
      </c>
      <c r="AI121">
        <v>1</v>
      </c>
      <c r="AJ121">
        <v>4.88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0.03</v>
      </c>
      <c r="AU121" t="s">
        <v>3</v>
      </c>
      <c r="AV121">
        <v>0</v>
      </c>
      <c r="AW121">
        <v>2</v>
      </c>
      <c r="AX121">
        <v>39613940</v>
      </c>
      <c r="AY121">
        <v>1</v>
      </c>
      <c r="AZ121">
        <v>0</v>
      </c>
      <c r="BA121">
        <v>113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Y121*Source!I48</f>
        <v>1.1999999999999999E-3</v>
      </c>
      <c r="CY121">
        <f>AB121</f>
        <v>546.51</v>
      </c>
      <c r="CZ121">
        <f>AF121</f>
        <v>111.99</v>
      </c>
      <c r="DA121">
        <f>AJ121</f>
        <v>4.88</v>
      </c>
      <c r="DB121">
        <v>0</v>
      </c>
    </row>
    <row r="122" spans="1:106" x14ac:dyDescent="0.2">
      <c r="A122">
        <f>ROW(Source!A48)</f>
        <v>48</v>
      </c>
      <c r="B122">
        <v>39610380</v>
      </c>
      <c r="C122">
        <v>39613937</v>
      </c>
      <c r="D122">
        <v>36883554</v>
      </c>
      <c r="E122">
        <v>1</v>
      </c>
      <c r="F122">
        <v>1</v>
      </c>
      <c r="G122">
        <v>1</v>
      </c>
      <c r="H122">
        <v>2</v>
      </c>
      <c r="I122" t="s">
        <v>412</v>
      </c>
      <c r="J122" t="s">
        <v>413</v>
      </c>
      <c r="K122" t="s">
        <v>414</v>
      </c>
      <c r="L122">
        <v>1368</v>
      </c>
      <c r="N122">
        <v>1011</v>
      </c>
      <c r="O122" t="s">
        <v>411</v>
      </c>
      <c r="P122" t="s">
        <v>411</v>
      </c>
      <c r="Q122">
        <v>1</v>
      </c>
      <c r="W122">
        <v>0</v>
      </c>
      <c r="X122">
        <v>1372534845</v>
      </c>
      <c r="Y122">
        <v>0.02</v>
      </c>
      <c r="AA122">
        <v>0</v>
      </c>
      <c r="AB122">
        <v>320.66000000000003</v>
      </c>
      <c r="AC122">
        <v>11.6</v>
      </c>
      <c r="AD122">
        <v>0</v>
      </c>
      <c r="AE122">
        <v>0</v>
      </c>
      <c r="AF122">
        <v>65.709999999999994</v>
      </c>
      <c r="AG122">
        <v>11.6</v>
      </c>
      <c r="AH122">
        <v>0</v>
      </c>
      <c r="AI122">
        <v>1</v>
      </c>
      <c r="AJ122">
        <v>4.88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0.02</v>
      </c>
      <c r="AU122" t="s">
        <v>3</v>
      </c>
      <c r="AV122">
        <v>0</v>
      </c>
      <c r="AW122">
        <v>2</v>
      </c>
      <c r="AX122">
        <v>39613941</v>
      </c>
      <c r="AY122">
        <v>1</v>
      </c>
      <c r="AZ122">
        <v>0</v>
      </c>
      <c r="BA122">
        <v>114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Y122*Source!I48</f>
        <v>8.0000000000000004E-4</v>
      </c>
      <c r="CY122">
        <f>AB122</f>
        <v>320.66000000000003</v>
      </c>
      <c r="CZ122">
        <f>AF122</f>
        <v>65.709999999999994</v>
      </c>
      <c r="DA122">
        <f>AJ122</f>
        <v>4.88</v>
      </c>
      <c r="DB122">
        <v>0</v>
      </c>
    </row>
    <row r="123" spans="1:106" x14ac:dyDescent="0.2">
      <c r="A123">
        <f>ROW(Source!A48)</f>
        <v>48</v>
      </c>
      <c r="B123">
        <v>39610380</v>
      </c>
      <c r="C123">
        <v>39613937</v>
      </c>
      <c r="D123">
        <v>36802094</v>
      </c>
      <c r="E123">
        <v>1</v>
      </c>
      <c r="F123">
        <v>1</v>
      </c>
      <c r="G123">
        <v>1</v>
      </c>
      <c r="H123">
        <v>3</v>
      </c>
      <c r="I123" t="s">
        <v>466</v>
      </c>
      <c r="J123" t="s">
        <v>467</v>
      </c>
      <c r="K123" t="s">
        <v>468</v>
      </c>
      <c r="L123">
        <v>1346</v>
      </c>
      <c r="N123">
        <v>1009</v>
      </c>
      <c r="O123" t="s">
        <v>424</v>
      </c>
      <c r="P123" t="s">
        <v>424</v>
      </c>
      <c r="Q123">
        <v>1</v>
      </c>
      <c r="W123">
        <v>0</v>
      </c>
      <c r="X123">
        <v>-1088866022</v>
      </c>
      <c r="Y123">
        <v>0.11</v>
      </c>
      <c r="AA123">
        <v>148.35</v>
      </c>
      <c r="AB123">
        <v>0</v>
      </c>
      <c r="AC123">
        <v>0</v>
      </c>
      <c r="AD123">
        <v>0</v>
      </c>
      <c r="AE123">
        <v>30.4</v>
      </c>
      <c r="AF123">
        <v>0</v>
      </c>
      <c r="AG123">
        <v>0</v>
      </c>
      <c r="AH123">
        <v>0</v>
      </c>
      <c r="AI123">
        <v>4.88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0.11</v>
      </c>
      <c r="AU123" t="s">
        <v>3</v>
      </c>
      <c r="AV123">
        <v>0</v>
      </c>
      <c r="AW123">
        <v>2</v>
      </c>
      <c r="AX123">
        <v>39613942</v>
      </c>
      <c r="AY123">
        <v>1</v>
      </c>
      <c r="AZ123">
        <v>0</v>
      </c>
      <c r="BA123">
        <v>115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Y123*Source!I48</f>
        <v>4.4000000000000003E-3</v>
      </c>
      <c r="CY123">
        <f t="shared" ref="CY123:CY129" si="18">AA123</f>
        <v>148.35</v>
      </c>
      <c r="CZ123">
        <f t="shared" ref="CZ123:CZ129" si="19">AE123</f>
        <v>30.4</v>
      </c>
      <c r="DA123">
        <f t="shared" ref="DA123:DA129" si="20">AI123</f>
        <v>4.88</v>
      </c>
      <c r="DB123">
        <v>0</v>
      </c>
    </row>
    <row r="124" spans="1:106" x14ac:dyDescent="0.2">
      <c r="A124">
        <f>ROW(Source!A48)</f>
        <v>48</v>
      </c>
      <c r="B124">
        <v>39610380</v>
      </c>
      <c r="C124">
        <v>39613937</v>
      </c>
      <c r="D124">
        <v>36804580</v>
      </c>
      <c r="E124">
        <v>1</v>
      </c>
      <c r="F124">
        <v>1</v>
      </c>
      <c r="G124">
        <v>1</v>
      </c>
      <c r="H124">
        <v>3</v>
      </c>
      <c r="I124" t="s">
        <v>469</v>
      </c>
      <c r="J124" t="s">
        <v>470</v>
      </c>
      <c r="K124" t="s">
        <v>471</v>
      </c>
      <c r="L124">
        <v>1355</v>
      </c>
      <c r="N124">
        <v>1010</v>
      </c>
      <c r="O124" t="s">
        <v>148</v>
      </c>
      <c r="P124" t="s">
        <v>148</v>
      </c>
      <c r="Q124">
        <v>100</v>
      </c>
      <c r="W124">
        <v>0</v>
      </c>
      <c r="X124">
        <v>1794244060</v>
      </c>
      <c r="Y124">
        <v>1.02</v>
      </c>
      <c r="AA124">
        <v>419.68</v>
      </c>
      <c r="AB124">
        <v>0</v>
      </c>
      <c r="AC124">
        <v>0</v>
      </c>
      <c r="AD124">
        <v>0</v>
      </c>
      <c r="AE124">
        <v>86</v>
      </c>
      <c r="AF124">
        <v>0</v>
      </c>
      <c r="AG124">
        <v>0</v>
      </c>
      <c r="AH124">
        <v>0</v>
      </c>
      <c r="AI124">
        <v>4.88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1.02</v>
      </c>
      <c r="AU124" t="s">
        <v>3</v>
      </c>
      <c r="AV124">
        <v>0</v>
      </c>
      <c r="AW124">
        <v>2</v>
      </c>
      <c r="AX124">
        <v>39613943</v>
      </c>
      <c r="AY124">
        <v>1</v>
      </c>
      <c r="AZ124">
        <v>0</v>
      </c>
      <c r="BA124">
        <v>116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Y124*Source!I48</f>
        <v>4.0800000000000003E-2</v>
      </c>
      <c r="CY124">
        <f t="shared" si="18"/>
        <v>419.68</v>
      </c>
      <c r="CZ124">
        <f t="shared" si="19"/>
        <v>86</v>
      </c>
      <c r="DA124">
        <f t="shared" si="20"/>
        <v>4.88</v>
      </c>
      <c r="DB124">
        <v>0</v>
      </c>
    </row>
    <row r="125" spans="1:106" x14ac:dyDescent="0.2">
      <c r="A125">
        <f>ROW(Source!A48)</f>
        <v>48</v>
      </c>
      <c r="B125">
        <v>39610380</v>
      </c>
      <c r="C125">
        <v>39613937</v>
      </c>
      <c r="D125">
        <v>36804940</v>
      </c>
      <c r="E125">
        <v>1</v>
      </c>
      <c r="F125">
        <v>1</v>
      </c>
      <c r="G125">
        <v>1</v>
      </c>
      <c r="H125">
        <v>3</v>
      </c>
      <c r="I125" t="s">
        <v>562</v>
      </c>
      <c r="J125" t="s">
        <v>563</v>
      </c>
      <c r="K125" t="s">
        <v>564</v>
      </c>
      <c r="L125">
        <v>1348</v>
      </c>
      <c r="N125">
        <v>1009</v>
      </c>
      <c r="O125" t="s">
        <v>237</v>
      </c>
      <c r="P125" t="s">
        <v>237</v>
      </c>
      <c r="Q125">
        <v>1000</v>
      </c>
      <c r="W125">
        <v>0</v>
      </c>
      <c r="X125">
        <v>797358079</v>
      </c>
      <c r="Y125">
        <v>1.6000000000000001E-4</v>
      </c>
      <c r="AA125">
        <v>145424</v>
      </c>
      <c r="AB125">
        <v>0</v>
      </c>
      <c r="AC125">
        <v>0</v>
      </c>
      <c r="AD125">
        <v>0</v>
      </c>
      <c r="AE125">
        <v>29800</v>
      </c>
      <c r="AF125">
        <v>0</v>
      </c>
      <c r="AG125">
        <v>0</v>
      </c>
      <c r="AH125">
        <v>0</v>
      </c>
      <c r="AI125">
        <v>4.88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1.6000000000000001E-4</v>
      </c>
      <c r="AU125" t="s">
        <v>3</v>
      </c>
      <c r="AV125">
        <v>0</v>
      </c>
      <c r="AW125">
        <v>2</v>
      </c>
      <c r="AX125">
        <v>39613944</v>
      </c>
      <c r="AY125">
        <v>1</v>
      </c>
      <c r="AZ125">
        <v>0</v>
      </c>
      <c r="BA125">
        <v>117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Y125*Source!I48</f>
        <v>6.4000000000000006E-6</v>
      </c>
      <c r="CY125">
        <f t="shared" si="18"/>
        <v>145424</v>
      </c>
      <c r="CZ125">
        <f t="shared" si="19"/>
        <v>29800</v>
      </c>
      <c r="DA125">
        <f t="shared" si="20"/>
        <v>4.88</v>
      </c>
      <c r="DB125">
        <v>0</v>
      </c>
    </row>
    <row r="126" spans="1:106" x14ac:dyDescent="0.2">
      <c r="A126">
        <f>ROW(Source!A48)</f>
        <v>48</v>
      </c>
      <c r="B126">
        <v>39610380</v>
      </c>
      <c r="C126">
        <v>39613937</v>
      </c>
      <c r="D126">
        <v>36804944</v>
      </c>
      <c r="E126">
        <v>1</v>
      </c>
      <c r="F126">
        <v>1</v>
      </c>
      <c r="G126">
        <v>1</v>
      </c>
      <c r="H126">
        <v>3</v>
      </c>
      <c r="I126" t="s">
        <v>565</v>
      </c>
      <c r="J126" t="s">
        <v>566</v>
      </c>
      <c r="K126" t="s">
        <v>567</v>
      </c>
      <c r="L126">
        <v>1348</v>
      </c>
      <c r="N126">
        <v>1009</v>
      </c>
      <c r="O126" t="s">
        <v>237</v>
      </c>
      <c r="P126" t="s">
        <v>237</v>
      </c>
      <c r="Q126">
        <v>1000</v>
      </c>
      <c r="W126">
        <v>0</v>
      </c>
      <c r="X126">
        <v>-1755229539</v>
      </c>
      <c r="Y126">
        <v>2.9999999999999997E-4</v>
      </c>
      <c r="AA126">
        <v>60658.400000000001</v>
      </c>
      <c r="AB126">
        <v>0</v>
      </c>
      <c r="AC126">
        <v>0</v>
      </c>
      <c r="AD126">
        <v>0</v>
      </c>
      <c r="AE126">
        <v>12430</v>
      </c>
      <c r="AF126">
        <v>0</v>
      </c>
      <c r="AG126">
        <v>0</v>
      </c>
      <c r="AH126">
        <v>0</v>
      </c>
      <c r="AI126">
        <v>4.88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2.9999999999999997E-4</v>
      </c>
      <c r="AU126" t="s">
        <v>3</v>
      </c>
      <c r="AV126">
        <v>0</v>
      </c>
      <c r="AW126">
        <v>2</v>
      </c>
      <c r="AX126">
        <v>39613945</v>
      </c>
      <c r="AY126">
        <v>1</v>
      </c>
      <c r="AZ126">
        <v>0</v>
      </c>
      <c r="BA126">
        <v>118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Y126*Source!I48</f>
        <v>1.1999999999999999E-5</v>
      </c>
      <c r="CY126">
        <f t="shared" si="18"/>
        <v>60658.400000000001</v>
      </c>
      <c r="CZ126">
        <f t="shared" si="19"/>
        <v>12430</v>
      </c>
      <c r="DA126">
        <f t="shared" si="20"/>
        <v>4.88</v>
      </c>
      <c r="DB126">
        <v>0</v>
      </c>
    </row>
    <row r="127" spans="1:106" x14ac:dyDescent="0.2">
      <c r="A127">
        <f>ROW(Source!A48)</f>
        <v>48</v>
      </c>
      <c r="B127">
        <v>39610380</v>
      </c>
      <c r="C127">
        <v>39613937</v>
      </c>
      <c r="D127">
        <v>36855272</v>
      </c>
      <c r="E127">
        <v>1</v>
      </c>
      <c r="F127">
        <v>1</v>
      </c>
      <c r="G127">
        <v>1</v>
      </c>
      <c r="H127">
        <v>3</v>
      </c>
      <c r="I127" t="s">
        <v>151</v>
      </c>
      <c r="J127" t="s">
        <v>153</v>
      </c>
      <c r="K127" t="s">
        <v>152</v>
      </c>
      <c r="L127">
        <v>1355</v>
      </c>
      <c r="N127">
        <v>1010</v>
      </c>
      <c r="O127" t="s">
        <v>148</v>
      </c>
      <c r="P127" t="s">
        <v>148</v>
      </c>
      <c r="Q127">
        <v>100</v>
      </c>
      <c r="W127">
        <v>0</v>
      </c>
      <c r="X127">
        <v>981126882</v>
      </c>
      <c r="Y127">
        <v>50</v>
      </c>
      <c r="AA127">
        <v>3425.76</v>
      </c>
      <c r="AB127">
        <v>0</v>
      </c>
      <c r="AC127">
        <v>0</v>
      </c>
      <c r="AD127">
        <v>0</v>
      </c>
      <c r="AE127">
        <v>702</v>
      </c>
      <c r="AF127">
        <v>0</v>
      </c>
      <c r="AG127">
        <v>0</v>
      </c>
      <c r="AH127">
        <v>0</v>
      </c>
      <c r="AI127">
        <v>4.88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3</v>
      </c>
      <c r="AT127">
        <v>50</v>
      </c>
      <c r="AU127" t="s">
        <v>3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Y127*Source!I48</f>
        <v>2</v>
      </c>
      <c r="CY127">
        <f t="shared" si="18"/>
        <v>3425.76</v>
      </c>
      <c r="CZ127">
        <f t="shared" si="19"/>
        <v>702</v>
      </c>
      <c r="DA127">
        <f t="shared" si="20"/>
        <v>4.88</v>
      </c>
      <c r="DB127">
        <v>0</v>
      </c>
    </row>
    <row r="128" spans="1:106" x14ac:dyDescent="0.2">
      <c r="A128">
        <f>ROW(Source!A48)</f>
        <v>48</v>
      </c>
      <c r="B128">
        <v>39610380</v>
      </c>
      <c r="C128">
        <v>39613937</v>
      </c>
      <c r="D128">
        <v>36855279</v>
      </c>
      <c r="E128">
        <v>1</v>
      </c>
      <c r="F128">
        <v>1</v>
      </c>
      <c r="G128">
        <v>1</v>
      </c>
      <c r="H128">
        <v>3</v>
      </c>
      <c r="I128" t="s">
        <v>146</v>
      </c>
      <c r="J128" t="s">
        <v>149</v>
      </c>
      <c r="K128" t="s">
        <v>147</v>
      </c>
      <c r="L128">
        <v>1355</v>
      </c>
      <c r="N128">
        <v>1010</v>
      </c>
      <c r="O128" t="s">
        <v>148</v>
      </c>
      <c r="P128" t="s">
        <v>148</v>
      </c>
      <c r="Q128">
        <v>100</v>
      </c>
      <c r="W128">
        <v>0</v>
      </c>
      <c r="X128">
        <v>-2133774843</v>
      </c>
      <c r="Y128">
        <v>50</v>
      </c>
      <c r="AA128">
        <v>9799.0400000000009</v>
      </c>
      <c r="AB128">
        <v>0</v>
      </c>
      <c r="AC128">
        <v>0</v>
      </c>
      <c r="AD128">
        <v>0</v>
      </c>
      <c r="AE128">
        <v>2008</v>
      </c>
      <c r="AF128">
        <v>0</v>
      </c>
      <c r="AG128">
        <v>0</v>
      </c>
      <c r="AH128">
        <v>0</v>
      </c>
      <c r="AI128">
        <v>4.88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3</v>
      </c>
      <c r="AT128">
        <v>50</v>
      </c>
      <c r="AU128" t="s">
        <v>3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Y128*Source!I48</f>
        <v>2</v>
      </c>
      <c r="CY128">
        <f t="shared" si="18"/>
        <v>9799.0400000000009</v>
      </c>
      <c r="CZ128">
        <f t="shared" si="19"/>
        <v>2008</v>
      </c>
      <c r="DA128">
        <f t="shared" si="20"/>
        <v>4.88</v>
      </c>
      <c r="DB128">
        <v>0</v>
      </c>
    </row>
    <row r="129" spans="1:106" x14ac:dyDescent="0.2">
      <c r="A129">
        <f>ROW(Source!A48)</f>
        <v>48</v>
      </c>
      <c r="B129">
        <v>39610380</v>
      </c>
      <c r="C129">
        <v>39613937</v>
      </c>
      <c r="D129">
        <v>36799065</v>
      </c>
      <c r="E129">
        <v>17</v>
      </c>
      <c r="F129">
        <v>1</v>
      </c>
      <c r="G129">
        <v>1</v>
      </c>
      <c r="H129">
        <v>3</v>
      </c>
      <c r="I129" t="s">
        <v>438</v>
      </c>
      <c r="J129" t="s">
        <v>3</v>
      </c>
      <c r="K129" t="s">
        <v>439</v>
      </c>
      <c r="L129">
        <v>1374</v>
      </c>
      <c r="N129">
        <v>1013</v>
      </c>
      <c r="O129" t="s">
        <v>440</v>
      </c>
      <c r="P129" t="s">
        <v>440</v>
      </c>
      <c r="Q129">
        <v>1</v>
      </c>
      <c r="W129">
        <v>0</v>
      </c>
      <c r="X129">
        <v>-1731369543</v>
      </c>
      <c r="Y129">
        <v>6.86</v>
      </c>
      <c r="AA129">
        <v>1</v>
      </c>
      <c r="AB129">
        <v>0</v>
      </c>
      <c r="AC129">
        <v>0</v>
      </c>
      <c r="AD129">
        <v>0</v>
      </c>
      <c r="AE129">
        <v>1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6.86</v>
      </c>
      <c r="AU129" t="s">
        <v>3</v>
      </c>
      <c r="AV129">
        <v>0</v>
      </c>
      <c r="AW129">
        <v>2</v>
      </c>
      <c r="AX129">
        <v>39613946</v>
      </c>
      <c r="AY129">
        <v>1</v>
      </c>
      <c r="AZ129">
        <v>0</v>
      </c>
      <c r="BA129">
        <v>119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Y129*Source!I48</f>
        <v>0.27440000000000003</v>
      </c>
      <c r="CY129">
        <f t="shared" si="18"/>
        <v>1</v>
      </c>
      <c r="CZ129">
        <f t="shared" si="19"/>
        <v>1</v>
      </c>
      <c r="DA129">
        <f t="shared" si="20"/>
        <v>1</v>
      </c>
      <c r="DB129">
        <v>0</v>
      </c>
    </row>
    <row r="130" spans="1:106" x14ac:dyDescent="0.2">
      <c r="A130">
        <f>ROW(Source!A51)</f>
        <v>51</v>
      </c>
      <c r="B130">
        <v>39610380</v>
      </c>
      <c r="C130">
        <v>39610518</v>
      </c>
      <c r="D130">
        <v>37080781</v>
      </c>
      <c r="E130">
        <v>1</v>
      </c>
      <c r="F130">
        <v>1</v>
      </c>
      <c r="G130">
        <v>1</v>
      </c>
      <c r="H130">
        <v>1</v>
      </c>
      <c r="I130" t="s">
        <v>558</v>
      </c>
      <c r="J130" t="s">
        <v>3</v>
      </c>
      <c r="K130" t="s">
        <v>559</v>
      </c>
      <c r="L130">
        <v>1191</v>
      </c>
      <c r="N130">
        <v>1013</v>
      </c>
      <c r="O130" t="s">
        <v>405</v>
      </c>
      <c r="P130" t="s">
        <v>405</v>
      </c>
      <c r="Q130">
        <v>1</v>
      </c>
      <c r="W130">
        <v>0</v>
      </c>
      <c r="X130">
        <v>912892513</v>
      </c>
      <c r="Y130">
        <v>50.08</v>
      </c>
      <c r="AA130">
        <v>0</v>
      </c>
      <c r="AB130">
        <v>0</v>
      </c>
      <c r="AC130">
        <v>0</v>
      </c>
      <c r="AD130">
        <v>48.41</v>
      </c>
      <c r="AE130">
        <v>0</v>
      </c>
      <c r="AF130">
        <v>0</v>
      </c>
      <c r="AG130">
        <v>0</v>
      </c>
      <c r="AH130">
        <v>9.92</v>
      </c>
      <c r="AI130">
        <v>1</v>
      </c>
      <c r="AJ130">
        <v>1</v>
      </c>
      <c r="AK130">
        <v>1</v>
      </c>
      <c r="AL130">
        <v>4.88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50.08</v>
      </c>
      <c r="AU130" t="s">
        <v>3</v>
      </c>
      <c r="AV130">
        <v>1</v>
      </c>
      <c r="AW130">
        <v>2</v>
      </c>
      <c r="AX130">
        <v>39610519</v>
      </c>
      <c r="AY130">
        <v>1</v>
      </c>
      <c r="AZ130">
        <v>0</v>
      </c>
      <c r="BA130">
        <v>120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Y130*Source!I51</f>
        <v>2.0032000000000001</v>
      </c>
      <c r="CY130">
        <f>AD130</f>
        <v>48.41</v>
      </c>
      <c r="CZ130">
        <f>AH130</f>
        <v>9.92</v>
      </c>
      <c r="DA130">
        <f>AL130</f>
        <v>4.88</v>
      </c>
      <c r="DB130">
        <v>0</v>
      </c>
    </row>
    <row r="131" spans="1:106" x14ac:dyDescent="0.2">
      <c r="A131">
        <f>ROW(Source!A51)</f>
        <v>51</v>
      </c>
      <c r="B131">
        <v>39610380</v>
      </c>
      <c r="C131">
        <v>39610518</v>
      </c>
      <c r="D131">
        <v>37064876</v>
      </c>
      <c r="E131">
        <v>1</v>
      </c>
      <c r="F131">
        <v>1</v>
      </c>
      <c r="G131">
        <v>1</v>
      </c>
      <c r="H131">
        <v>1</v>
      </c>
      <c r="I131" t="s">
        <v>406</v>
      </c>
      <c r="J131" t="s">
        <v>3</v>
      </c>
      <c r="K131" t="s">
        <v>407</v>
      </c>
      <c r="L131">
        <v>1191</v>
      </c>
      <c r="N131">
        <v>1013</v>
      </c>
      <c r="O131" t="s">
        <v>405</v>
      </c>
      <c r="P131" t="s">
        <v>405</v>
      </c>
      <c r="Q131">
        <v>1</v>
      </c>
      <c r="W131">
        <v>0</v>
      </c>
      <c r="X131">
        <v>-1417349443</v>
      </c>
      <c r="Y131">
        <v>0.12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4.88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0.12</v>
      </c>
      <c r="AU131" t="s">
        <v>3</v>
      </c>
      <c r="AV131">
        <v>2</v>
      </c>
      <c r="AW131">
        <v>2</v>
      </c>
      <c r="AX131">
        <v>39610520</v>
      </c>
      <c r="AY131">
        <v>1</v>
      </c>
      <c r="AZ131">
        <v>0</v>
      </c>
      <c r="BA131">
        <v>121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Y131*Source!I51</f>
        <v>4.7999999999999996E-3</v>
      </c>
      <c r="CY131">
        <f>AD131</f>
        <v>0</v>
      </c>
      <c r="CZ131">
        <f>AH131</f>
        <v>0</v>
      </c>
      <c r="DA131">
        <f>AL131</f>
        <v>1</v>
      </c>
      <c r="DB131">
        <v>0</v>
      </c>
    </row>
    <row r="132" spans="1:106" x14ac:dyDescent="0.2">
      <c r="A132">
        <f>ROW(Source!A51)</f>
        <v>51</v>
      </c>
      <c r="B132">
        <v>39610380</v>
      </c>
      <c r="C132">
        <v>39610518</v>
      </c>
      <c r="D132">
        <v>36882159</v>
      </c>
      <c r="E132">
        <v>1</v>
      </c>
      <c r="F132">
        <v>1</v>
      </c>
      <c r="G132">
        <v>1</v>
      </c>
      <c r="H132">
        <v>2</v>
      </c>
      <c r="I132" t="s">
        <v>408</v>
      </c>
      <c r="J132" t="s">
        <v>409</v>
      </c>
      <c r="K132" t="s">
        <v>410</v>
      </c>
      <c r="L132">
        <v>1368</v>
      </c>
      <c r="N132">
        <v>1011</v>
      </c>
      <c r="O132" t="s">
        <v>411</v>
      </c>
      <c r="P132" t="s">
        <v>411</v>
      </c>
      <c r="Q132">
        <v>1</v>
      </c>
      <c r="W132">
        <v>0</v>
      </c>
      <c r="X132">
        <v>-1718674368</v>
      </c>
      <c r="Y132">
        <v>0.06</v>
      </c>
      <c r="AA132">
        <v>0</v>
      </c>
      <c r="AB132">
        <v>546.51</v>
      </c>
      <c r="AC132">
        <v>13.5</v>
      </c>
      <c r="AD132">
        <v>0</v>
      </c>
      <c r="AE132">
        <v>0</v>
      </c>
      <c r="AF132">
        <v>111.99</v>
      </c>
      <c r="AG132">
        <v>13.5</v>
      </c>
      <c r="AH132">
        <v>0</v>
      </c>
      <c r="AI132">
        <v>1</v>
      </c>
      <c r="AJ132">
        <v>4.88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0.06</v>
      </c>
      <c r="AU132" t="s">
        <v>3</v>
      </c>
      <c r="AV132">
        <v>0</v>
      </c>
      <c r="AW132">
        <v>2</v>
      </c>
      <c r="AX132">
        <v>39610521</v>
      </c>
      <c r="AY132">
        <v>1</v>
      </c>
      <c r="AZ132">
        <v>0</v>
      </c>
      <c r="BA132">
        <v>122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Y132*Source!I51</f>
        <v>2.3999999999999998E-3</v>
      </c>
      <c r="CY132">
        <f>AB132</f>
        <v>546.51</v>
      </c>
      <c r="CZ132">
        <f>AF132</f>
        <v>111.99</v>
      </c>
      <c r="DA132">
        <f>AJ132</f>
        <v>4.88</v>
      </c>
      <c r="DB132">
        <v>0</v>
      </c>
    </row>
    <row r="133" spans="1:106" x14ac:dyDescent="0.2">
      <c r="A133">
        <f>ROW(Source!A51)</f>
        <v>51</v>
      </c>
      <c r="B133">
        <v>39610380</v>
      </c>
      <c r="C133">
        <v>39610518</v>
      </c>
      <c r="D133">
        <v>36883554</v>
      </c>
      <c r="E133">
        <v>1</v>
      </c>
      <c r="F133">
        <v>1</v>
      </c>
      <c r="G133">
        <v>1</v>
      </c>
      <c r="H133">
        <v>2</v>
      </c>
      <c r="I133" t="s">
        <v>412</v>
      </c>
      <c r="J133" t="s">
        <v>413</v>
      </c>
      <c r="K133" t="s">
        <v>414</v>
      </c>
      <c r="L133">
        <v>1368</v>
      </c>
      <c r="N133">
        <v>1011</v>
      </c>
      <c r="O133" t="s">
        <v>411</v>
      </c>
      <c r="P133" t="s">
        <v>411</v>
      </c>
      <c r="Q133">
        <v>1</v>
      </c>
      <c r="W133">
        <v>0</v>
      </c>
      <c r="X133">
        <v>1372534845</v>
      </c>
      <c r="Y133">
        <v>0.06</v>
      </c>
      <c r="AA133">
        <v>0</v>
      </c>
      <c r="AB133">
        <v>320.66000000000003</v>
      </c>
      <c r="AC133">
        <v>11.6</v>
      </c>
      <c r="AD133">
        <v>0</v>
      </c>
      <c r="AE133">
        <v>0</v>
      </c>
      <c r="AF133">
        <v>65.709999999999994</v>
      </c>
      <c r="AG133">
        <v>11.6</v>
      </c>
      <c r="AH133">
        <v>0</v>
      </c>
      <c r="AI133">
        <v>1</v>
      </c>
      <c r="AJ133">
        <v>4.88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0.06</v>
      </c>
      <c r="AU133" t="s">
        <v>3</v>
      </c>
      <c r="AV133">
        <v>0</v>
      </c>
      <c r="AW133">
        <v>2</v>
      </c>
      <c r="AX133">
        <v>39610522</v>
      </c>
      <c r="AY133">
        <v>1</v>
      </c>
      <c r="AZ133">
        <v>0</v>
      </c>
      <c r="BA133">
        <v>123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Y133*Source!I51</f>
        <v>2.3999999999999998E-3</v>
      </c>
      <c r="CY133">
        <f>AB133</f>
        <v>320.66000000000003</v>
      </c>
      <c r="CZ133">
        <f>AF133</f>
        <v>65.709999999999994</v>
      </c>
      <c r="DA133">
        <f>AJ133</f>
        <v>4.88</v>
      </c>
      <c r="DB133">
        <v>0</v>
      </c>
    </row>
    <row r="134" spans="1:106" x14ac:dyDescent="0.2">
      <c r="A134">
        <f>ROW(Source!A51)</f>
        <v>51</v>
      </c>
      <c r="B134">
        <v>39610380</v>
      </c>
      <c r="C134">
        <v>39610518</v>
      </c>
      <c r="D134">
        <v>36802094</v>
      </c>
      <c r="E134">
        <v>1</v>
      </c>
      <c r="F134">
        <v>1</v>
      </c>
      <c r="G134">
        <v>1</v>
      </c>
      <c r="H134">
        <v>3</v>
      </c>
      <c r="I134" t="s">
        <v>466</v>
      </c>
      <c r="J134" t="s">
        <v>467</v>
      </c>
      <c r="K134" t="s">
        <v>468</v>
      </c>
      <c r="L134">
        <v>1346</v>
      </c>
      <c r="N134">
        <v>1009</v>
      </c>
      <c r="O134" t="s">
        <v>424</v>
      </c>
      <c r="P134" t="s">
        <v>424</v>
      </c>
      <c r="Q134">
        <v>1</v>
      </c>
      <c r="W134">
        <v>0</v>
      </c>
      <c r="X134">
        <v>-1088866022</v>
      </c>
      <c r="Y134">
        <v>0.31</v>
      </c>
      <c r="AA134">
        <v>148.35</v>
      </c>
      <c r="AB134">
        <v>0</v>
      </c>
      <c r="AC134">
        <v>0</v>
      </c>
      <c r="AD134">
        <v>0</v>
      </c>
      <c r="AE134">
        <v>30.4</v>
      </c>
      <c r="AF134">
        <v>0</v>
      </c>
      <c r="AG134">
        <v>0</v>
      </c>
      <c r="AH134">
        <v>0</v>
      </c>
      <c r="AI134">
        <v>4.88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0.31</v>
      </c>
      <c r="AU134" t="s">
        <v>3</v>
      </c>
      <c r="AV134">
        <v>0</v>
      </c>
      <c r="AW134">
        <v>2</v>
      </c>
      <c r="AX134">
        <v>39610523</v>
      </c>
      <c r="AY134">
        <v>1</v>
      </c>
      <c r="AZ134">
        <v>0</v>
      </c>
      <c r="BA134">
        <v>124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Y134*Source!I51</f>
        <v>1.24E-2</v>
      </c>
      <c r="CY134">
        <f t="shared" ref="CY134:CY139" si="21">AA134</f>
        <v>148.35</v>
      </c>
      <c r="CZ134">
        <f t="shared" ref="CZ134:CZ139" si="22">AE134</f>
        <v>30.4</v>
      </c>
      <c r="DA134">
        <f t="shared" ref="DA134:DA139" si="23">AI134</f>
        <v>4.88</v>
      </c>
      <c r="DB134">
        <v>0</v>
      </c>
    </row>
    <row r="135" spans="1:106" x14ac:dyDescent="0.2">
      <c r="A135">
        <f>ROW(Source!A51)</f>
        <v>51</v>
      </c>
      <c r="B135">
        <v>39610380</v>
      </c>
      <c r="C135">
        <v>39610518</v>
      </c>
      <c r="D135">
        <v>36806488</v>
      </c>
      <c r="E135">
        <v>1</v>
      </c>
      <c r="F135">
        <v>1</v>
      </c>
      <c r="G135">
        <v>1</v>
      </c>
      <c r="H135">
        <v>3</v>
      </c>
      <c r="I135" t="s">
        <v>568</v>
      </c>
      <c r="J135" t="s">
        <v>569</v>
      </c>
      <c r="K135" t="s">
        <v>570</v>
      </c>
      <c r="L135">
        <v>1348</v>
      </c>
      <c r="N135">
        <v>1009</v>
      </c>
      <c r="O135" t="s">
        <v>237</v>
      </c>
      <c r="P135" t="s">
        <v>237</v>
      </c>
      <c r="Q135">
        <v>1000</v>
      </c>
      <c r="W135">
        <v>0</v>
      </c>
      <c r="X135">
        <v>-1421715385</v>
      </c>
      <c r="Y135">
        <v>3.15E-3</v>
      </c>
      <c r="AA135">
        <v>3562.3</v>
      </c>
      <c r="AB135">
        <v>0</v>
      </c>
      <c r="AC135">
        <v>0</v>
      </c>
      <c r="AD135">
        <v>0</v>
      </c>
      <c r="AE135">
        <v>729.98</v>
      </c>
      <c r="AF135">
        <v>0</v>
      </c>
      <c r="AG135">
        <v>0</v>
      </c>
      <c r="AH135">
        <v>0</v>
      </c>
      <c r="AI135">
        <v>4.88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3.15E-3</v>
      </c>
      <c r="AU135" t="s">
        <v>3</v>
      </c>
      <c r="AV135">
        <v>0</v>
      </c>
      <c r="AW135">
        <v>2</v>
      </c>
      <c r="AX135">
        <v>39610524</v>
      </c>
      <c r="AY135">
        <v>1</v>
      </c>
      <c r="AZ135">
        <v>0</v>
      </c>
      <c r="BA135">
        <v>125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Y135*Source!I51</f>
        <v>1.26E-4</v>
      </c>
      <c r="CY135">
        <f t="shared" si="21"/>
        <v>3562.3</v>
      </c>
      <c r="CZ135">
        <f t="shared" si="22"/>
        <v>729.98</v>
      </c>
      <c r="DA135">
        <f t="shared" si="23"/>
        <v>4.88</v>
      </c>
      <c r="DB135">
        <v>0</v>
      </c>
    </row>
    <row r="136" spans="1:106" x14ac:dyDescent="0.2">
      <c r="A136">
        <f>ROW(Source!A51)</f>
        <v>51</v>
      </c>
      <c r="B136">
        <v>39610380</v>
      </c>
      <c r="C136">
        <v>39610518</v>
      </c>
      <c r="D136">
        <v>36854419</v>
      </c>
      <c r="E136">
        <v>1</v>
      </c>
      <c r="F136">
        <v>1</v>
      </c>
      <c r="G136">
        <v>1</v>
      </c>
      <c r="H136">
        <v>3</v>
      </c>
      <c r="I136" t="s">
        <v>159</v>
      </c>
      <c r="J136" t="s">
        <v>161</v>
      </c>
      <c r="K136" t="s">
        <v>160</v>
      </c>
      <c r="L136">
        <v>1354</v>
      </c>
      <c r="N136">
        <v>1010</v>
      </c>
      <c r="O136" t="s">
        <v>86</v>
      </c>
      <c r="P136" t="s">
        <v>86</v>
      </c>
      <c r="Q136">
        <v>1</v>
      </c>
      <c r="W136">
        <v>0</v>
      </c>
      <c r="X136">
        <v>-172998309</v>
      </c>
      <c r="Y136">
        <v>100</v>
      </c>
      <c r="AA136">
        <v>1957.76</v>
      </c>
      <c r="AB136">
        <v>0</v>
      </c>
      <c r="AC136">
        <v>0</v>
      </c>
      <c r="AD136">
        <v>0</v>
      </c>
      <c r="AE136">
        <v>401.18</v>
      </c>
      <c r="AF136">
        <v>0</v>
      </c>
      <c r="AG136">
        <v>0</v>
      </c>
      <c r="AH136">
        <v>0</v>
      </c>
      <c r="AI136">
        <v>4.88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100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Y136*Source!I51</f>
        <v>4</v>
      </c>
      <c r="CY136">
        <f t="shared" si="21"/>
        <v>1957.76</v>
      </c>
      <c r="CZ136">
        <f t="shared" si="22"/>
        <v>401.18</v>
      </c>
      <c r="DA136">
        <f t="shared" si="23"/>
        <v>4.88</v>
      </c>
      <c r="DB136">
        <v>0</v>
      </c>
    </row>
    <row r="137" spans="1:106" x14ac:dyDescent="0.2">
      <c r="A137">
        <f>ROW(Source!A51)</f>
        <v>51</v>
      </c>
      <c r="B137">
        <v>39610380</v>
      </c>
      <c r="C137">
        <v>39610518</v>
      </c>
      <c r="D137">
        <v>36855778</v>
      </c>
      <c r="E137">
        <v>1</v>
      </c>
      <c r="F137">
        <v>1</v>
      </c>
      <c r="G137">
        <v>1</v>
      </c>
      <c r="H137">
        <v>3</v>
      </c>
      <c r="I137" t="s">
        <v>571</v>
      </c>
      <c r="J137" t="s">
        <v>572</v>
      </c>
      <c r="K137" t="s">
        <v>573</v>
      </c>
      <c r="L137">
        <v>1355</v>
      </c>
      <c r="N137">
        <v>1010</v>
      </c>
      <c r="O137" t="s">
        <v>148</v>
      </c>
      <c r="P137" t="s">
        <v>148</v>
      </c>
      <c r="Q137">
        <v>100</v>
      </c>
      <c r="W137">
        <v>0</v>
      </c>
      <c r="X137">
        <v>783817326</v>
      </c>
      <c r="Y137">
        <v>1.02</v>
      </c>
      <c r="AA137">
        <v>488</v>
      </c>
      <c r="AB137">
        <v>0</v>
      </c>
      <c r="AC137">
        <v>0</v>
      </c>
      <c r="AD137">
        <v>0</v>
      </c>
      <c r="AE137">
        <v>100</v>
      </c>
      <c r="AF137">
        <v>0</v>
      </c>
      <c r="AG137">
        <v>0</v>
      </c>
      <c r="AH137">
        <v>0</v>
      </c>
      <c r="AI137">
        <v>4.88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1.02</v>
      </c>
      <c r="AU137" t="s">
        <v>3</v>
      </c>
      <c r="AV137">
        <v>0</v>
      </c>
      <c r="AW137">
        <v>2</v>
      </c>
      <c r="AX137">
        <v>39610525</v>
      </c>
      <c r="AY137">
        <v>1</v>
      </c>
      <c r="AZ137">
        <v>0</v>
      </c>
      <c r="BA137">
        <v>126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Y137*Source!I51</f>
        <v>4.0800000000000003E-2</v>
      </c>
      <c r="CY137">
        <f t="shared" si="21"/>
        <v>488</v>
      </c>
      <c r="CZ137">
        <f t="shared" si="22"/>
        <v>100</v>
      </c>
      <c r="DA137">
        <f t="shared" si="23"/>
        <v>4.88</v>
      </c>
      <c r="DB137">
        <v>0</v>
      </c>
    </row>
    <row r="138" spans="1:106" x14ac:dyDescent="0.2">
      <c r="A138">
        <f>ROW(Source!A51)</f>
        <v>51</v>
      </c>
      <c r="B138">
        <v>39610380</v>
      </c>
      <c r="C138">
        <v>39610518</v>
      </c>
      <c r="D138">
        <v>36867794</v>
      </c>
      <c r="E138">
        <v>1</v>
      </c>
      <c r="F138">
        <v>1</v>
      </c>
      <c r="G138">
        <v>1</v>
      </c>
      <c r="H138">
        <v>3</v>
      </c>
      <c r="I138" t="s">
        <v>574</v>
      </c>
      <c r="J138" t="s">
        <v>575</v>
      </c>
      <c r="K138" t="s">
        <v>576</v>
      </c>
      <c r="L138">
        <v>1346</v>
      </c>
      <c r="N138">
        <v>1009</v>
      </c>
      <c r="O138" t="s">
        <v>424</v>
      </c>
      <c r="P138" t="s">
        <v>424</v>
      </c>
      <c r="Q138">
        <v>1</v>
      </c>
      <c r="W138">
        <v>0</v>
      </c>
      <c r="X138">
        <v>1584075688</v>
      </c>
      <c r="Y138">
        <v>1.02</v>
      </c>
      <c r="AA138">
        <v>174.22</v>
      </c>
      <c r="AB138">
        <v>0</v>
      </c>
      <c r="AC138">
        <v>0</v>
      </c>
      <c r="AD138">
        <v>0</v>
      </c>
      <c r="AE138">
        <v>35.700000000000003</v>
      </c>
      <c r="AF138">
        <v>0</v>
      </c>
      <c r="AG138">
        <v>0</v>
      </c>
      <c r="AH138">
        <v>0</v>
      </c>
      <c r="AI138">
        <v>4.88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1.02</v>
      </c>
      <c r="AU138" t="s">
        <v>3</v>
      </c>
      <c r="AV138">
        <v>0</v>
      </c>
      <c r="AW138">
        <v>2</v>
      </c>
      <c r="AX138">
        <v>39610526</v>
      </c>
      <c r="AY138">
        <v>1</v>
      </c>
      <c r="AZ138">
        <v>0</v>
      </c>
      <c r="BA138">
        <v>127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Y138*Source!I51</f>
        <v>4.0800000000000003E-2</v>
      </c>
      <c r="CY138">
        <f t="shared" si="21"/>
        <v>174.22</v>
      </c>
      <c r="CZ138">
        <f t="shared" si="22"/>
        <v>35.700000000000003</v>
      </c>
      <c r="DA138">
        <f t="shared" si="23"/>
        <v>4.88</v>
      </c>
      <c r="DB138">
        <v>0</v>
      </c>
    </row>
    <row r="139" spans="1:106" x14ac:dyDescent="0.2">
      <c r="A139">
        <f>ROW(Source!A51)</f>
        <v>51</v>
      </c>
      <c r="B139">
        <v>39610380</v>
      </c>
      <c r="C139">
        <v>39610518</v>
      </c>
      <c r="D139">
        <v>36799065</v>
      </c>
      <c r="E139">
        <v>17</v>
      </c>
      <c r="F139">
        <v>1</v>
      </c>
      <c r="G139">
        <v>1</v>
      </c>
      <c r="H139">
        <v>3</v>
      </c>
      <c r="I139" t="s">
        <v>438</v>
      </c>
      <c r="J139" t="s">
        <v>3</v>
      </c>
      <c r="K139" t="s">
        <v>439</v>
      </c>
      <c r="L139">
        <v>1374</v>
      </c>
      <c r="N139">
        <v>1013</v>
      </c>
      <c r="O139" t="s">
        <v>440</v>
      </c>
      <c r="P139" t="s">
        <v>440</v>
      </c>
      <c r="Q139">
        <v>1</v>
      </c>
      <c r="W139">
        <v>0</v>
      </c>
      <c r="X139">
        <v>-1731369543</v>
      </c>
      <c r="Y139">
        <v>9.94</v>
      </c>
      <c r="AA139">
        <v>1</v>
      </c>
      <c r="AB139">
        <v>0</v>
      </c>
      <c r="AC139">
        <v>0</v>
      </c>
      <c r="AD139">
        <v>0</v>
      </c>
      <c r="AE139">
        <v>1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9.94</v>
      </c>
      <c r="AU139" t="s">
        <v>3</v>
      </c>
      <c r="AV139">
        <v>0</v>
      </c>
      <c r="AW139">
        <v>2</v>
      </c>
      <c r="AX139">
        <v>39610527</v>
      </c>
      <c r="AY139">
        <v>1</v>
      </c>
      <c r="AZ139">
        <v>0</v>
      </c>
      <c r="BA139">
        <v>128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Y139*Source!I51</f>
        <v>0.39760000000000001</v>
      </c>
      <c r="CY139">
        <f t="shared" si="21"/>
        <v>1</v>
      </c>
      <c r="CZ139">
        <f t="shared" si="22"/>
        <v>1</v>
      </c>
      <c r="DA139">
        <f t="shared" si="23"/>
        <v>1</v>
      </c>
      <c r="DB139">
        <v>0</v>
      </c>
    </row>
    <row r="140" spans="1:106" x14ac:dyDescent="0.2">
      <c r="A140">
        <f>ROW(Source!A53)</f>
        <v>53</v>
      </c>
      <c r="B140">
        <v>39610380</v>
      </c>
      <c r="C140">
        <v>39613956</v>
      </c>
      <c r="D140">
        <v>37070164</v>
      </c>
      <c r="E140">
        <v>1</v>
      </c>
      <c r="F140">
        <v>1</v>
      </c>
      <c r="G140">
        <v>1</v>
      </c>
      <c r="H140">
        <v>1</v>
      </c>
      <c r="I140" t="s">
        <v>455</v>
      </c>
      <c r="J140" t="s">
        <v>3</v>
      </c>
      <c r="K140" t="s">
        <v>456</v>
      </c>
      <c r="L140">
        <v>1191</v>
      </c>
      <c r="N140">
        <v>1013</v>
      </c>
      <c r="O140" t="s">
        <v>405</v>
      </c>
      <c r="P140" t="s">
        <v>405</v>
      </c>
      <c r="Q140">
        <v>1</v>
      </c>
      <c r="W140">
        <v>0</v>
      </c>
      <c r="X140">
        <v>-598469600</v>
      </c>
      <c r="Y140">
        <v>3.86</v>
      </c>
      <c r="AA140">
        <v>0</v>
      </c>
      <c r="AB140">
        <v>0</v>
      </c>
      <c r="AC140">
        <v>0</v>
      </c>
      <c r="AD140">
        <v>45.34</v>
      </c>
      <c r="AE140">
        <v>0</v>
      </c>
      <c r="AF140">
        <v>0</v>
      </c>
      <c r="AG140">
        <v>0</v>
      </c>
      <c r="AH140">
        <v>9.2899999999999991</v>
      </c>
      <c r="AI140">
        <v>1</v>
      </c>
      <c r="AJ140">
        <v>1</v>
      </c>
      <c r="AK140">
        <v>1</v>
      </c>
      <c r="AL140">
        <v>4.88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3.86</v>
      </c>
      <c r="AU140" t="s">
        <v>3</v>
      </c>
      <c r="AV140">
        <v>1</v>
      </c>
      <c r="AW140">
        <v>2</v>
      </c>
      <c r="AX140">
        <v>39613995</v>
      </c>
      <c r="AY140">
        <v>1</v>
      </c>
      <c r="AZ140">
        <v>0</v>
      </c>
      <c r="BA140">
        <v>129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Y140*Source!I53</f>
        <v>3.86</v>
      </c>
      <c r="CY140">
        <f>AD140</f>
        <v>45.34</v>
      </c>
      <c r="CZ140">
        <f>AH140</f>
        <v>9.2899999999999991</v>
      </c>
      <c r="DA140">
        <f>AL140</f>
        <v>4.88</v>
      </c>
      <c r="DB140">
        <v>0</v>
      </c>
    </row>
    <row r="141" spans="1:106" x14ac:dyDescent="0.2">
      <c r="A141">
        <f>ROW(Source!A53)</f>
        <v>53</v>
      </c>
      <c r="B141">
        <v>39610380</v>
      </c>
      <c r="C141">
        <v>39613956</v>
      </c>
      <c r="D141">
        <v>37064876</v>
      </c>
      <c r="E141">
        <v>1</v>
      </c>
      <c r="F141">
        <v>1</v>
      </c>
      <c r="G141">
        <v>1</v>
      </c>
      <c r="H141">
        <v>1</v>
      </c>
      <c r="I141" t="s">
        <v>406</v>
      </c>
      <c r="J141" t="s">
        <v>3</v>
      </c>
      <c r="K141" t="s">
        <v>407</v>
      </c>
      <c r="L141">
        <v>1191</v>
      </c>
      <c r="N141">
        <v>1013</v>
      </c>
      <c r="O141" t="s">
        <v>405</v>
      </c>
      <c r="P141" t="s">
        <v>405</v>
      </c>
      <c r="Q141">
        <v>1</v>
      </c>
      <c r="W141">
        <v>0</v>
      </c>
      <c r="X141">
        <v>-1417349443</v>
      </c>
      <c r="Y141">
        <v>0.02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4.88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0.02</v>
      </c>
      <c r="AU141" t="s">
        <v>3</v>
      </c>
      <c r="AV141">
        <v>2</v>
      </c>
      <c r="AW141">
        <v>2</v>
      </c>
      <c r="AX141">
        <v>39613996</v>
      </c>
      <c r="AY141">
        <v>1</v>
      </c>
      <c r="AZ141">
        <v>0</v>
      </c>
      <c r="BA141">
        <v>130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Y141*Source!I53</f>
        <v>0.02</v>
      </c>
      <c r="CY141">
        <f>AD141</f>
        <v>0</v>
      </c>
      <c r="CZ141">
        <f>AH141</f>
        <v>0</v>
      </c>
      <c r="DA141">
        <f>AL141</f>
        <v>1</v>
      </c>
      <c r="DB141">
        <v>0</v>
      </c>
    </row>
    <row r="142" spans="1:106" x14ac:dyDescent="0.2">
      <c r="A142">
        <f>ROW(Source!A53)</f>
        <v>53</v>
      </c>
      <c r="B142">
        <v>39610380</v>
      </c>
      <c r="C142">
        <v>39613956</v>
      </c>
      <c r="D142">
        <v>36882159</v>
      </c>
      <c r="E142">
        <v>1</v>
      </c>
      <c r="F142">
        <v>1</v>
      </c>
      <c r="G142">
        <v>1</v>
      </c>
      <c r="H142">
        <v>2</v>
      </c>
      <c r="I142" t="s">
        <v>408</v>
      </c>
      <c r="J142" t="s">
        <v>409</v>
      </c>
      <c r="K142" t="s">
        <v>410</v>
      </c>
      <c r="L142">
        <v>1368</v>
      </c>
      <c r="N142">
        <v>1011</v>
      </c>
      <c r="O142" t="s">
        <v>411</v>
      </c>
      <c r="P142" t="s">
        <v>411</v>
      </c>
      <c r="Q142">
        <v>1</v>
      </c>
      <c r="W142">
        <v>0</v>
      </c>
      <c r="X142">
        <v>-1718674368</v>
      </c>
      <c r="Y142">
        <v>0.01</v>
      </c>
      <c r="AA142">
        <v>0</v>
      </c>
      <c r="AB142">
        <v>546.51</v>
      </c>
      <c r="AC142">
        <v>13.5</v>
      </c>
      <c r="AD142">
        <v>0</v>
      </c>
      <c r="AE142">
        <v>0</v>
      </c>
      <c r="AF142">
        <v>111.99</v>
      </c>
      <c r="AG142">
        <v>13.5</v>
      </c>
      <c r="AH142">
        <v>0</v>
      </c>
      <c r="AI142">
        <v>1</v>
      </c>
      <c r="AJ142">
        <v>4.88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0.01</v>
      </c>
      <c r="AU142" t="s">
        <v>3</v>
      </c>
      <c r="AV142">
        <v>0</v>
      </c>
      <c r="AW142">
        <v>2</v>
      </c>
      <c r="AX142">
        <v>39613997</v>
      </c>
      <c r="AY142">
        <v>1</v>
      </c>
      <c r="AZ142">
        <v>0</v>
      </c>
      <c r="BA142">
        <v>131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Y142*Source!I53</f>
        <v>0.01</v>
      </c>
      <c r="CY142">
        <f>AB142</f>
        <v>546.51</v>
      </c>
      <c r="CZ142">
        <f>AF142</f>
        <v>111.99</v>
      </c>
      <c r="DA142">
        <f>AJ142</f>
        <v>4.88</v>
      </c>
      <c r="DB142">
        <v>0</v>
      </c>
    </row>
    <row r="143" spans="1:106" x14ac:dyDescent="0.2">
      <c r="A143">
        <f>ROW(Source!A53)</f>
        <v>53</v>
      </c>
      <c r="B143">
        <v>39610380</v>
      </c>
      <c r="C143">
        <v>39613956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412</v>
      </c>
      <c r="J143" t="s">
        <v>413</v>
      </c>
      <c r="K143" t="s">
        <v>414</v>
      </c>
      <c r="L143">
        <v>1368</v>
      </c>
      <c r="N143">
        <v>1011</v>
      </c>
      <c r="O143" t="s">
        <v>411</v>
      </c>
      <c r="P143" t="s">
        <v>411</v>
      </c>
      <c r="Q143">
        <v>1</v>
      </c>
      <c r="W143">
        <v>0</v>
      </c>
      <c r="X143">
        <v>1372534845</v>
      </c>
      <c r="Y143">
        <v>0.01</v>
      </c>
      <c r="AA143">
        <v>0</v>
      </c>
      <c r="AB143">
        <v>320.66000000000003</v>
      </c>
      <c r="AC143">
        <v>11.6</v>
      </c>
      <c r="AD143">
        <v>0</v>
      </c>
      <c r="AE143">
        <v>0</v>
      </c>
      <c r="AF143">
        <v>65.709999999999994</v>
      </c>
      <c r="AG143">
        <v>11.6</v>
      </c>
      <c r="AH143">
        <v>0</v>
      </c>
      <c r="AI143">
        <v>1</v>
      </c>
      <c r="AJ143">
        <v>4.88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0.01</v>
      </c>
      <c r="AU143" t="s">
        <v>3</v>
      </c>
      <c r="AV143">
        <v>0</v>
      </c>
      <c r="AW143">
        <v>2</v>
      </c>
      <c r="AX143">
        <v>39613998</v>
      </c>
      <c r="AY143">
        <v>1</v>
      </c>
      <c r="AZ143">
        <v>0</v>
      </c>
      <c r="BA143">
        <v>132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Y143*Source!I53</f>
        <v>0.01</v>
      </c>
      <c r="CY143">
        <f>AB143</f>
        <v>320.66000000000003</v>
      </c>
      <c r="CZ143">
        <f>AF143</f>
        <v>65.709999999999994</v>
      </c>
      <c r="DA143">
        <f>AJ143</f>
        <v>4.88</v>
      </c>
      <c r="DB143">
        <v>0</v>
      </c>
    </row>
    <row r="144" spans="1:106" x14ac:dyDescent="0.2">
      <c r="A144">
        <f>ROW(Source!A53)</f>
        <v>53</v>
      </c>
      <c r="B144">
        <v>39610380</v>
      </c>
      <c r="C144">
        <v>39613956</v>
      </c>
      <c r="D144">
        <v>36883858</v>
      </c>
      <c r="E144">
        <v>1</v>
      </c>
      <c r="F144">
        <v>1</v>
      </c>
      <c r="G144">
        <v>1</v>
      </c>
      <c r="H144">
        <v>2</v>
      </c>
      <c r="I144" t="s">
        <v>415</v>
      </c>
      <c r="J144" t="s">
        <v>416</v>
      </c>
      <c r="K144" t="s">
        <v>417</v>
      </c>
      <c r="L144">
        <v>1368</v>
      </c>
      <c r="N144">
        <v>1011</v>
      </c>
      <c r="O144" t="s">
        <v>411</v>
      </c>
      <c r="P144" t="s">
        <v>411</v>
      </c>
      <c r="Q144">
        <v>1</v>
      </c>
      <c r="W144">
        <v>0</v>
      </c>
      <c r="X144">
        <v>-353815937</v>
      </c>
      <c r="Y144">
        <v>0.13</v>
      </c>
      <c r="AA144">
        <v>0</v>
      </c>
      <c r="AB144">
        <v>39.53</v>
      </c>
      <c r="AC144">
        <v>0</v>
      </c>
      <c r="AD144">
        <v>0</v>
      </c>
      <c r="AE144">
        <v>0</v>
      </c>
      <c r="AF144">
        <v>8.1</v>
      </c>
      <c r="AG144">
        <v>0</v>
      </c>
      <c r="AH144">
        <v>0</v>
      </c>
      <c r="AI144">
        <v>1</v>
      </c>
      <c r="AJ144">
        <v>4.88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0.13</v>
      </c>
      <c r="AU144" t="s">
        <v>3</v>
      </c>
      <c r="AV144">
        <v>0</v>
      </c>
      <c r="AW144">
        <v>2</v>
      </c>
      <c r="AX144">
        <v>39613999</v>
      </c>
      <c r="AY144">
        <v>1</v>
      </c>
      <c r="AZ144">
        <v>0</v>
      </c>
      <c r="BA144">
        <v>133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Y144*Source!I53</f>
        <v>0.13</v>
      </c>
      <c r="CY144">
        <f>AB144</f>
        <v>39.53</v>
      </c>
      <c r="CZ144">
        <f>AF144</f>
        <v>8.1</v>
      </c>
      <c r="DA144">
        <f>AJ144</f>
        <v>4.88</v>
      </c>
      <c r="DB144">
        <v>0</v>
      </c>
    </row>
    <row r="145" spans="1:106" x14ac:dyDescent="0.2">
      <c r="A145">
        <f>ROW(Source!A53)</f>
        <v>53</v>
      </c>
      <c r="B145">
        <v>39610380</v>
      </c>
      <c r="C145">
        <v>39613956</v>
      </c>
      <c r="D145">
        <v>36884526</v>
      </c>
      <c r="E145">
        <v>1</v>
      </c>
      <c r="F145">
        <v>1</v>
      </c>
      <c r="G145">
        <v>1</v>
      </c>
      <c r="H145">
        <v>2</v>
      </c>
      <c r="I145" t="s">
        <v>457</v>
      </c>
      <c r="J145" t="s">
        <v>458</v>
      </c>
      <c r="K145" t="s">
        <v>459</v>
      </c>
      <c r="L145">
        <v>1368</v>
      </c>
      <c r="N145">
        <v>1011</v>
      </c>
      <c r="O145" t="s">
        <v>411</v>
      </c>
      <c r="P145" t="s">
        <v>411</v>
      </c>
      <c r="Q145">
        <v>1</v>
      </c>
      <c r="W145">
        <v>0</v>
      </c>
      <c r="X145">
        <v>-995250510</v>
      </c>
      <c r="Y145">
        <v>0.2</v>
      </c>
      <c r="AA145">
        <v>0</v>
      </c>
      <c r="AB145">
        <v>5.42</v>
      </c>
      <c r="AC145">
        <v>0</v>
      </c>
      <c r="AD145">
        <v>0</v>
      </c>
      <c r="AE145">
        <v>0</v>
      </c>
      <c r="AF145">
        <v>1.1100000000000001</v>
      </c>
      <c r="AG145">
        <v>0</v>
      </c>
      <c r="AH145">
        <v>0</v>
      </c>
      <c r="AI145">
        <v>1</v>
      </c>
      <c r="AJ145">
        <v>4.88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0.2</v>
      </c>
      <c r="AU145" t="s">
        <v>3</v>
      </c>
      <c r="AV145">
        <v>0</v>
      </c>
      <c r="AW145">
        <v>2</v>
      </c>
      <c r="AX145">
        <v>39614000</v>
      </c>
      <c r="AY145">
        <v>1</v>
      </c>
      <c r="AZ145">
        <v>0</v>
      </c>
      <c r="BA145">
        <v>134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Y145*Source!I53</f>
        <v>0.2</v>
      </c>
      <c r="CY145">
        <f>AB145</f>
        <v>5.42</v>
      </c>
      <c r="CZ145">
        <f>AF145</f>
        <v>1.1100000000000001</v>
      </c>
      <c r="DA145">
        <f>AJ145</f>
        <v>4.88</v>
      </c>
      <c r="DB145">
        <v>0</v>
      </c>
    </row>
    <row r="146" spans="1:106" x14ac:dyDescent="0.2">
      <c r="A146">
        <f>ROW(Source!A53)</f>
        <v>53</v>
      </c>
      <c r="B146">
        <v>39610380</v>
      </c>
      <c r="C146">
        <v>39613956</v>
      </c>
      <c r="D146">
        <v>36800043</v>
      </c>
      <c r="E146">
        <v>1</v>
      </c>
      <c r="F146">
        <v>1</v>
      </c>
      <c r="G146">
        <v>1</v>
      </c>
      <c r="H146">
        <v>3</v>
      </c>
      <c r="I146" t="s">
        <v>460</v>
      </c>
      <c r="J146" t="s">
        <v>461</v>
      </c>
      <c r="K146" t="s">
        <v>462</v>
      </c>
      <c r="L146">
        <v>1346</v>
      </c>
      <c r="N146">
        <v>1009</v>
      </c>
      <c r="O146" t="s">
        <v>424</v>
      </c>
      <c r="P146" t="s">
        <v>424</v>
      </c>
      <c r="Q146">
        <v>1</v>
      </c>
      <c r="W146">
        <v>0</v>
      </c>
      <c r="X146">
        <v>618806536</v>
      </c>
      <c r="Y146">
        <v>1.4999999999999999E-2</v>
      </c>
      <c r="AA146">
        <v>219.45</v>
      </c>
      <c r="AB146">
        <v>0</v>
      </c>
      <c r="AC146">
        <v>0</v>
      </c>
      <c r="AD146">
        <v>0</v>
      </c>
      <c r="AE146">
        <v>44.97</v>
      </c>
      <c r="AF146">
        <v>0</v>
      </c>
      <c r="AG146">
        <v>0</v>
      </c>
      <c r="AH146">
        <v>0</v>
      </c>
      <c r="AI146">
        <v>4.88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1.4999999999999999E-2</v>
      </c>
      <c r="AU146" t="s">
        <v>3</v>
      </c>
      <c r="AV146">
        <v>0</v>
      </c>
      <c r="AW146">
        <v>2</v>
      </c>
      <c r="AX146">
        <v>39614001</v>
      </c>
      <c r="AY146">
        <v>1</v>
      </c>
      <c r="AZ146">
        <v>0</v>
      </c>
      <c r="BA146">
        <v>135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Y146*Source!I53</f>
        <v>1.4999999999999999E-2</v>
      </c>
      <c r="CY146">
        <f t="shared" ref="CY146:CY159" si="24">AA146</f>
        <v>219.45</v>
      </c>
      <c r="CZ146">
        <f t="shared" ref="CZ146:CZ159" si="25">AE146</f>
        <v>44.97</v>
      </c>
      <c r="DA146">
        <f t="shared" ref="DA146:DA159" si="26">AI146</f>
        <v>4.88</v>
      </c>
      <c r="DB146">
        <v>0</v>
      </c>
    </row>
    <row r="147" spans="1:106" x14ac:dyDescent="0.2">
      <c r="A147">
        <f>ROW(Source!A53)</f>
        <v>53</v>
      </c>
      <c r="B147">
        <v>39610380</v>
      </c>
      <c r="C147">
        <v>39613956</v>
      </c>
      <c r="D147">
        <v>36801775</v>
      </c>
      <c r="E147">
        <v>1</v>
      </c>
      <c r="F147">
        <v>1</v>
      </c>
      <c r="G147">
        <v>1</v>
      </c>
      <c r="H147">
        <v>3</v>
      </c>
      <c r="I147" t="s">
        <v>463</v>
      </c>
      <c r="J147" t="s">
        <v>464</v>
      </c>
      <c r="K147" t="s">
        <v>465</v>
      </c>
      <c r="L147">
        <v>1346</v>
      </c>
      <c r="N147">
        <v>1009</v>
      </c>
      <c r="O147" t="s">
        <v>424</v>
      </c>
      <c r="P147" t="s">
        <v>424</v>
      </c>
      <c r="Q147">
        <v>1</v>
      </c>
      <c r="W147">
        <v>0</v>
      </c>
      <c r="X147">
        <v>56922527</v>
      </c>
      <c r="Y147">
        <v>5.0000000000000001E-3</v>
      </c>
      <c r="AA147">
        <v>56.12</v>
      </c>
      <c r="AB147">
        <v>0</v>
      </c>
      <c r="AC147">
        <v>0</v>
      </c>
      <c r="AD147">
        <v>0</v>
      </c>
      <c r="AE147">
        <v>11.5</v>
      </c>
      <c r="AF147">
        <v>0</v>
      </c>
      <c r="AG147">
        <v>0</v>
      </c>
      <c r="AH147">
        <v>0</v>
      </c>
      <c r="AI147">
        <v>4.88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5.0000000000000001E-3</v>
      </c>
      <c r="AU147" t="s">
        <v>3</v>
      </c>
      <c r="AV147">
        <v>0</v>
      </c>
      <c r="AW147">
        <v>2</v>
      </c>
      <c r="AX147">
        <v>39614002</v>
      </c>
      <c r="AY147">
        <v>1</v>
      </c>
      <c r="AZ147">
        <v>0</v>
      </c>
      <c r="BA147">
        <v>136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Y147*Source!I53</f>
        <v>5.0000000000000001E-3</v>
      </c>
      <c r="CY147">
        <f t="shared" si="24"/>
        <v>56.12</v>
      </c>
      <c r="CZ147">
        <f t="shared" si="25"/>
        <v>11.5</v>
      </c>
      <c r="DA147">
        <f t="shared" si="26"/>
        <v>4.88</v>
      </c>
      <c r="DB147">
        <v>0</v>
      </c>
    </row>
    <row r="148" spans="1:106" x14ac:dyDescent="0.2">
      <c r="A148">
        <f>ROW(Source!A53)</f>
        <v>53</v>
      </c>
      <c r="B148">
        <v>39610380</v>
      </c>
      <c r="C148">
        <v>39613956</v>
      </c>
      <c r="D148">
        <v>36802094</v>
      </c>
      <c r="E148">
        <v>1</v>
      </c>
      <c r="F148">
        <v>1</v>
      </c>
      <c r="G148">
        <v>1</v>
      </c>
      <c r="H148">
        <v>3</v>
      </c>
      <c r="I148" t="s">
        <v>466</v>
      </c>
      <c r="J148" t="s">
        <v>467</v>
      </c>
      <c r="K148" t="s">
        <v>468</v>
      </c>
      <c r="L148">
        <v>1346</v>
      </c>
      <c r="N148">
        <v>1009</v>
      </c>
      <c r="O148" t="s">
        <v>424</v>
      </c>
      <c r="P148" t="s">
        <v>424</v>
      </c>
      <c r="Q148">
        <v>1</v>
      </c>
      <c r="W148">
        <v>0</v>
      </c>
      <c r="X148">
        <v>-1088866022</v>
      </c>
      <c r="Y148">
        <v>4.8000000000000001E-2</v>
      </c>
      <c r="AA148">
        <v>148.35</v>
      </c>
      <c r="AB148">
        <v>0</v>
      </c>
      <c r="AC148">
        <v>0</v>
      </c>
      <c r="AD148">
        <v>0</v>
      </c>
      <c r="AE148">
        <v>30.4</v>
      </c>
      <c r="AF148">
        <v>0</v>
      </c>
      <c r="AG148">
        <v>0</v>
      </c>
      <c r="AH148">
        <v>0</v>
      </c>
      <c r="AI148">
        <v>4.88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4.8000000000000001E-2</v>
      </c>
      <c r="AU148" t="s">
        <v>3</v>
      </c>
      <c r="AV148">
        <v>0</v>
      </c>
      <c r="AW148">
        <v>2</v>
      </c>
      <c r="AX148">
        <v>39614003</v>
      </c>
      <c r="AY148">
        <v>1</v>
      </c>
      <c r="AZ148">
        <v>0</v>
      </c>
      <c r="BA148">
        <v>137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Y148*Source!I53</f>
        <v>4.8000000000000001E-2</v>
      </c>
      <c r="CY148">
        <f t="shared" si="24"/>
        <v>148.35</v>
      </c>
      <c r="CZ148">
        <f t="shared" si="25"/>
        <v>30.4</v>
      </c>
      <c r="DA148">
        <f t="shared" si="26"/>
        <v>4.88</v>
      </c>
      <c r="DB148">
        <v>0</v>
      </c>
    </row>
    <row r="149" spans="1:106" x14ac:dyDescent="0.2">
      <c r="A149">
        <f>ROW(Source!A53)</f>
        <v>53</v>
      </c>
      <c r="B149">
        <v>39610380</v>
      </c>
      <c r="C149">
        <v>39613956</v>
      </c>
      <c r="D149">
        <v>36803258</v>
      </c>
      <c r="E149">
        <v>1</v>
      </c>
      <c r="F149">
        <v>1</v>
      </c>
      <c r="G149">
        <v>1</v>
      </c>
      <c r="H149">
        <v>3</v>
      </c>
      <c r="I149" t="s">
        <v>421</v>
      </c>
      <c r="J149" t="s">
        <v>422</v>
      </c>
      <c r="K149" t="s">
        <v>423</v>
      </c>
      <c r="L149">
        <v>1346</v>
      </c>
      <c r="N149">
        <v>1009</v>
      </c>
      <c r="O149" t="s">
        <v>424</v>
      </c>
      <c r="P149" t="s">
        <v>424</v>
      </c>
      <c r="Q149">
        <v>1</v>
      </c>
      <c r="W149">
        <v>0</v>
      </c>
      <c r="X149">
        <v>586013393</v>
      </c>
      <c r="Y149">
        <v>0.08</v>
      </c>
      <c r="AA149">
        <v>51.58</v>
      </c>
      <c r="AB149">
        <v>0</v>
      </c>
      <c r="AC149">
        <v>0</v>
      </c>
      <c r="AD149">
        <v>0</v>
      </c>
      <c r="AE149">
        <v>10.57</v>
      </c>
      <c r="AF149">
        <v>0</v>
      </c>
      <c r="AG149">
        <v>0</v>
      </c>
      <c r="AH149">
        <v>0</v>
      </c>
      <c r="AI149">
        <v>4.88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0.08</v>
      </c>
      <c r="AU149" t="s">
        <v>3</v>
      </c>
      <c r="AV149">
        <v>0</v>
      </c>
      <c r="AW149">
        <v>2</v>
      </c>
      <c r="AX149">
        <v>39614004</v>
      </c>
      <c r="AY149">
        <v>1</v>
      </c>
      <c r="AZ149">
        <v>0</v>
      </c>
      <c r="BA149">
        <v>138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Y149*Source!I53</f>
        <v>0.08</v>
      </c>
      <c r="CY149">
        <f t="shared" si="24"/>
        <v>51.58</v>
      </c>
      <c r="CZ149">
        <f t="shared" si="25"/>
        <v>10.57</v>
      </c>
      <c r="DA149">
        <f t="shared" si="26"/>
        <v>4.88</v>
      </c>
      <c r="DB149">
        <v>0</v>
      </c>
    </row>
    <row r="150" spans="1:106" x14ac:dyDescent="0.2">
      <c r="A150">
        <f>ROW(Source!A53)</f>
        <v>53</v>
      </c>
      <c r="B150">
        <v>39610380</v>
      </c>
      <c r="C150">
        <v>39613956</v>
      </c>
      <c r="D150">
        <v>36804448</v>
      </c>
      <c r="E150">
        <v>1</v>
      </c>
      <c r="F150">
        <v>1</v>
      </c>
      <c r="G150">
        <v>1</v>
      </c>
      <c r="H150">
        <v>3</v>
      </c>
      <c r="I150" t="s">
        <v>425</v>
      </c>
      <c r="J150" t="s">
        <v>426</v>
      </c>
      <c r="K150" t="s">
        <v>427</v>
      </c>
      <c r="L150">
        <v>1346</v>
      </c>
      <c r="N150">
        <v>1009</v>
      </c>
      <c r="O150" t="s">
        <v>424</v>
      </c>
      <c r="P150" t="s">
        <v>424</v>
      </c>
      <c r="Q150">
        <v>1</v>
      </c>
      <c r="W150">
        <v>0</v>
      </c>
      <c r="X150">
        <v>103900845</v>
      </c>
      <c r="Y150">
        <v>0.53</v>
      </c>
      <c r="AA150">
        <v>44.12</v>
      </c>
      <c r="AB150">
        <v>0</v>
      </c>
      <c r="AC150">
        <v>0</v>
      </c>
      <c r="AD150">
        <v>0</v>
      </c>
      <c r="AE150">
        <v>9.0399999999999991</v>
      </c>
      <c r="AF150">
        <v>0</v>
      </c>
      <c r="AG150">
        <v>0</v>
      </c>
      <c r="AH150">
        <v>0</v>
      </c>
      <c r="AI150">
        <v>4.88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0.53</v>
      </c>
      <c r="AU150" t="s">
        <v>3</v>
      </c>
      <c r="AV150">
        <v>0</v>
      </c>
      <c r="AW150">
        <v>2</v>
      </c>
      <c r="AX150">
        <v>39614005</v>
      </c>
      <c r="AY150">
        <v>1</v>
      </c>
      <c r="AZ150">
        <v>0</v>
      </c>
      <c r="BA150">
        <v>139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Y150*Source!I53</f>
        <v>0.53</v>
      </c>
      <c r="CY150">
        <f t="shared" si="24"/>
        <v>44.12</v>
      </c>
      <c r="CZ150">
        <f t="shared" si="25"/>
        <v>9.0399999999999991</v>
      </c>
      <c r="DA150">
        <f t="shared" si="26"/>
        <v>4.88</v>
      </c>
      <c r="DB150">
        <v>0</v>
      </c>
    </row>
    <row r="151" spans="1:106" x14ac:dyDescent="0.2">
      <c r="A151">
        <f>ROW(Source!A53)</f>
        <v>53</v>
      </c>
      <c r="B151">
        <v>39610380</v>
      </c>
      <c r="C151">
        <v>39613956</v>
      </c>
      <c r="D151">
        <v>36804580</v>
      </c>
      <c r="E151">
        <v>1</v>
      </c>
      <c r="F151">
        <v>1</v>
      </c>
      <c r="G151">
        <v>1</v>
      </c>
      <c r="H151">
        <v>3</v>
      </c>
      <c r="I151" t="s">
        <v>469</v>
      </c>
      <c r="J151" t="s">
        <v>470</v>
      </c>
      <c r="K151" t="s">
        <v>471</v>
      </c>
      <c r="L151">
        <v>1355</v>
      </c>
      <c r="N151">
        <v>1010</v>
      </c>
      <c r="O151" t="s">
        <v>148</v>
      </c>
      <c r="P151" t="s">
        <v>148</v>
      </c>
      <c r="Q151">
        <v>100</v>
      </c>
      <c r="W151">
        <v>0</v>
      </c>
      <c r="X151">
        <v>1794244060</v>
      </c>
      <c r="Y151">
        <v>1.4E-2</v>
      </c>
      <c r="AA151">
        <v>419.68</v>
      </c>
      <c r="AB151">
        <v>0</v>
      </c>
      <c r="AC151">
        <v>0</v>
      </c>
      <c r="AD151">
        <v>0</v>
      </c>
      <c r="AE151">
        <v>86</v>
      </c>
      <c r="AF151">
        <v>0</v>
      </c>
      <c r="AG151">
        <v>0</v>
      </c>
      <c r="AH151">
        <v>0</v>
      </c>
      <c r="AI151">
        <v>4.88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1.4E-2</v>
      </c>
      <c r="AU151" t="s">
        <v>3</v>
      </c>
      <c r="AV151">
        <v>0</v>
      </c>
      <c r="AW151">
        <v>2</v>
      </c>
      <c r="AX151">
        <v>39614006</v>
      </c>
      <c r="AY151">
        <v>1</v>
      </c>
      <c r="AZ151">
        <v>0</v>
      </c>
      <c r="BA151">
        <v>140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Y151*Source!I53</f>
        <v>1.4E-2</v>
      </c>
      <c r="CY151">
        <f t="shared" si="24"/>
        <v>419.68</v>
      </c>
      <c r="CZ151">
        <f t="shared" si="25"/>
        <v>86</v>
      </c>
      <c r="DA151">
        <f t="shared" si="26"/>
        <v>4.88</v>
      </c>
      <c r="DB151">
        <v>0</v>
      </c>
    </row>
    <row r="152" spans="1:106" x14ac:dyDescent="0.2">
      <c r="A152">
        <f>ROW(Source!A53)</f>
        <v>53</v>
      </c>
      <c r="B152">
        <v>39610380</v>
      </c>
      <c r="C152">
        <v>39613956</v>
      </c>
      <c r="D152">
        <v>36805500</v>
      </c>
      <c r="E152">
        <v>1</v>
      </c>
      <c r="F152">
        <v>1</v>
      </c>
      <c r="G152">
        <v>1</v>
      </c>
      <c r="H152">
        <v>3</v>
      </c>
      <c r="I152" t="s">
        <v>472</v>
      </c>
      <c r="J152" t="s">
        <v>473</v>
      </c>
      <c r="K152" t="s">
        <v>474</v>
      </c>
      <c r="L152">
        <v>1346</v>
      </c>
      <c r="N152">
        <v>1009</v>
      </c>
      <c r="O152" t="s">
        <v>424</v>
      </c>
      <c r="P152" t="s">
        <v>424</v>
      </c>
      <c r="Q152">
        <v>1</v>
      </c>
      <c r="W152">
        <v>0</v>
      </c>
      <c r="X152">
        <v>-856710481</v>
      </c>
      <c r="Y152">
        <v>2E-3</v>
      </c>
      <c r="AA152">
        <v>649.28</v>
      </c>
      <c r="AB152">
        <v>0</v>
      </c>
      <c r="AC152">
        <v>0</v>
      </c>
      <c r="AD152">
        <v>0</v>
      </c>
      <c r="AE152">
        <v>133.05000000000001</v>
      </c>
      <c r="AF152">
        <v>0</v>
      </c>
      <c r="AG152">
        <v>0</v>
      </c>
      <c r="AH152">
        <v>0</v>
      </c>
      <c r="AI152">
        <v>4.88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2E-3</v>
      </c>
      <c r="AU152" t="s">
        <v>3</v>
      </c>
      <c r="AV152">
        <v>0</v>
      </c>
      <c r="AW152">
        <v>2</v>
      </c>
      <c r="AX152">
        <v>39614007</v>
      </c>
      <c r="AY152">
        <v>1</v>
      </c>
      <c r="AZ152">
        <v>0</v>
      </c>
      <c r="BA152">
        <v>141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Y152*Source!I53</f>
        <v>2E-3</v>
      </c>
      <c r="CY152">
        <f t="shared" si="24"/>
        <v>649.28</v>
      </c>
      <c r="CZ152">
        <f t="shared" si="25"/>
        <v>133.05000000000001</v>
      </c>
      <c r="DA152">
        <f t="shared" si="26"/>
        <v>4.88</v>
      </c>
      <c r="DB152">
        <v>0</v>
      </c>
    </row>
    <row r="153" spans="1:106" x14ac:dyDescent="0.2">
      <c r="A153">
        <f>ROW(Source!A53)</f>
        <v>53</v>
      </c>
      <c r="B153">
        <v>39610380</v>
      </c>
      <c r="C153">
        <v>39613956</v>
      </c>
      <c r="D153">
        <v>36823140</v>
      </c>
      <c r="E153">
        <v>1</v>
      </c>
      <c r="F153">
        <v>1</v>
      </c>
      <c r="G153">
        <v>1</v>
      </c>
      <c r="H153">
        <v>3</v>
      </c>
      <c r="I153" t="s">
        <v>475</v>
      </c>
      <c r="J153" t="s">
        <v>476</v>
      </c>
      <c r="K153" t="s">
        <v>477</v>
      </c>
      <c r="L153">
        <v>1348</v>
      </c>
      <c r="N153">
        <v>1009</v>
      </c>
      <c r="O153" t="s">
        <v>237</v>
      </c>
      <c r="P153" t="s">
        <v>237</v>
      </c>
      <c r="Q153">
        <v>1000</v>
      </c>
      <c r="W153">
        <v>0</v>
      </c>
      <c r="X153">
        <v>426000481</v>
      </c>
      <c r="Y153">
        <v>4.0000000000000001E-3</v>
      </c>
      <c r="AA153">
        <v>56120</v>
      </c>
      <c r="AB153">
        <v>0</v>
      </c>
      <c r="AC153">
        <v>0</v>
      </c>
      <c r="AD153">
        <v>0</v>
      </c>
      <c r="AE153">
        <v>11500</v>
      </c>
      <c r="AF153">
        <v>0</v>
      </c>
      <c r="AG153">
        <v>0</v>
      </c>
      <c r="AH153">
        <v>0</v>
      </c>
      <c r="AI153">
        <v>4.88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4.0000000000000001E-3</v>
      </c>
      <c r="AU153" t="s">
        <v>3</v>
      </c>
      <c r="AV153">
        <v>0</v>
      </c>
      <c r="AW153">
        <v>2</v>
      </c>
      <c r="AX153">
        <v>39614008</v>
      </c>
      <c r="AY153">
        <v>1</v>
      </c>
      <c r="AZ153">
        <v>0</v>
      </c>
      <c r="BA153">
        <v>142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Y153*Source!I53</f>
        <v>4.0000000000000001E-3</v>
      </c>
      <c r="CY153">
        <f t="shared" si="24"/>
        <v>56120</v>
      </c>
      <c r="CZ153">
        <f t="shared" si="25"/>
        <v>11500</v>
      </c>
      <c r="DA153">
        <f t="shared" si="26"/>
        <v>4.88</v>
      </c>
      <c r="DB153">
        <v>0</v>
      </c>
    </row>
    <row r="154" spans="1:106" x14ac:dyDescent="0.2">
      <c r="A154">
        <f>ROW(Source!A53)</f>
        <v>53</v>
      </c>
      <c r="B154">
        <v>39610380</v>
      </c>
      <c r="C154">
        <v>39613956</v>
      </c>
      <c r="D154">
        <v>36838317</v>
      </c>
      <c r="E154">
        <v>1</v>
      </c>
      <c r="F154">
        <v>1</v>
      </c>
      <c r="G154">
        <v>1</v>
      </c>
      <c r="H154">
        <v>3</v>
      </c>
      <c r="I154" t="s">
        <v>435</v>
      </c>
      <c r="J154" t="s">
        <v>436</v>
      </c>
      <c r="K154" t="s">
        <v>437</v>
      </c>
      <c r="L154">
        <v>1346</v>
      </c>
      <c r="N154">
        <v>1009</v>
      </c>
      <c r="O154" t="s">
        <v>424</v>
      </c>
      <c r="P154" t="s">
        <v>424</v>
      </c>
      <c r="Q154">
        <v>1</v>
      </c>
      <c r="W154">
        <v>0</v>
      </c>
      <c r="X154">
        <v>210558753</v>
      </c>
      <c r="Y154">
        <v>4.7E-2</v>
      </c>
      <c r="AA154">
        <v>139.57</v>
      </c>
      <c r="AB154">
        <v>0</v>
      </c>
      <c r="AC154">
        <v>0</v>
      </c>
      <c r="AD154">
        <v>0</v>
      </c>
      <c r="AE154">
        <v>28.6</v>
      </c>
      <c r="AF154">
        <v>0</v>
      </c>
      <c r="AG154">
        <v>0</v>
      </c>
      <c r="AH154">
        <v>0</v>
      </c>
      <c r="AI154">
        <v>4.88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4.7E-2</v>
      </c>
      <c r="AU154" t="s">
        <v>3</v>
      </c>
      <c r="AV154">
        <v>0</v>
      </c>
      <c r="AW154">
        <v>2</v>
      </c>
      <c r="AX154">
        <v>39614009</v>
      </c>
      <c r="AY154">
        <v>1</v>
      </c>
      <c r="AZ154">
        <v>0</v>
      </c>
      <c r="BA154">
        <v>143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Y154*Source!I53</f>
        <v>4.7E-2</v>
      </c>
      <c r="CY154">
        <f t="shared" si="24"/>
        <v>139.57</v>
      </c>
      <c r="CZ154">
        <f t="shared" si="25"/>
        <v>28.6</v>
      </c>
      <c r="DA154">
        <f t="shared" si="26"/>
        <v>4.88</v>
      </c>
      <c r="DB154">
        <v>0</v>
      </c>
    </row>
    <row r="155" spans="1:106" x14ac:dyDescent="0.2">
      <c r="A155">
        <f>ROW(Source!A53)</f>
        <v>53</v>
      </c>
      <c r="B155">
        <v>39610380</v>
      </c>
      <c r="C155">
        <v>39613956</v>
      </c>
      <c r="D155">
        <v>36838470</v>
      </c>
      <c r="E155">
        <v>1</v>
      </c>
      <c r="F155">
        <v>1</v>
      </c>
      <c r="G155">
        <v>1</v>
      </c>
      <c r="H155">
        <v>3</v>
      </c>
      <c r="I155" t="s">
        <v>478</v>
      </c>
      <c r="J155" t="s">
        <v>479</v>
      </c>
      <c r="K155" t="s">
        <v>480</v>
      </c>
      <c r="L155">
        <v>1346</v>
      </c>
      <c r="N155">
        <v>1009</v>
      </c>
      <c r="O155" t="s">
        <v>424</v>
      </c>
      <c r="P155" t="s">
        <v>424</v>
      </c>
      <c r="Q155">
        <v>1</v>
      </c>
      <c r="W155">
        <v>0</v>
      </c>
      <c r="X155">
        <v>-1274984028</v>
      </c>
      <c r="Y155">
        <v>1.4E-2</v>
      </c>
      <c r="AA155">
        <v>173.87</v>
      </c>
      <c r="AB155">
        <v>0</v>
      </c>
      <c r="AC155">
        <v>0</v>
      </c>
      <c r="AD155">
        <v>0</v>
      </c>
      <c r="AE155">
        <v>35.630000000000003</v>
      </c>
      <c r="AF155">
        <v>0</v>
      </c>
      <c r="AG155">
        <v>0</v>
      </c>
      <c r="AH155">
        <v>0</v>
      </c>
      <c r="AI155">
        <v>4.88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1.4E-2</v>
      </c>
      <c r="AU155" t="s">
        <v>3</v>
      </c>
      <c r="AV155">
        <v>0</v>
      </c>
      <c r="AW155">
        <v>2</v>
      </c>
      <c r="AX155">
        <v>39614010</v>
      </c>
      <c r="AY155">
        <v>1</v>
      </c>
      <c r="AZ155">
        <v>0</v>
      </c>
      <c r="BA155">
        <v>144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Y155*Source!I53</f>
        <v>1.4E-2</v>
      </c>
      <c r="CY155">
        <f t="shared" si="24"/>
        <v>173.87</v>
      </c>
      <c r="CZ155">
        <f t="shared" si="25"/>
        <v>35.630000000000003</v>
      </c>
      <c r="DA155">
        <f t="shared" si="26"/>
        <v>4.88</v>
      </c>
      <c r="DB155">
        <v>0</v>
      </c>
    </row>
    <row r="156" spans="1:106" x14ac:dyDescent="0.2">
      <c r="A156">
        <f>ROW(Source!A53)</f>
        <v>53</v>
      </c>
      <c r="B156">
        <v>39610380</v>
      </c>
      <c r="C156">
        <v>39613956</v>
      </c>
      <c r="D156">
        <v>36851945</v>
      </c>
      <c r="E156">
        <v>1</v>
      </c>
      <c r="F156">
        <v>1</v>
      </c>
      <c r="G156">
        <v>1</v>
      </c>
      <c r="H156">
        <v>3</v>
      </c>
      <c r="I156" t="s">
        <v>481</v>
      </c>
      <c r="J156" t="s">
        <v>482</v>
      </c>
      <c r="K156" t="s">
        <v>483</v>
      </c>
      <c r="L156">
        <v>1358</v>
      </c>
      <c r="N156">
        <v>1010</v>
      </c>
      <c r="O156" t="s">
        <v>484</v>
      </c>
      <c r="P156" t="s">
        <v>484</v>
      </c>
      <c r="Q156">
        <v>10</v>
      </c>
      <c r="W156">
        <v>0</v>
      </c>
      <c r="X156">
        <v>1386890308</v>
      </c>
      <c r="Y156">
        <v>0.1</v>
      </c>
      <c r="AA156">
        <v>190.32</v>
      </c>
      <c r="AB156">
        <v>0</v>
      </c>
      <c r="AC156">
        <v>0</v>
      </c>
      <c r="AD156">
        <v>0</v>
      </c>
      <c r="AE156">
        <v>39</v>
      </c>
      <c r="AF156">
        <v>0</v>
      </c>
      <c r="AG156">
        <v>0</v>
      </c>
      <c r="AH156">
        <v>0</v>
      </c>
      <c r="AI156">
        <v>4.88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0.1</v>
      </c>
      <c r="AU156" t="s">
        <v>3</v>
      </c>
      <c r="AV156">
        <v>0</v>
      </c>
      <c r="AW156">
        <v>2</v>
      </c>
      <c r="AX156">
        <v>39614011</v>
      </c>
      <c r="AY156">
        <v>1</v>
      </c>
      <c r="AZ156">
        <v>0</v>
      </c>
      <c r="BA156">
        <v>145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Y156*Source!I53</f>
        <v>0.1</v>
      </c>
      <c r="CY156">
        <f t="shared" si="24"/>
        <v>190.32</v>
      </c>
      <c r="CZ156">
        <f t="shared" si="25"/>
        <v>39</v>
      </c>
      <c r="DA156">
        <f t="shared" si="26"/>
        <v>4.88</v>
      </c>
      <c r="DB156">
        <v>0</v>
      </c>
    </row>
    <row r="157" spans="1:106" x14ac:dyDescent="0.2">
      <c r="A157">
        <f>ROW(Source!A53)</f>
        <v>53</v>
      </c>
      <c r="B157">
        <v>39610380</v>
      </c>
      <c r="C157">
        <v>39613956</v>
      </c>
      <c r="D157">
        <v>36870813</v>
      </c>
      <c r="E157">
        <v>1</v>
      </c>
      <c r="F157">
        <v>1</v>
      </c>
      <c r="G157">
        <v>1</v>
      </c>
      <c r="H157">
        <v>3</v>
      </c>
      <c r="I157" t="s">
        <v>485</v>
      </c>
      <c r="J157" t="s">
        <v>486</v>
      </c>
      <c r="K157" t="s">
        <v>487</v>
      </c>
      <c r="L157">
        <v>1355</v>
      </c>
      <c r="N157">
        <v>1010</v>
      </c>
      <c r="O157" t="s">
        <v>148</v>
      </c>
      <c r="P157" t="s">
        <v>148</v>
      </c>
      <c r="Q157">
        <v>100</v>
      </c>
      <c r="W157">
        <v>0</v>
      </c>
      <c r="X157">
        <v>877733957</v>
      </c>
      <c r="Y157">
        <v>6.0999999999999999E-2</v>
      </c>
      <c r="AA157">
        <v>307.44</v>
      </c>
      <c r="AB157">
        <v>0</v>
      </c>
      <c r="AC157">
        <v>0</v>
      </c>
      <c r="AD157">
        <v>0</v>
      </c>
      <c r="AE157">
        <v>63</v>
      </c>
      <c r="AF157">
        <v>0</v>
      </c>
      <c r="AG157">
        <v>0</v>
      </c>
      <c r="AH157">
        <v>0</v>
      </c>
      <c r="AI157">
        <v>4.88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6.0999999999999999E-2</v>
      </c>
      <c r="AU157" t="s">
        <v>3</v>
      </c>
      <c r="AV157">
        <v>0</v>
      </c>
      <c r="AW157">
        <v>2</v>
      </c>
      <c r="AX157">
        <v>39614012</v>
      </c>
      <c r="AY157">
        <v>1</v>
      </c>
      <c r="AZ157">
        <v>0</v>
      </c>
      <c r="BA157">
        <v>146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Y157*Source!I53</f>
        <v>6.0999999999999999E-2</v>
      </c>
      <c r="CY157">
        <f t="shared" si="24"/>
        <v>307.44</v>
      </c>
      <c r="CZ157">
        <f t="shared" si="25"/>
        <v>63</v>
      </c>
      <c r="DA157">
        <f t="shared" si="26"/>
        <v>4.88</v>
      </c>
      <c r="DB157">
        <v>0</v>
      </c>
    </row>
    <row r="158" spans="1:106" x14ac:dyDescent="0.2">
      <c r="A158">
        <f>ROW(Source!A53)</f>
        <v>53</v>
      </c>
      <c r="B158">
        <v>39610380</v>
      </c>
      <c r="C158">
        <v>39613956</v>
      </c>
      <c r="D158">
        <v>36876744</v>
      </c>
      <c r="E158">
        <v>1</v>
      </c>
      <c r="F158">
        <v>1</v>
      </c>
      <c r="G158">
        <v>1</v>
      </c>
      <c r="H158">
        <v>3</v>
      </c>
      <c r="I158" t="s">
        <v>165</v>
      </c>
      <c r="J158" t="s">
        <v>167</v>
      </c>
      <c r="K158" t="s">
        <v>166</v>
      </c>
      <c r="L158">
        <v>1354</v>
      </c>
      <c r="N158">
        <v>1010</v>
      </c>
      <c r="O158" t="s">
        <v>86</v>
      </c>
      <c r="P158" t="s">
        <v>86</v>
      </c>
      <c r="Q158">
        <v>1</v>
      </c>
      <c r="W158">
        <v>0</v>
      </c>
      <c r="X158">
        <v>158906669</v>
      </c>
      <c r="Y158">
        <v>1</v>
      </c>
      <c r="AA158">
        <v>6493.33</v>
      </c>
      <c r="AB158">
        <v>0</v>
      </c>
      <c r="AC158">
        <v>0</v>
      </c>
      <c r="AD158">
        <v>0</v>
      </c>
      <c r="AE158">
        <v>1330.6</v>
      </c>
      <c r="AF158">
        <v>0</v>
      </c>
      <c r="AG158">
        <v>0</v>
      </c>
      <c r="AH158">
        <v>0</v>
      </c>
      <c r="AI158">
        <v>4.88</v>
      </c>
      <c r="AJ158">
        <v>1</v>
      </c>
      <c r="AK158">
        <v>1</v>
      </c>
      <c r="AL158">
        <v>1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3</v>
      </c>
      <c r="AT158">
        <v>1</v>
      </c>
      <c r="AU158" t="s">
        <v>3</v>
      </c>
      <c r="AV158">
        <v>0</v>
      </c>
      <c r="AW158">
        <v>1</v>
      </c>
      <c r="AX158">
        <v>-1</v>
      </c>
      <c r="AY158">
        <v>0</v>
      </c>
      <c r="AZ158">
        <v>0</v>
      </c>
      <c r="BA158" t="s">
        <v>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Y158*Source!I53</f>
        <v>1</v>
      </c>
      <c r="CY158">
        <f t="shared" si="24"/>
        <v>6493.33</v>
      </c>
      <c r="CZ158">
        <f t="shared" si="25"/>
        <v>1330.6</v>
      </c>
      <c r="DA158">
        <f t="shared" si="26"/>
        <v>4.88</v>
      </c>
      <c r="DB158">
        <v>0</v>
      </c>
    </row>
    <row r="159" spans="1:106" x14ac:dyDescent="0.2">
      <c r="A159">
        <f>ROW(Source!A53)</f>
        <v>53</v>
      </c>
      <c r="B159">
        <v>39610380</v>
      </c>
      <c r="C159">
        <v>39613956</v>
      </c>
      <c r="D159">
        <v>36799065</v>
      </c>
      <c r="E159">
        <v>17</v>
      </c>
      <c r="F159">
        <v>1</v>
      </c>
      <c r="G159">
        <v>1</v>
      </c>
      <c r="H159">
        <v>3</v>
      </c>
      <c r="I159" t="s">
        <v>438</v>
      </c>
      <c r="J159" t="s">
        <v>3</v>
      </c>
      <c r="K159" t="s">
        <v>439</v>
      </c>
      <c r="L159">
        <v>1374</v>
      </c>
      <c r="N159">
        <v>1013</v>
      </c>
      <c r="O159" t="s">
        <v>440</v>
      </c>
      <c r="P159" t="s">
        <v>440</v>
      </c>
      <c r="Q159">
        <v>1</v>
      </c>
      <c r="W159">
        <v>0</v>
      </c>
      <c r="X159">
        <v>-1731369543</v>
      </c>
      <c r="Y159">
        <v>0.72</v>
      </c>
      <c r="AA159">
        <v>1</v>
      </c>
      <c r="AB159">
        <v>0</v>
      </c>
      <c r="AC159">
        <v>0</v>
      </c>
      <c r="AD159">
        <v>0</v>
      </c>
      <c r="AE159">
        <v>1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0.72</v>
      </c>
      <c r="AU159" t="s">
        <v>3</v>
      </c>
      <c r="AV159">
        <v>0</v>
      </c>
      <c r="AW159">
        <v>2</v>
      </c>
      <c r="AX159">
        <v>39614013</v>
      </c>
      <c r="AY159">
        <v>1</v>
      </c>
      <c r="AZ159">
        <v>0</v>
      </c>
      <c r="BA159">
        <v>147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Y159*Source!I53</f>
        <v>0.72</v>
      </c>
      <c r="CY159">
        <f t="shared" si="24"/>
        <v>1</v>
      </c>
      <c r="CZ159">
        <f t="shared" si="25"/>
        <v>1</v>
      </c>
      <c r="DA159">
        <f t="shared" si="26"/>
        <v>1</v>
      </c>
      <c r="DB159">
        <v>0</v>
      </c>
    </row>
    <row r="160" spans="1:106" x14ac:dyDescent="0.2">
      <c r="A160">
        <f>ROW(Source!A55)</f>
        <v>55</v>
      </c>
      <c r="B160">
        <v>39610380</v>
      </c>
      <c r="C160">
        <v>39610779</v>
      </c>
      <c r="D160">
        <v>37077359</v>
      </c>
      <c r="E160">
        <v>1</v>
      </c>
      <c r="F160">
        <v>1</v>
      </c>
      <c r="G160">
        <v>1</v>
      </c>
      <c r="H160">
        <v>1</v>
      </c>
      <c r="I160" t="s">
        <v>441</v>
      </c>
      <c r="J160" t="s">
        <v>3</v>
      </c>
      <c r="K160" t="s">
        <v>442</v>
      </c>
      <c r="L160">
        <v>1191</v>
      </c>
      <c r="N160">
        <v>1013</v>
      </c>
      <c r="O160" t="s">
        <v>405</v>
      </c>
      <c r="P160" t="s">
        <v>405</v>
      </c>
      <c r="Q160">
        <v>1</v>
      </c>
      <c r="W160">
        <v>0</v>
      </c>
      <c r="X160">
        <v>-362667798</v>
      </c>
      <c r="Y160">
        <v>0.27600000000000002</v>
      </c>
      <c r="AA160">
        <v>0</v>
      </c>
      <c r="AB160">
        <v>0</v>
      </c>
      <c r="AC160">
        <v>0</v>
      </c>
      <c r="AD160">
        <v>51.24</v>
      </c>
      <c r="AE160">
        <v>0</v>
      </c>
      <c r="AF160">
        <v>0</v>
      </c>
      <c r="AG160">
        <v>0</v>
      </c>
      <c r="AH160">
        <v>10.5</v>
      </c>
      <c r="AI160">
        <v>1</v>
      </c>
      <c r="AJ160">
        <v>1</v>
      </c>
      <c r="AK160">
        <v>1</v>
      </c>
      <c r="AL160">
        <v>4.88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0.92</v>
      </c>
      <c r="AU160" t="s">
        <v>19</v>
      </c>
      <c r="AV160">
        <v>1</v>
      </c>
      <c r="AW160">
        <v>2</v>
      </c>
      <c r="AX160">
        <v>39610780</v>
      </c>
      <c r="AY160">
        <v>1</v>
      </c>
      <c r="AZ160">
        <v>0</v>
      </c>
      <c r="BA160">
        <v>148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Y160*Source!I55</f>
        <v>11.040000000000001</v>
      </c>
      <c r="CY160">
        <f>AD160</f>
        <v>51.24</v>
      </c>
      <c r="CZ160">
        <f>AH160</f>
        <v>10.5</v>
      </c>
      <c r="DA160">
        <f>AL160</f>
        <v>4.88</v>
      </c>
      <c r="DB160">
        <v>0</v>
      </c>
    </row>
    <row r="161" spans="1:106" x14ac:dyDescent="0.2">
      <c r="A161">
        <f>ROW(Source!A55)</f>
        <v>55</v>
      </c>
      <c r="B161">
        <v>39610380</v>
      </c>
      <c r="C161">
        <v>39610779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406</v>
      </c>
      <c r="J161" t="s">
        <v>3</v>
      </c>
      <c r="K161" t="s">
        <v>407</v>
      </c>
      <c r="L161">
        <v>1191</v>
      </c>
      <c r="N161">
        <v>1013</v>
      </c>
      <c r="O161" t="s">
        <v>405</v>
      </c>
      <c r="P161" t="s">
        <v>405</v>
      </c>
      <c r="Q161">
        <v>1</v>
      </c>
      <c r="W161">
        <v>0</v>
      </c>
      <c r="X161">
        <v>-1417349443</v>
      </c>
      <c r="Y161">
        <v>0.3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4.88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0.3</v>
      </c>
      <c r="AU161" t="s">
        <v>3</v>
      </c>
      <c r="AV161">
        <v>2</v>
      </c>
      <c r="AW161">
        <v>2</v>
      </c>
      <c r="AX161">
        <v>39610781</v>
      </c>
      <c r="AY161">
        <v>1</v>
      </c>
      <c r="AZ161">
        <v>2048</v>
      </c>
      <c r="BA161">
        <v>149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Y161*Source!I55</f>
        <v>12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ROW(Source!A55)</f>
        <v>55</v>
      </c>
      <c r="B162">
        <v>39610380</v>
      </c>
      <c r="C162">
        <v>39610779</v>
      </c>
      <c r="D162">
        <v>36882159</v>
      </c>
      <c r="E162">
        <v>1</v>
      </c>
      <c r="F162">
        <v>1</v>
      </c>
      <c r="G162">
        <v>1</v>
      </c>
      <c r="H162">
        <v>2</v>
      </c>
      <c r="I162" t="s">
        <v>408</v>
      </c>
      <c r="J162" t="s">
        <v>409</v>
      </c>
      <c r="K162" t="s">
        <v>410</v>
      </c>
      <c r="L162">
        <v>1368</v>
      </c>
      <c r="N162">
        <v>1011</v>
      </c>
      <c r="O162" t="s">
        <v>411</v>
      </c>
      <c r="P162" t="s">
        <v>411</v>
      </c>
      <c r="Q162">
        <v>1</v>
      </c>
      <c r="W162">
        <v>0</v>
      </c>
      <c r="X162">
        <v>-1718674368</v>
      </c>
      <c r="Y162">
        <v>6.0000000000000001E-3</v>
      </c>
      <c r="AA162">
        <v>0</v>
      </c>
      <c r="AB162">
        <v>546.51</v>
      </c>
      <c r="AC162">
        <v>13.5</v>
      </c>
      <c r="AD162">
        <v>0</v>
      </c>
      <c r="AE162">
        <v>0</v>
      </c>
      <c r="AF162">
        <v>111.99</v>
      </c>
      <c r="AG162">
        <v>13.5</v>
      </c>
      <c r="AH162">
        <v>0</v>
      </c>
      <c r="AI162">
        <v>1</v>
      </c>
      <c r="AJ162">
        <v>4.88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0.02</v>
      </c>
      <c r="AU162" t="s">
        <v>19</v>
      </c>
      <c r="AV162">
        <v>0</v>
      </c>
      <c r="AW162">
        <v>2</v>
      </c>
      <c r="AX162">
        <v>39610782</v>
      </c>
      <c r="AY162">
        <v>1</v>
      </c>
      <c r="AZ162">
        <v>0</v>
      </c>
      <c r="BA162">
        <v>150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Y162*Source!I55</f>
        <v>0.24</v>
      </c>
      <c r="CY162">
        <f>AB162</f>
        <v>546.51</v>
      </c>
      <c r="CZ162">
        <f>AF162</f>
        <v>111.99</v>
      </c>
      <c r="DA162">
        <f>AJ162</f>
        <v>4.88</v>
      </c>
      <c r="DB162">
        <v>0</v>
      </c>
    </row>
    <row r="163" spans="1:106" x14ac:dyDescent="0.2">
      <c r="A163">
        <f>ROW(Source!A55)</f>
        <v>55</v>
      </c>
      <c r="B163">
        <v>39610380</v>
      </c>
      <c r="C163">
        <v>39610779</v>
      </c>
      <c r="D163">
        <v>36882492</v>
      </c>
      <c r="E163">
        <v>1</v>
      </c>
      <c r="F163">
        <v>1</v>
      </c>
      <c r="G163">
        <v>1</v>
      </c>
      <c r="H163">
        <v>2</v>
      </c>
      <c r="I163" t="s">
        <v>443</v>
      </c>
      <c r="J163" t="s">
        <v>444</v>
      </c>
      <c r="K163" t="s">
        <v>445</v>
      </c>
      <c r="L163">
        <v>1368</v>
      </c>
      <c r="N163">
        <v>1011</v>
      </c>
      <c r="O163" t="s">
        <v>411</v>
      </c>
      <c r="P163" t="s">
        <v>411</v>
      </c>
      <c r="Q163">
        <v>1</v>
      </c>
      <c r="W163">
        <v>0</v>
      </c>
      <c r="X163">
        <v>1599745326</v>
      </c>
      <c r="Y163">
        <v>7.8E-2</v>
      </c>
      <c r="AA163">
        <v>0</v>
      </c>
      <c r="AB163">
        <v>696.38</v>
      </c>
      <c r="AC163">
        <v>13.5</v>
      </c>
      <c r="AD163">
        <v>0</v>
      </c>
      <c r="AE163">
        <v>0</v>
      </c>
      <c r="AF163">
        <v>142.69999999999999</v>
      </c>
      <c r="AG163">
        <v>13.5</v>
      </c>
      <c r="AH163">
        <v>0</v>
      </c>
      <c r="AI163">
        <v>1</v>
      </c>
      <c r="AJ163">
        <v>4.88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0.26</v>
      </c>
      <c r="AU163" t="s">
        <v>19</v>
      </c>
      <c r="AV163">
        <v>0</v>
      </c>
      <c r="AW163">
        <v>2</v>
      </c>
      <c r="AX163">
        <v>39610783</v>
      </c>
      <c r="AY163">
        <v>1</v>
      </c>
      <c r="AZ163">
        <v>0</v>
      </c>
      <c r="BA163">
        <v>151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Y163*Source!I55</f>
        <v>3.12</v>
      </c>
      <c r="CY163">
        <f>AB163</f>
        <v>696.38</v>
      </c>
      <c r="CZ163">
        <f>AF163</f>
        <v>142.69999999999999</v>
      </c>
      <c r="DA163">
        <f>AJ163</f>
        <v>4.88</v>
      </c>
      <c r="DB163">
        <v>0</v>
      </c>
    </row>
    <row r="164" spans="1:106" x14ac:dyDescent="0.2">
      <c r="A164">
        <f>ROW(Source!A55)</f>
        <v>55</v>
      </c>
      <c r="B164">
        <v>39610380</v>
      </c>
      <c r="C164">
        <v>39610779</v>
      </c>
      <c r="D164">
        <v>36883554</v>
      </c>
      <c r="E164">
        <v>1</v>
      </c>
      <c r="F164">
        <v>1</v>
      </c>
      <c r="G164">
        <v>1</v>
      </c>
      <c r="H164">
        <v>2</v>
      </c>
      <c r="I164" t="s">
        <v>412</v>
      </c>
      <c r="J164" t="s">
        <v>413</v>
      </c>
      <c r="K164" t="s">
        <v>414</v>
      </c>
      <c r="L164">
        <v>1368</v>
      </c>
      <c r="N164">
        <v>1011</v>
      </c>
      <c r="O164" t="s">
        <v>411</v>
      </c>
      <c r="P164" t="s">
        <v>411</v>
      </c>
      <c r="Q164">
        <v>1</v>
      </c>
      <c r="W164">
        <v>0</v>
      </c>
      <c r="X164">
        <v>1372534845</v>
      </c>
      <c r="Y164">
        <v>6.0000000000000001E-3</v>
      </c>
      <c r="AA164">
        <v>0</v>
      </c>
      <c r="AB164">
        <v>320.66000000000003</v>
      </c>
      <c r="AC164">
        <v>11.6</v>
      </c>
      <c r="AD164">
        <v>0</v>
      </c>
      <c r="AE164">
        <v>0</v>
      </c>
      <c r="AF164">
        <v>65.709999999999994</v>
      </c>
      <c r="AG164">
        <v>11.6</v>
      </c>
      <c r="AH164">
        <v>0</v>
      </c>
      <c r="AI164">
        <v>1</v>
      </c>
      <c r="AJ164">
        <v>4.88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0.02</v>
      </c>
      <c r="AU164" t="s">
        <v>19</v>
      </c>
      <c r="AV164">
        <v>0</v>
      </c>
      <c r="AW164">
        <v>2</v>
      </c>
      <c r="AX164">
        <v>39610784</v>
      </c>
      <c r="AY164">
        <v>1</v>
      </c>
      <c r="AZ164">
        <v>0</v>
      </c>
      <c r="BA164">
        <v>152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Y164*Source!I55</f>
        <v>0.24</v>
      </c>
      <c r="CY164">
        <f>AB164</f>
        <v>320.66000000000003</v>
      </c>
      <c r="CZ164">
        <f>AF164</f>
        <v>65.709999999999994</v>
      </c>
      <c r="DA164">
        <f>AJ164</f>
        <v>4.88</v>
      </c>
      <c r="DB164">
        <v>0</v>
      </c>
    </row>
    <row r="165" spans="1:106" x14ac:dyDescent="0.2">
      <c r="A165">
        <f>ROW(Source!A55)</f>
        <v>55</v>
      </c>
      <c r="B165">
        <v>39610380</v>
      </c>
      <c r="C165">
        <v>39610779</v>
      </c>
      <c r="D165">
        <v>36802094</v>
      </c>
      <c r="E165">
        <v>1</v>
      </c>
      <c r="F165">
        <v>1</v>
      </c>
      <c r="G165">
        <v>1</v>
      </c>
      <c r="H165">
        <v>3</v>
      </c>
      <c r="I165" t="s">
        <v>466</v>
      </c>
      <c r="J165" t="s">
        <v>467</v>
      </c>
      <c r="K165" t="s">
        <v>468</v>
      </c>
      <c r="L165">
        <v>1346</v>
      </c>
      <c r="N165">
        <v>1009</v>
      </c>
      <c r="O165" t="s">
        <v>424</v>
      </c>
      <c r="P165" t="s">
        <v>424</v>
      </c>
      <c r="Q165">
        <v>1</v>
      </c>
      <c r="W165">
        <v>0</v>
      </c>
      <c r="X165">
        <v>-1088866022</v>
      </c>
      <c r="Y165">
        <v>0</v>
      </c>
      <c r="AA165">
        <v>148.35</v>
      </c>
      <c r="AB165">
        <v>0</v>
      </c>
      <c r="AC165">
        <v>0</v>
      </c>
      <c r="AD165">
        <v>0</v>
      </c>
      <c r="AE165">
        <v>30.4</v>
      </c>
      <c r="AF165">
        <v>0</v>
      </c>
      <c r="AG165">
        <v>0</v>
      </c>
      <c r="AH165">
        <v>0</v>
      </c>
      <c r="AI165">
        <v>4.88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0.01</v>
      </c>
      <c r="AU165" t="s">
        <v>18</v>
      </c>
      <c r="AV165">
        <v>0</v>
      </c>
      <c r="AW165">
        <v>2</v>
      </c>
      <c r="AX165">
        <v>39610785</v>
      </c>
      <c r="AY165">
        <v>1</v>
      </c>
      <c r="AZ165">
        <v>0</v>
      </c>
      <c r="BA165">
        <v>153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Y165*Source!I55</f>
        <v>0</v>
      </c>
      <c r="CY165">
        <f>AA165</f>
        <v>148.35</v>
      </c>
      <c r="CZ165">
        <f>AE165</f>
        <v>30.4</v>
      </c>
      <c r="DA165">
        <f>AI165</f>
        <v>4.88</v>
      </c>
      <c r="DB165">
        <v>0</v>
      </c>
    </row>
    <row r="166" spans="1:106" x14ac:dyDescent="0.2">
      <c r="A166">
        <f>ROW(Source!A55)</f>
        <v>55</v>
      </c>
      <c r="B166">
        <v>39610380</v>
      </c>
      <c r="C166">
        <v>39610779</v>
      </c>
      <c r="D166">
        <v>36802162</v>
      </c>
      <c r="E166">
        <v>1</v>
      </c>
      <c r="F166">
        <v>1</v>
      </c>
      <c r="G166">
        <v>1</v>
      </c>
      <c r="H166">
        <v>3</v>
      </c>
      <c r="I166" t="s">
        <v>446</v>
      </c>
      <c r="J166" t="s">
        <v>447</v>
      </c>
      <c r="K166" t="s">
        <v>448</v>
      </c>
      <c r="L166">
        <v>1346</v>
      </c>
      <c r="N166">
        <v>1009</v>
      </c>
      <c r="O166" t="s">
        <v>424</v>
      </c>
      <c r="P166" t="s">
        <v>424</v>
      </c>
      <c r="Q166">
        <v>1</v>
      </c>
      <c r="W166">
        <v>0</v>
      </c>
      <c r="X166">
        <v>-1369864075</v>
      </c>
      <c r="Y166">
        <v>0</v>
      </c>
      <c r="AA166">
        <v>117.32</v>
      </c>
      <c r="AB166">
        <v>0</v>
      </c>
      <c r="AC166">
        <v>0</v>
      </c>
      <c r="AD166">
        <v>0</v>
      </c>
      <c r="AE166">
        <v>24.04</v>
      </c>
      <c r="AF166">
        <v>0</v>
      </c>
      <c r="AG166">
        <v>0</v>
      </c>
      <c r="AH166">
        <v>0</v>
      </c>
      <c r="AI166">
        <v>4.88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1.2E-2</v>
      </c>
      <c r="AU166" t="s">
        <v>18</v>
      </c>
      <c r="AV166">
        <v>0</v>
      </c>
      <c r="AW166">
        <v>2</v>
      </c>
      <c r="AX166">
        <v>39610786</v>
      </c>
      <c r="AY166">
        <v>1</v>
      </c>
      <c r="AZ166">
        <v>0</v>
      </c>
      <c r="BA166">
        <v>154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Y166*Source!I55</f>
        <v>0</v>
      </c>
      <c r="CY166">
        <f>AA166</f>
        <v>117.32</v>
      </c>
      <c r="CZ166">
        <f>AE166</f>
        <v>24.04</v>
      </c>
      <c r="DA166">
        <f>AI166</f>
        <v>4.88</v>
      </c>
      <c r="DB166">
        <v>0</v>
      </c>
    </row>
    <row r="167" spans="1:106" x14ac:dyDescent="0.2">
      <c r="A167">
        <f>ROW(Source!A55)</f>
        <v>55</v>
      </c>
      <c r="B167">
        <v>39610380</v>
      </c>
      <c r="C167">
        <v>39610779</v>
      </c>
      <c r="D167">
        <v>36859700</v>
      </c>
      <c r="E167">
        <v>1</v>
      </c>
      <c r="F167">
        <v>1</v>
      </c>
      <c r="G167">
        <v>1</v>
      </c>
      <c r="H167">
        <v>3</v>
      </c>
      <c r="I167" t="s">
        <v>577</v>
      </c>
      <c r="J167" t="s">
        <v>578</v>
      </c>
      <c r="K167" t="s">
        <v>579</v>
      </c>
      <c r="L167">
        <v>1348</v>
      </c>
      <c r="N167">
        <v>1009</v>
      </c>
      <c r="O167" t="s">
        <v>237</v>
      </c>
      <c r="P167" t="s">
        <v>237</v>
      </c>
      <c r="Q167">
        <v>1000</v>
      </c>
      <c r="W167">
        <v>0</v>
      </c>
      <c r="X167">
        <v>-781267</v>
      </c>
      <c r="Y167">
        <v>0</v>
      </c>
      <c r="AA167">
        <v>470627.2</v>
      </c>
      <c r="AB167">
        <v>0</v>
      </c>
      <c r="AC167">
        <v>0</v>
      </c>
      <c r="AD167">
        <v>0</v>
      </c>
      <c r="AE167">
        <v>96440</v>
      </c>
      <c r="AF167">
        <v>0</v>
      </c>
      <c r="AG167">
        <v>0</v>
      </c>
      <c r="AH167">
        <v>0</v>
      </c>
      <c r="AI167">
        <v>4.88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5.0000000000000001E-4</v>
      </c>
      <c r="AU167" t="s">
        <v>18</v>
      </c>
      <c r="AV167">
        <v>0</v>
      </c>
      <c r="AW167">
        <v>2</v>
      </c>
      <c r="AX167">
        <v>39610787</v>
      </c>
      <c r="AY167">
        <v>1</v>
      </c>
      <c r="AZ167">
        <v>0</v>
      </c>
      <c r="BA167">
        <v>155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Y167*Source!I55</f>
        <v>0</v>
      </c>
      <c r="CY167">
        <f>AA167</f>
        <v>470627.2</v>
      </c>
      <c r="CZ167">
        <f>AE167</f>
        <v>96440</v>
      </c>
      <c r="DA167">
        <f>AI167</f>
        <v>4.88</v>
      </c>
      <c r="DB167">
        <v>0</v>
      </c>
    </row>
    <row r="168" spans="1:106" x14ac:dyDescent="0.2">
      <c r="A168">
        <f>ROW(Source!A55)</f>
        <v>55</v>
      </c>
      <c r="B168">
        <v>39610380</v>
      </c>
      <c r="C168">
        <v>39610779</v>
      </c>
      <c r="D168">
        <v>36867794</v>
      </c>
      <c r="E168">
        <v>1</v>
      </c>
      <c r="F168">
        <v>1</v>
      </c>
      <c r="G168">
        <v>1</v>
      </c>
      <c r="H168">
        <v>3</v>
      </c>
      <c r="I168" t="s">
        <v>574</v>
      </c>
      <c r="J168" t="s">
        <v>575</v>
      </c>
      <c r="K168" t="s">
        <v>576</v>
      </c>
      <c r="L168">
        <v>1346</v>
      </c>
      <c r="N168">
        <v>1009</v>
      </c>
      <c r="O168" t="s">
        <v>424</v>
      </c>
      <c r="P168" t="s">
        <v>424</v>
      </c>
      <c r="Q168">
        <v>1</v>
      </c>
      <c r="W168">
        <v>0</v>
      </c>
      <c r="X168">
        <v>1584075688</v>
      </c>
      <c r="Y168">
        <v>0</v>
      </c>
      <c r="AA168">
        <v>174.22</v>
      </c>
      <c r="AB168">
        <v>0</v>
      </c>
      <c r="AC168">
        <v>0</v>
      </c>
      <c r="AD168">
        <v>0</v>
      </c>
      <c r="AE168">
        <v>35.700000000000003</v>
      </c>
      <c r="AF168">
        <v>0</v>
      </c>
      <c r="AG168">
        <v>0</v>
      </c>
      <c r="AH168">
        <v>0</v>
      </c>
      <c r="AI168">
        <v>4.88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0.01</v>
      </c>
      <c r="AU168" t="s">
        <v>18</v>
      </c>
      <c r="AV168">
        <v>0</v>
      </c>
      <c r="AW168">
        <v>2</v>
      </c>
      <c r="AX168">
        <v>39610788</v>
      </c>
      <c r="AY168">
        <v>1</v>
      </c>
      <c r="AZ168">
        <v>0</v>
      </c>
      <c r="BA168">
        <v>156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Y168*Source!I55</f>
        <v>0</v>
      </c>
      <c r="CY168">
        <f>AA168</f>
        <v>174.22</v>
      </c>
      <c r="CZ168">
        <f>AE168</f>
        <v>35.700000000000003</v>
      </c>
      <c r="DA168">
        <f>AI168</f>
        <v>4.88</v>
      </c>
      <c r="DB168">
        <v>0</v>
      </c>
    </row>
    <row r="169" spans="1:106" x14ac:dyDescent="0.2">
      <c r="A169">
        <f>ROW(Source!A55)</f>
        <v>55</v>
      </c>
      <c r="B169">
        <v>39610380</v>
      </c>
      <c r="C169">
        <v>39610779</v>
      </c>
      <c r="D169">
        <v>36799065</v>
      </c>
      <c r="E169">
        <v>17</v>
      </c>
      <c r="F169">
        <v>1</v>
      </c>
      <c r="G169">
        <v>1</v>
      </c>
      <c r="H169">
        <v>3</v>
      </c>
      <c r="I169" t="s">
        <v>438</v>
      </c>
      <c r="J169" t="s">
        <v>3</v>
      </c>
      <c r="K169" t="s">
        <v>439</v>
      </c>
      <c r="L169">
        <v>1374</v>
      </c>
      <c r="N169">
        <v>1013</v>
      </c>
      <c r="O169" t="s">
        <v>440</v>
      </c>
      <c r="P169" t="s">
        <v>440</v>
      </c>
      <c r="Q169">
        <v>1</v>
      </c>
      <c r="W169">
        <v>0</v>
      </c>
      <c r="X169">
        <v>-1731369543</v>
      </c>
      <c r="Y169">
        <v>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0.19</v>
      </c>
      <c r="AU169" t="s">
        <v>18</v>
      </c>
      <c r="AV169">
        <v>0</v>
      </c>
      <c r="AW169">
        <v>2</v>
      </c>
      <c r="AX169">
        <v>39610789</v>
      </c>
      <c r="AY169">
        <v>1</v>
      </c>
      <c r="AZ169">
        <v>0</v>
      </c>
      <c r="BA169">
        <v>157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Y169*Source!I55</f>
        <v>0</v>
      </c>
      <c r="CY169">
        <f>AA169</f>
        <v>1</v>
      </c>
      <c r="CZ169">
        <f>AE169</f>
        <v>1</v>
      </c>
      <c r="DA169">
        <f>AI169</f>
        <v>1</v>
      </c>
      <c r="DB169">
        <v>0</v>
      </c>
    </row>
    <row r="170" spans="1:106" x14ac:dyDescent="0.2">
      <c r="A170">
        <f>ROW(Source!A56)</f>
        <v>56</v>
      </c>
      <c r="B170">
        <v>39610380</v>
      </c>
      <c r="C170">
        <v>39611941</v>
      </c>
      <c r="D170">
        <v>37080781</v>
      </c>
      <c r="E170">
        <v>1</v>
      </c>
      <c r="F170">
        <v>1</v>
      </c>
      <c r="G170">
        <v>1</v>
      </c>
      <c r="H170">
        <v>1</v>
      </c>
      <c r="I170" t="s">
        <v>558</v>
      </c>
      <c r="J170" t="s">
        <v>3</v>
      </c>
      <c r="K170" t="s">
        <v>559</v>
      </c>
      <c r="L170">
        <v>1191</v>
      </c>
      <c r="N170">
        <v>1013</v>
      </c>
      <c r="O170" t="s">
        <v>405</v>
      </c>
      <c r="P170" t="s">
        <v>405</v>
      </c>
      <c r="Q170">
        <v>1</v>
      </c>
      <c r="W170">
        <v>0</v>
      </c>
      <c r="X170">
        <v>912892513</v>
      </c>
      <c r="Y170">
        <v>325.60000000000002</v>
      </c>
      <c r="AA170">
        <v>0</v>
      </c>
      <c r="AB170">
        <v>0</v>
      </c>
      <c r="AC170">
        <v>0</v>
      </c>
      <c r="AD170">
        <v>48.41</v>
      </c>
      <c r="AE170">
        <v>0</v>
      </c>
      <c r="AF170">
        <v>0</v>
      </c>
      <c r="AG170">
        <v>0</v>
      </c>
      <c r="AH170">
        <v>9.92</v>
      </c>
      <c r="AI170">
        <v>1</v>
      </c>
      <c r="AJ170">
        <v>1</v>
      </c>
      <c r="AK170">
        <v>1</v>
      </c>
      <c r="AL170">
        <v>4.88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325.60000000000002</v>
      </c>
      <c r="AU170" t="s">
        <v>3</v>
      </c>
      <c r="AV170">
        <v>1</v>
      </c>
      <c r="AW170">
        <v>2</v>
      </c>
      <c r="AX170">
        <v>39611942</v>
      </c>
      <c r="AY170">
        <v>1</v>
      </c>
      <c r="AZ170">
        <v>0</v>
      </c>
      <c r="BA170">
        <v>158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Y170*Source!I56</f>
        <v>130.24</v>
      </c>
      <c r="CY170">
        <f>AD170</f>
        <v>48.41</v>
      </c>
      <c r="CZ170">
        <f>AH170</f>
        <v>9.92</v>
      </c>
      <c r="DA170">
        <f>AL170</f>
        <v>4.88</v>
      </c>
      <c r="DB170">
        <v>0</v>
      </c>
    </row>
    <row r="171" spans="1:106" x14ac:dyDescent="0.2">
      <c r="A171">
        <f>ROW(Source!A56)</f>
        <v>56</v>
      </c>
      <c r="B171">
        <v>39610380</v>
      </c>
      <c r="C171">
        <v>39611941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406</v>
      </c>
      <c r="J171" t="s">
        <v>3</v>
      </c>
      <c r="K171" t="s">
        <v>407</v>
      </c>
      <c r="L171">
        <v>1191</v>
      </c>
      <c r="N171">
        <v>1013</v>
      </c>
      <c r="O171" t="s">
        <v>405</v>
      </c>
      <c r="P171" t="s">
        <v>405</v>
      </c>
      <c r="Q171">
        <v>1</v>
      </c>
      <c r="W171">
        <v>0</v>
      </c>
      <c r="X171">
        <v>-1417349443</v>
      </c>
      <c r="Y171">
        <v>111.14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4.88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111.14</v>
      </c>
      <c r="AU171" t="s">
        <v>3</v>
      </c>
      <c r="AV171">
        <v>2</v>
      </c>
      <c r="AW171">
        <v>2</v>
      </c>
      <c r="AX171">
        <v>39611943</v>
      </c>
      <c r="AY171">
        <v>1</v>
      </c>
      <c r="AZ171">
        <v>0</v>
      </c>
      <c r="BA171">
        <v>159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Y171*Source!I56</f>
        <v>44.456000000000003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ROW(Source!A56)</f>
        <v>56</v>
      </c>
      <c r="B172">
        <v>39610380</v>
      </c>
      <c r="C172">
        <v>39611941</v>
      </c>
      <c r="D172">
        <v>36882159</v>
      </c>
      <c r="E172">
        <v>1</v>
      </c>
      <c r="F172">
        <v>1</v>
      </c>
      <c r="G172">
        <v>1</v>
      </c>
      <c r="H172">
        <v>2</v>
      </c>
      <c r="I172" t="s">
        <v>408</v>
      </c>
      <c r="J172" t="s">
        <v>409</v>
      </c>
      <c r="K172" t="s">
        <v>410</v>
      </c>
      <c r="L172">
        <v>1368</v>
      </c>
      <c r="N172">
        <v>1011</v>
      </c>
      <c r="O172" t="s">
        <v>411</v>
      </c>
      <c r="P172" t="s">
        <v>411</v>
      </c>
      <c r="Q172">
        <v>1</v>
      </c>
      <c r="W172">
        <v>0</v>
      </c>
      <c r="X172">
        <v>-1718674368</v>
      </c>
      <c r="Y172">
        <v>1.81</v>
      </c>
      <c r="AA172">
        <v>0</v>
      </c>
      <c r="AB172">
        <v>546.51</v>
      </c>
      <c r="AC172">
        <v>13.5</v>
      </c>
      <c r="AD172">
        <v>0</v>
      </c>
      <c r="AE172">
        <v>0</v>
      </c>
      <c r="AF172">
        <v>111.99</v>
      </c>
      <c r="AG172">
        <v>13.5</v>
      </c>
      <c r="AH172">
        <v>0</v>
      </c>
      <c r="AI172">
        <v>1</v>
      </c>
      <c r="AJ172">
        <v>4.88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1.81</v>
      </c>
      <c r="AU172" t="s">
        <v>3</v>
      </c>
      <c r="AV172">
        <v>0</v>
      </c>
      <c r="AW172">
        <v>2</v>
      </c>
      <c r="AX172">
        <v>39611944</v>
      </c>
      <c r="AY172">
        <v>1</v>
      </c>
      <c r="AZ172">
        <v>0</v>
      </c>
      <c r="BA172">
        <v>160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Y172*Source!I56</f>
        <v>0.72400000000000009</v>
      </c>
      <c r="CY172">
        <f>AB172</f>
        <v>546.51</v>
      </c>
      <c r="CZ172">
        <f>AF172</f>
        <v>111.99</v>
      </c>
      <c r="DA172">
        <f>AJ172</f>
        <v>4.88</v>
      </c>
      <c r="DB172">
        <v>0</v>
      </c>
    </row>
    <row r="173" spans="1:106" x14ac:dyDescent="0.2">
      <c r="A173">
        <f>ROW(Source!A56)</f>
        <v>56</v>
      </c>
      <c r="B173">
        <v>39610380</v>
      </c>
      <c r="C173">
        <v>39611941</v>
      </c>
      <c r="D173">
        <v>36882492</v>
      </c>
      <c r="E173">
        <v>1</v>
      </c>
      <c r="F173">
        <v>1</v>
      </c>
      <c r="G173">
        <v>1</v>
      </c>
      <c r="H173">
        <v>2</v>
      </c>
      <c r="I173" t="s">
        <v>443</v>
      </c>
      <c r="J173" t="s">
        <v>444</v>
      </c>
      <c r="K173" t="s">
        <v>445</v>
      </c>
      <c r="L173">
        <v>1368</v>
      </c>
      <c r="N173">
        <v>1011</v>
      </c>
      <c r="O173" t="s">
        <v>411</v>
      </c>
      <c r="P173" t="s">
        <v>411</v>
      </c>
      <c r="Q173">
        <v>1</v>
      </c>
      <c r="W173">
        <v>0</v>
      </c>
      <c r="X173">
        <v>1599745326</v>
      </c>
      <c r="Y173">
        <v>107.52</v>
      </c>
      <c r="AA173">
        <v>0</v>
      </c>
      <c r="AB173">
        <v>696.38</v>
      </c>
      <c r="AC173">
        <v>13.5</v>
      </c>
      <c r="AD173">
        <v>0</v>
      </c>
      <c r="AE173">
        <v>0</v>
      </c>
      <c r="AF173">
        <v>142.69999999999999</v>
      </c>
      <c r="AG173">
        <v>13.5</v>
      </c>
      <c r="AH173">
        <v>0</v>
      </c>
      <c r="AI173">
        <v>1</v>
      </c>
      <c r="AJ173">
        <v>4.88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107.52</v>
      </c>
      <c r="AU173" t="s">
        <v>3</v>
      </c>
      <c r="AV173">
        <v>0</v>
      </c>
      <c r="AW173">
        <v>2</v>
      </c>
      <c r="AX173">
        <v>39611945</v>
      </c>
      <c r="AY173">
        <v>1</v>
      </c>
      <c r="AZ173">
        <v>0</v>
      </c>
      <c r="BA173">
        <v>161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Y173*Source!I56</f>
        <v>43.008000000000003</v>
      </c>
      <c r="CY173">
        <f>AB173</f>
        <v>696.38</v>
      </c>
      <c r="CZ173">
        <f>AF173</f>
        <v>142.69999999999999</v>
      </c>
      <c r="DA173">
        <f>AJ173</f>
        <v>4.88</v>
      </c>
      <c r="DB173">
        <v>0</v>
      </c>
    </row>
    <row r="174" spans="1:106" x14ac:dyDescent="0.2">
      <c r="A174">
        <f>ROW(Source!A56)</f>
        <v>56</v>
      </c>
      <c r="B174">
        <v>39610380</v>
      </c>
      <c r="C174">
        <v>39611941</v>
      </c>
      <c r="D174">
        <v>36883554</v>
      </c>
      <c r="E174">
        <v>1</v>
      </c>
      <c r="F174">
        <v>1</v>
      </c>
      <c r="G174">
        <v>1</v>
      </c>
      <c r="H174">
        <v>2</v>
      </c>
      <c r="I174" t="s">
        <v>412</v>
      </c>
      <c r="J174" t="s">
        <v>413</v>
      </c>
      <c r="K174" t="s">
        <v>414</v>
      </c>
      <c r="L174">
        <v>1368</v>
      </c>
      <c r="N174">
        <v>1011</v>
      </c>
      <c r="O174" t="s">
        <v>411</v>
      </c>
      <c r="P174" t="s">
        <v>411</v>
      </c>
      <c r="Q174">
        <v>1</v>
      </c>
      <c r="W174">
        <v>0</v>
      </c>
      <c r="X174">
        <v>1372534845</v>
      </c>
      <c r="Y174">
        <v>1.81</v>
      </c>
      <c r="AA174">
        <v>0</v>
      </c>
      <c r="AB174">
        <v>320.66000000000003</v>
      </c>
      <c r="AC174">
        <v>11.6</v>
      </c>
      <c r="AD174">
        <v>0</v>
      </c>
      <c r="AE174">
        <v>0</v>
      </c>
      <c r="AF174">
        <v>65.709999999999994</v>
      </c>
      <c r="AG174">
        <v>11.6</v>
      </c>
      <c r="AH174">
        <v>0</v>
      </c>
      <c r="AI174">
        <v>1</v>
      </c>
      <c r="AJ174">
        <v>4.88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1.81</v>
      </c>
      <c r="AU174" t="s">
        <v>3</v>
      </c>
      <c r="AV174">
        <v>0</v>
      </c>
      <c r="AW174">
        <v>2</v>
      </c>
      <c r="AX174">
        <v>39611946</v>
      </c>
      <c r="AY174">
        <v>1</v>
      </c>
      <c r="AZ174">
        <v>0</v>
      </c>
      <c r="BA174">
        <v>162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Y174*Source!I56</f>
        <v>0.72400000000000009</v>
      </c>
      <c r="CY174">
        <f>AB174</f>
        <v>320.66000000000003</v>
      </c>
      <c r="CZ174">
        <f>AF174</f>
        <v>65.709999999999994</v>
      </c>
      <c r="DA174">
        <f>AJ174</f>
        <v>4.88</v>
      </c>
      <c r="DB174">
        <v>0</v>
      </c>
    </row>
    <row r="175" spans="1:106" x14ac:dyDescent="0.2">
      <c r="A175">
        <f>ROW(Source!A56)</f>
        <v>56</v>
      </c>
      <c r="B175">
        <v>39610380</v>
      </c>
      <c r="C175">
        <v>39611941</v>
      </c>
      <c r="D175">
        <v>36883858</v>
      </c>
      <c r="E175">
        <v>1</v>
      </c>
      <c r="F175">
        <v>1</v>
      </c>
      <c r="G175">
        <v>1</v>
      </c>
      <c r="H175">
        <v>2</v>
      </c>
      <c r="I175" t="s">
        <v>415</v>
      </c>
      <c r="J175" t="s">
        <v>416</v>
      </c>
      <c r="K175" t="s">
        <v>417</v>
      </c>
      <c r="L175">
        <v>1368</v>
      </c>
      <c r="N175">
        <v>1011</v>
      </c>
      <c r="O175" t="s">
        <v>411</v>
      </c>
      <c r="P175" t="s">
        <v>411</v>
      </c>
      <c r="Q175">
        <v>1</v>
      </c>
      <c r="W175">
        <v>0</v>
      </c>
      <c r="X175">
        <v>-353815937</v>
      </c>
      <c r="Y175">
        <v>8.51</v>
      </c>
      <c r="AA175">
        <v>0</v>
      </c>
      <c r="AB175">
        <v>39.53</v>
      </c>
      <c r="AC175">
        <v>0</v>
      </c>
      <c r="AD175">
        <v>0</v>
      </c>
      <c r="AE175">
        <v>0</v>
      </c>
      <c r="AF175">
        <v>8.1</v>
      </c>
      <c r="AG175">
        <v>0</v>
      </c>
      <c r="AH175">
        <v>0</v>
      </c>
      <c r="AI175">
        <v>1</v>
      </c>
      <c r="AJ175">
        <v>4.88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8.51</v>
      </c>
      <c r="AU175" t="s">
        <v>3</v>
      </c>
      <c r="AV175">
        <v>0</v>
      </c>
      <c r="AW175">
        <v>2</v>
      </c>
      <c r="AX175">
        <v>39611947</v>
      </c>
      <c r="AY175">
        <v>1</v>
      </c>
      <c r="AZ175">
        <v>0</v>
      </c>
      <c r="BA175">
        <v>163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Y175*Source!I56</f>
        <v>3.4039999999999999</v>
      </c>
      <c r="CY175">
        <f>AB175</f>
        <v>39.53</v>
      </c>
      <c r="CZ175">
        <f>AF175</f>
        <v>8.1</v>
      </c>
      <c r="DA175">
        <f>AJ175</f>
        <v>4.88</v>
      </c>
      <c r="DB175">
        <v>0</v>
      </c>
    </row>
    <row r="176" spans="1:106" x14ac:dyDescent="0.2">
      <c r="A176">
        <f>ROW(Source!A56)</f>
        <v>56</v>
      </c>
      <c r="B176">
        <v>39610380</v>
      </c>
      <c r="C176">
        <v>39611941</v>
      </c>
      <c r="D176">
        <v>36802094</v>
      </c>
      <c r="E176">
        <v>1</v>
      </c>
      <c r="F176">
        <v>1</v>
      </c>
      <c r="G176">
        <v>1</v>
      </c>
      <c r="H176">
        <v>3</v>
      </c>
      <c r="I176" t="s">
        <v>466</v>
      </c>
      <c r="J176" t="s">
        <v>467</v>
      </c>
      <c r="K176" t="s">
        <v>468</v>
      </c>
      <c r="L176">
        <v>1346</v>
      </c>
      <c r="N176">
        <v>1009</v>
      </c>
      <c r="O176" t="s">
        <v>424</v>
      </c>
      <c r="P176" t="s">
        <v>424</v>
      </c>
      <c r="Q176">
        <v>1</v>
      </c>
      <c r="W176">
        <v>0</v>
      </c>
      <c r="X176">
        <v>-1088866022</v>
      </c>
      <c r="Y176">
        <v>0.5</v>
      </c>
      <c r="AA176">
        <v>148.35</v>
      </c>
      <c r="AB176">
        <v>0</v>
      </c>
      <c r="AC176">
        <v>0</v>
      </c>
      <c r="AD176">
        <v>0</v>
      </c>
      <c r="AE176">
        <v>30.4</v>
      </c>
      <c r="AF176">
        <v>0</v>
      </c>
      <c r="AG176">
        <v>0</v>
      </c>
      <c r="AH176">
        <v>0</v>
      </c>
      <c r="AI176">
        <v>4.88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0.5</v>
      </c>
      <c r="AU176" t="s">
        <v>3</v>
      </c>
      <c r="AV176">
        <v>0</v>
      </c>
      <c r="AW176">
        <v>2</v>
      </c>
      <c r="AX176">
        <v>39611948</v>
      </c>
      <c r="AY176">
        <v>1</v>
      </c>
      <c r="AZ176">
        <v>0</v>
      </c>
      <c r="BA176">
        <v>164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Y176*Source!I56</f>
        <v>0.2</v>
      </c>
      <c r="CY176">
        <f t="shared" ref="CY176:CY182" si="27">AA176</f>
        <v>148.35</v>
      </c>
      <c r="CZ176">
        <f t="shared" ref="CZ176:CZ182" si="28">AE176</f>
        <v>30.4</v>
      </c>
      <c r="DA176">
        <f t="shared" ref="DA176:DA182" si="29">AI176</f>
        <v>4.88</v>
      </c>
      <c r="DB176">
        <v>0</v>
      </c>
    </row>
    <row r="177" spans="1:106" x14ac:dyDescent="0.2">
      <c r="A177">
        <f>ROW(Source!A56)</f>
        <v>56</v>
      </c>
      <c r="B177">
        <v>39610380</v>
      </c>
      <c r="C177">
        <v>39611941</v>
      </c>
      <c r="D177">
        <v>36803258</v>
      </c>
      <c r="E177">
        <v>1</v>
      </c>
      <c r="F177">
        <v>1</v>
      </c>
      <c r="G177">
        <v>1</v>
      </c>
      <c r="H177">
        <v>3</v>
      </c>
      <c r="I177" t="s">
        <v>421</v>
      </c>
      <c r="J177" t="s">
        <v>422</v>
      </c>
      <c r="K177" t="s">
        <v>423</v>
      </c>
      <c r="L177">
        <v>1346</v>
      </c>
      <c r="N177">
        <v>1009</v>
      </c>
      <c r="O177" t="s">
        <v>424</v>
      </c>
      <c r="P177" t="s">
        <v>424</v>
      </c>
      <c r="Q177">
        <v>1</v>
      </c>
      <c r="W177">
        <v>0</v>
      </c>
      <c r="X177">
        <v>586013393</v>
      </c>
      <c r="Y177">
        <v>5.2</v>
      </c>
      <c r="AA177">
        <v>51.58</v>
      </c>
      <c r="AB177">
        <v>0</v>
      </c>
      <c r="AC177">
        <v>0</v>
      </c>
      <c r="AD177">
        <v>0</v>
      </c>
      <c r="AE177">
        <v>10.57</v>
      </c>
      <c r="AF177">
        <v>0</v>
      </c>
      <c r="AG177">
        <v>0</v>
      </c>
      <c r="AH177">
        <v>0</v>
      </c>
      <c r="AI177">
        <v>4.88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5.2</v>
      </c>
      <c r="AU177" t="s">
        <v>3</v>
      </c>
      <c r="AV177">
        <v>0</v>
      </c>
      <c r="AW177">
        <v>2</v>
      </c>
      <c r="AX177">
        <v>39611949</v>
      </c>
      <c r="AY177">
        <v>1</v>
      </c>
      <c r="AZ177">
        <v>0</v>
      </c>
      <c r="BA177">
        <v>165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Y177*Source!I56</f>
        <v>2.08</v>
      </c>
      <c r="CY177">
        <f t="shared" si="27"/>
        <v>51.58</v>
      </c>
      <c r="CZ177">
        <f t="shared" si="28"/>
        <v>10.57</v>
      </c>
      <c r="DA177">
        <f t="shared" si="29"/>
        <v>4.88</v>
      </c>
      <c r="DB177">
        <v>0</v>
      </c>
    </row>
    <row r="178" spans="1:106" x14ac:dyDescent="0.2">
      <c r="A178">
        <f>ROW(Source!A56)</f>
        <v>56</v>
      </c>
      <c r="B178">
        <v>39610380</v>
      </c>
      <c r="C178">
        <v>39611941</v>
      </c>
      <c r="D178">
        <v>36804448</v>
      </c>
      <c r="E178">
        <v>1</v>
      </c>
      <c r="F178">
        <v>1</v>
      </c>
      <c r="G178">
        <v>1</v>
      </c>
      <c r="H178">
        <v>3</v>
      </c>
      <c r="I178" t="s">
        <v>425</v>
      </c>
      <c r="J178" t="s">
        <v>426</v>
      </c>
      <c r="K178" t="s">
        <v>427</v>
      </c>
      <c r="L178">
        <v>1346</v>
      </c>
      <c r="N178">
        <v>1009</v>
      </c>
      <c r="O178" t="s">
        <v>424</v>
      </c>
      <c r="P178" t="s">
        <v>424</v>
      </c>
      <c r="Q178">
        <v>1</v>
      </c>
      <c r="W178">
        <v>0</v>
      </c>
      <c r="X178">
        <v>103900845</v>
      </c>
      <c r="Y178">
        <v>38</v>
      </c>
      <c r="AA178">
        <v>44.12</v>
      </c>
      <c r="AB178">
        <v>0</v>
      </c>
      <c r="AC178">
        <v>0</v>
      </c>
      <c r="AD178">
        <v>0</v>
      </c>
      <c r="AE178">
        <v>9.0399999999999991</v>
      </c>
      <c r="AF178">
        <v>0</v>
      </c>
      <c r="AG178">
        <v>0</v>
      </c>
      <c r="AH178">
        <v>0</v>
      </c>
      <c r="AI178">
        <v>4.88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38</v>
      </c>
      <c r="AU178" t="s">
        <v>3</v>
      </c>
      <c r="AV178">
        <v>0</v>
      </c>
      <c r="AW178">
        <v>2</v>
      </c>
      <c r="AX178">
        <v>39611950</v>
      </c>
      <c r="AY178">
        <v>1</v>
      </c>
      <c r="AZ178">
        <v>0</v>
      </c>
      <c r="BA178">
        <v>166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Y178*Source!I56</f>
        <v>15.200000000000001</v>
      </c>
      <c r="CY178">
        <f t="shared" si="27"/>
        <v>44.12</v>
      </c>
      <c r="CZ178">
        <f t="shared" si="28"/>
        <v>9.0399999999999991</v>
      </c>
      <c r="DA178">
        <f t="shared" si="29"/>
        <v>4.88</v>
      </c>
      <c r="DB178">
        <v>0</v>
      </c>
    </row>
    <row r="179" spans="1:106" x14ac:dyDescent="0.2">
      <c r="A179">
        <f>ROW(Source!A56)</f>
        <v>56</v>
      </c>
      <c r="B179">
        <v>39610380</v>
      </c>
      <c r="C179">
        <v>39611941</v>
      </c>
      <c r="D179">
        <v>36838473</v>
      </c>
      <c r="E179">
        <v>1</v>
      </c>
      <c r="F179">
        <v>1</v>
      </c>
      <c r="G179">
        <v>1</v>
      </c>
      <c r="H179">
        <v>3</v>
      </c>
      <c r="I179" t="s">
        <v>580</v>
      </c>
      <c r="J179" t="s">
        <v>581</v>
      </c>
      <c r="K179" t="s">
        <v>582</v>
      </c>
      <c r="L179">
        <v>1348</v>
      </c>
      <c r="N179">
        <v>1009</v>
      </c>
      <c r="O179" t="s">
        <v>237</v>
      </c>
      <c r="P179" t="s">
        <v>237</v>
      </c>
      <c r="Q179">
        <v>1000</v>
      </c>
      <c r="W179">
        <v>0</v>
      </c>
      <c r="X179">
        <v>-738198144</v>
      </c>
      <c r="Y179">
        <v>4.0000000000000001E-3</v>
      </c>
      <c r="AA179">
        <v>342576</v>
      </c>
      <c r="AB179">
        <v>0</v>
      </c>
      <c r="AC179">
        <v>0</v>
      </c>
      <c r="AD179">
        <v>0</v>
      </c>
      <c r="AE179">
        <v>70200</v>
      </c>
      <c r="AF179">
        <v>0</v>
      </c>
      <c r="AG179">
        <v>0</v>
      </c>
      <c r="AH179">
        <v>0</v>
      </c>
      <c r="AI179">
        <v>4.88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4.0000000000000001E-3</v>
      </c>
      <c r="AU179" t="s">
        <v>3</v>
      </c>
      <c r="AV179">
        <v>0</v>
      </c>
      <c r="AW179">
        <v>2</v>
      </c>
      <c r="AX179">
        <v>39611951</v>
      </c>
      <c r="AY179">
        <v>1</v>
      </c>
      <c r="AZ179">
        <v>0</v>
      </c>
      <c r="BA179">
        <v>167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Y179*Source!I56</f>
        <v>1.6000000000000001E-3</v>
      </c>
      <c r="CY179">
        <f t="shared" si="27"/>
        <v>342576</v>
      </c>
      <c r="CZ179">
        <f t="shared" si="28"/>
        <v>70200</v>
      </c>
      <c r="DA179">
        <f t="shared" si="29"/>
        <v>4.88</v>
      </c>
      <c r="DB179">
        <v>0</v>
      </c>
    </row>
    <row r="180" spans="1:106" x14ac:dyDescent="0.2">
      <c r="A180">
        <f>ROW(Source!A56)</f>
        <v>56</v>
      </c>
      <c r="B180">
        <v>39610380</v>
      </c>
      <c r="C180">
        <v>39611941</v>
      </c>
      <c r="D180">
        <v>36854982</v>
      </c>
      <c r="E180">
        <v>1</v>
      </c>
      <c r="F180">
        <v>1</v>
      </c>
      <c r="G180">
        <v>1</v>
      </c>
      <c r="H180">
        <v>3</v>
      </c>
      <c r="I180" t="s">
        <v>177</v>
      </c>
      <c r="J180" t="s">
        <v>179</v>
      </c>
      <c r="K180" t="s">
        <v>178</v>
      </c>
      <c r="L180">
        <v>1354</v>
      </c>
      <c r="N180">
        <v>1010</v>
      </c>
      <c r="O180" t="s">
        <v>86</v>
      </c>
      <c r="P180" t="s">
        <v>86</v>
      </c>
      <c r="Q180">
        <v>1</v>
      </c>
      <c r="W180">
        <v>0</v>
      </c>
      <c r="X180">
        <v>-420212918</v>
      </c>
      <c r="Y180">
        <v>100</v>
      </c>
      <c r="AA180">
        <v>7463.96</v>
      </c>
      <c r="AB180">
        <v>0</v>
      </c>
      <c r="AC180">
        <v>0</v>
      </c>
      <c r="AD180">
        <v>0</v>
      </c>
      <c r="AE180">
        <v>1529.5</v>
      </c>
      <c r="AF180">
        <v>0</v>
      </c>
      <c r="AG180">
        <v>0</v>
      </c>
      <c r="AH180">
        <v>0</v>
      </c>
      <c r="AI180">
        <v>4.88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3</v>
      </c>
      <c r="AT180">
        <v>100</v>
      </c>
      <c r="AU180" t="s">
        <v>3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Y180*Source!I56</f>
        <v>40</v>
      </c>
      <c r="CY180">
        <f t="shared" si="27"/>
        <v>7463.96</v>
      </c>
      <c r="CZ180">
        <f t="shared" si="28"/>
        <v>1529.5</v>
      </c>
      <c r="DA180">
        <f t="shared" si="29"/>
        <v>4.88</v>
      </c>
      <c r="DB180">
        <v>0</v>
      </c>
    </row>
    <row r="181" spans="1:106" x14ac:dyDescent="0.2">
      <c r="A181">
        <f>ROW(Source!A56)</f>
        <v>56</v>
      </c>
      <c r="B181">
        <v>39610380</v>
      </c>
      <c r="C181">
        <v>39611941</v>
      </c>
      <c r="D181">
        <v>36855766</v>
      </c>
      <c r="E181">
        <v>1</v>
      </c>
      <c r="F181">
        <v>1</v>
      </c>
      <c r="G181">
        <v>1</v>
      </c>
      <c r="H181">
        <v>3</v>
      </c>
      <c r="I181" t="s">
        <v>583</v>
      </c>
      <c r="J181" t="s">
        <v>584</v>
      </c>
      <c r="K181" t="s">
        <v>585</v>
      </c>
      <c r="L181">
        <v>1355</v>
      </c>
      <c r="N181">
        <v>1010</v>
      </c>
      <c r="O181" t="s">
        <v>148</v>
      </c>
      <c r="P181" t="s">
        <v>148</v>
      </c>
      <c r="Q181">
        <v>100</v>
      </c>
      <c r="W181">
        <v>0</v>
      </c>
      <c r="X181">
        <v>-552597123</v>
      </c>
      <c r="Y181">
        <v>1.02</v>
      </c>
      <c r="AA181">
        <v>2576.64</v>
      </c>
      <c r="AB181">
        <v>0</v>
      </c>
      <c r="AC181">
        <v>0</v>
      </c>
      <c r="AD181">
        <v>0</v>
      </c>
      <c r="AE181">
        <v>528</v>
      </c>
      <c r="AF181">
        <v>0</v>
      </c>
      <c r="AG181">
        <v>0</v>
      </c>
      <c r="AH181">
        <v>0</v>
      </c>
      <c r="AI181">
        <v>4.88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1.02</v>
      </c>
      <c r="AU181" t="s">
        <v>3</v>
      </c>
      <c r="AV181">
        <v>0</v>
      </c>
      <c r="AW181">
        <v>2</v>
      </c>
      <c r="AX181">
        <v>39611952</v>
      </c>
      <c r="AY181">
        <v>1</v>
      </c>
      <c r="AZ181">
        <v>0</v>
      </c>
      <c r="BA181">
        <v>168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Y181*Source!I56</f>
        <v>0.40800000000000003</v>
      </c>
      <c r="CY181">
        <f t="shared" si="27"/>
        <v>2576.64</v>
      </c>
      <c r="CZ181">
        <f t="shared" si="28"/>
        <v>528</v>
      </c>
      <c r="DA181">
        <f t="shared" si="29"/>
        <v>4.88</v>
      </c>
      <c r="DB181">
        <v>0</v>
      </c>
    </row>
    <row r="182" spans="1:106" x14ac:dyDescent="0.2">
      <c r="A182">
        <f>ROW(Source!A56)</f>
        <v>56</v>
      </c>
      <c r="B182">
        <v>39610380</v>
      </c>
      <c r="C182">
        <v>39611941</v>
      </c>
      <c r="D182">
        <v>36799065</v>
      </c>
      <c r="E182">
        <v>17</v>
      </c>
      <c r="F182">
        <v>1</v>
      </c>
      <c r="G182">
        <v>1</v>
      </c>
      <c r="H182">
        <v>3</v>
      </c>
      <c r="I182" t="s">
        <v>438</v>
      </c>
      <c r="J182" t="s">
        <v>3</v>
      </c>
      <c r="K182" t="s">
        <v>439</v>
      </c>
      <c r="L182">
        <v>1374</v>
      </c>
      <c r="N182">
        <v>1013</v>
      </c>
      <c r="O182" t="s">
        <v>440</v>
      </c>
      <c r="P182" t="s">
        <v>440</v>
      </c>
      <c r="Q182">
        <v>1</v>
      </c>
      <c r="W182">
        <v>0</v>
      </c>
      <c r="X182">
        <v>-1731369543</v>
      </c>
      <c r="Y182">
        <v>64.599999999999994</v>
      </c>
      <c r="AA182">
        <v>1</v>
      </c>
      <c r="AB182">
        <v>0</v>
      </c>
      <c r="AC182">
        <v>0</v>
      </c>
      <c r="AD182">
        <v>0</v>
      </c>
      <c r="AE182">
        <v>1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64.599999999999994</v>
      </c>
      <c r="AU182" t="s">
        <v>3</v>
      </c>
      <c r="AV182">
        <v>0</v>
      </c>
      <c r="AW182">
        <v>2</v>
      </c>
      <c r="AX182">
        <v>39611953</v>
      </c>
      <c r="AY182">
        <v>1</v>
      </c>
      <c r="AZ182">
        <v>0</v>
      </c>
      <c r="BA182">
        <v>169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Y182*Source!I56</f>
        <v>25.84</v>
      </c>
      <c r="CY182">
        <f t="shared" si="27"/>
        <v>1</v>
      </c>
      <c r="CZ182">
        <f t="shared" si="28"/>
        <v>1</v>
      </c>
      <c r="DA182">
        <f t="shared" si="29"/>
        <v>1</v>
      </c>
      <c r="DB182">
        <v>0</v>
      </c>
    </row>
    <row r="183" spans="1:106" x14ac:dyDescent="0.2">
      <c r="A183">
        <f>ROW(Source!A58)</f>
        <v>58</v>
      </c>
      <c r="B183">
        <v>39610380</v>
      </c>
      <c r="C183">
        <v>39610668</v>
      </c>
      <c r="D183">
        <v>37077359</v>
      </c>
      <c r="E183">
        <v>1</v>
      </c>
      <c r="F183">
        <v>1</v>
      </c>
      <c r="G183">
        <v>1</v>
      </c>
      <c r="H183">
        <v>1</v>
      </c>
      <c r="I183" t="s">
        <v>441</v>
      </c>
      <c r="J183" t="s">
        <v>3</v>
      </c>
      <c r="K183" t="s">
        <v>442</v>
      </c>
      <c r="L183">
        <v>1191</v>
      </c>
      <c r="N183">
        <v>1013</v>
      </c>
      <c r="O183" t="s">
        <v>405</v>
      </c>
      <c r="P183" t="s">
        <v>405</v>
      </c>
      <c r="Q183">
        <v>1</v>
      </c>
      <c r="W183">
        <v>0</v>
      </c>
      <c r="X183">
        <v>-362667798</v>
      </c>
      <c r="Y183">
        <v>0.86</v>
      </c>
      <c r="AA183">
        <v>0</v>
      </c>
      <c r="AB183">
        <v>0</v>
      </c>
      <c r="AC183">
        <v>0</v>
      </c>
      <c r="AD183">
        <v>51.24</v>
      </c>
      <c r="AE183">
        <v>0</v>
      </c>
      <c r="AF183">
        <v>0</v>
      </c>
      <c r="AG183">
        <v>0</v>
      </c>
      <c r="AH183">
        <v>10.5</v>
      </c>
      <c r="AI183">
        <v>1</v>
      </c>
      <c r="AJ183">
        <v>1</v>
      </c>
      <c r="AK183">
        <v>1</v>
      </c>
      <c r="AL183">
        <v>4.88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0.86</v>
      </c>
      <c r="AU183" t="s">
        <v>3</v>
      </c>
      <c r="AV183">
        <v>1</v>
      </c>
      <c r="AW183">
        <v>2</v>
      </c>
      <c r="AX183">
        <v>39610669</v>
      </c>
      <c r="AY183">
        <v>1</v>
      </c>
      <c r="AZ183">
        <v>0</v>
      </c>
      <c r="BA183">
        <v>170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Y183*Source!I58</f>
        <v>6.88</v>
      </c>
      <c r="CY183">
        <f>AD183</f>
        <v>51.24</v>
      </c>
      <c r="CZ183">
        <f>AH183</f>
        <v>10.5</v>
      </c>
      <c r="DA183">
        <f>AL183</f>
        <v>4.88</v>
      </c>
      <c r="DB183">
        <v>0</v>
      </c>
    </row>
    <row r="184" spans="1:106" x14ac:dyDescent="0.2">
      <c r="A184">
        <f>ROW(Source!A58)</f>
        <v>58</v>
      </c>
      <c r="B184">
        <v>39610380</v>
      </c>
      <c r="C184">
        <v>39610668</v>
      </c>
      <c r="D184">
        <v>37064876</v>
      </c>
      <c r="E184">
        <v>1</v>
      </c>
      <c r="F184">
        <v>1</v>
      </c>
      <c r="G184">
        <v>1</v>
      </c>
      <c r="H184">
        <v>1</v>
      </c>
      <c r="I184" t="s">
        <v>406</v>
      </c>
      <c r="J184" t="s">
        <v>3</v>
      </c>
      <c r="K184" t="s">
        <v>407</v>
      </c>
      <c r="L184">
        <v>1191</v>
      </c>
      <c r="N184">
        <v>1013</v>
      </c>
      <c r="O184" t="s">
        <v>405</v>
      </c>
      <c r="P184" t="s">
        <v>405</v>
      </c>
      <c r="Q184">
        <v>1</v>
      </c>
      <c r="W184">
        <v>0</v>
      </c>
      <c r="X184">
        <v>-1417349443</v>
      </c>
      <c r="Y184">
        <v>0.2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4.88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0.2</v>
      </c>
      <c r="AU184" t="s">
        <v>3</v>
      </c>
      <c r="AV184">
        <v>2</v>
      </c>
      <c r="AW184">
        <v>2</v>
      </c>
      <c r="AX184">
        <v>39610670</v>
      </c>
      <c r="AY184">
        <v>1</v>
      </c>
      <c r="AZ184">
        <v>0</v>
      </c>
      <c r="BA184">
        <v>171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Y184*Source!I58</f>
        <v>1.6</v>
      </c>
      <c r="CY184">
        <f>AD184</f>
        <v>0</v>
      </c>
      <c r="CZ184">
        <f>AH184</f>
        <v>0</v>
      </c>
      <c r="DA184">
        <f>AL184</f>
        <v>1</v>
      </c>
      <c r="DB184">
        <v>0</v>
      </c>
    </row>
    <row r="185" spans="1:106" x14ac:dyDescent="0.2">
      <c r="A185">
        <f>ROW(Source!A58)</f>
        <v>58</v>
      </c>
      <c r="B185">
        <v>39610380</v>
      </c>
      <c r="C185">
        <v>39610668</v>
      </c>
      <c r="D185">
        <v>36882159</v>
      </c>
      <c r="E185">
        <v>1</v>
      </c>
      <c r="F185">
        <v>1</v>
      </c>
      <c r="G185">
        <v>1</v>
      </c>
      <c r="H185">
        <v>2</v>
      </c>
      <c r="I185" t="s">
        <v>408</v>
      </c>
      <c r="J185" t="s">
        <v>409</v>
      </c>
      <c r="K185" t="s">
        <v>410</v>
      </c>
      <c r="L185">
        <v>1368</v>
      </c>
      <c r="N185">
        <v>1011</v>
      </c>
      <c r="O185" t="s">
        <v>411</v>
      </c>
      <c r="P185" t="s">
        <v>411</v>
      </c>
      <c r="Q185">
        <v>1</v>
      </c>
      <c r="W185">
        <v>0</v>
      </c>
      <c r="X185">
        <v>-1718674368</v>
      </c>
      <c r="Y185">
        <v>0.1</v>
      </c>
      <c r="AA185">
        <v>0</v>
      </c>
      <c r="AB185">
        <v>546.51</v>
      </c>
      <c r="AC185">
        <v>13.5</v>
      </c>
      <c r="AD185">
        <v>0</v>
      </c>
      <c r="AE185">
        <v>0</v>
      </c>
      <c r="AF185">
        <v>111.99</v>
      </c>
      <c r="AG185">
        <v>13.5</v>
      </c>
      <c r="AH185">
        <v>0</v>
      </c>
      <c r="AI185">
        <v>1</v>
      </c>
      <c r="AJ185">
        <v>4.88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0.1</v>
      </c>
      <c r="AU185" t="s">
        <v>3</v>
      </c>
      <c r="AV185">
        <v>0</v>
      </c>
      <c r="AW185">
        <v>2</v>
      </c>
      <c r="AX185">
        <v>39610671</v>
      </c>
      <c r="AY185">
        <v>1</v>
      </c>
      <c r="AZ185">
        <v>0</v>
      </c>
      <c r="BA185">
        <v>172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Y185*Source!I58</f>
        <v>0.8</v>
      </c>
      <c r="CY185">
        <f>AB185</f>
        <v>546.51</v>
      </c>
      <c r="CZ185">
        <f>AF185</f>
        <v>111.99</v>
      </c>
      <c r="DA185">
        <f>AJ185</f>
        <v>4.88</v>
      </c>
      <c r="DB185">
        <v>0</v>
      </c>
    </row>
    <row r="186" spans="1:106" x14ac:dyDescent="0.2">
      <c r="A186">
        <f>ROW(Source!A58)</f>
        <v>58</v>
      </c>
      <c r="B186">
        <v>39610380</v>
      </c>
      <c r="C186">
        <v>39610668</v>
      </c>
      <c r="D186">
        <v>36883554</v>
      </c>
      <c r="E186">
        <v>1</v>
      </c>
      <c r="F186">
        <v>1</v>
      </c>
      <c r="G186">
        <v>1</v>
      </c>
      <c r="H186">
        <v>2</v>
      </c>
      <c r="I186" t="s">
        <v>412</v>
      </c>
      <c r="J186" t="s">
        <v>413</v>
      </c>
      <c r="K186" t="s">
        <v>414</v>
      </c>
      <c r="L186">
        <v>1368</v>
      </c>
      <c r="N186">
        <v>1011</v>
      </c>
      <c r="O186" t="s">
        <v>411</v>
      </c>
      <c r="P186" t="s">
        <v>411</v>
      </c>
      <c r="Q186">
        <v>1</v>
      </c>
      <c r="W186">
        <v>0</v>
      </c>
      <c r="X186">
        <v>1372534845</v>
      </c>
      <c r="Y186">
        <v>0.1</v>
      </c>
      <c r="AA186">
        <v>0</v>
      </c>
      <c r="AB186">
        <v>320.66000000000003</v>
      </c>
      <c r="AC186">
        <v>11.6</v>
      </c>
      <c r="AD186">
        <v>0</v>
      </c>
      <c r="AE186">
        <v>0</v>
      </c>
      <c r="AF186">
        <v>65.709999999999994</v>
      </c>
      <c r="AG186">
        <v>11.6</v>
      </c>
      <c r="AH186">
        <v>0</v>
      </c>
      <c r="AI186">
        <v>1</v>
      </c>
      <c r="AJ186">
        <v>4.88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0.1</v>
      </c>
      <c r="AU186" t="s">
        <v>3</v>
      </c>
      <c r="AV186">
        <v>0</v>
      </c>
      <c r="AW186">
        <v>2</v>
      </c>
      <c r="AX186">
        <v>39610672</v>
      </c>
      <c r="AY186">
        <v>1</v>
      </c>
      <c r="AZ186">
        <v>0</v>
      </c>
      <c r="BA186">
        <v>173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Y186*Source!I58</f>
        <v>0.8</v>
      </c>
      <c r="CY186">
        <f>AB186</f>
        <v>320.66000000000003</v>
      </c>
      <c r="CZ186">
        <f>AF186</f>
        <v>65.709999999999994</v>
      </c>
      <c r="DA186">
        <f>AJ186</f>
        <v>4.88</v>
      </c>
      <c r="DB186">
        <v>0</v>
      </c>
    </row>
    <row r="187" spans="1:106" x14ac:dyDescent="0.2">
      <c r="A187">
        <f>ROW(Source!A58)</f>
        <v>58</v>
      </c>
      <c r="B187">
        <v>39610380</v>
      </c>
      <c r="C187">
        <v>39610668</v>
      </c>
      <c r="D187">
        <v>36802094</v>
      </c>
      <c r="E187">
        <v>1</v>
      </c>
      <c r="F187">
        <v>1</v>
      </c>
      <c r="G187">
        <v>1</v>
      </c>
      <c r="H187">
        <v>3</v>
      </c>
      <c r="I187" t="s">
        <v>466</v>
      </c>
      <c r="J187" t="s">
        <v>467</v>
      </c>
      <c r="K187" t="s">
        <v>468</v>
      </c>
      <c r="L187">
        <v>1346</v>
      </c>
      <c r="N187">
        <v>1009</v>
      </c>
      <c r="O187" t="s">
        <v>424</v>
      </c>
      <c r="P187" t="s">
        <v>424</v>
      </c>
      <c r="Q187">
        <v>1</v>
      </c>
      <c r="W187">
        <v>0</v>
      </c>
      <c r="X187">
        <v>-1088866022</v>
      </c>
      <c r="Y187">
        <v>0.01</v>
      </c>
      <c r="AA187">
        <v>148.35</v>
      </c>
      <c r="AB187">
        <v>0</v>
      </c>
      <c r="AC187">
        <v>0</v>
      </c>
      <c r="AD187">
        <v>0</v>
      </c>
      <c r="AE187">
        <v>30.4</v>
      </c>
      <c r="AF187">
        <v>0</v>
      </c>
      <c r="AG187">
        <v>0</v>
      </c>
      <c r="AH187">
        <v>0</v>
      </c>
      <c r="AI187">
        <v>4.88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0.01</v>
      </c>
      <c r="AU187" t="s">
        <v>3</v>
      </c>
      <c r="AV187">
        <v>0</v>
      </c>
      <c r="AW187">
        <v>2</v>
      </c>
      <c r="AX187">
        <v>39610673</v>
      </c>
      <c r="AY187">
        <v>1</v>
      </c>
      <c r="AZ187">
        <v>0</v>
      </c>
      <c r="BA187">
        <v>174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Y187*Source!I58</f>
        <v>0.08</v>
      </c>
      <c r="CY187">
        <f>AA187</f>
        <v>148.35</v>
      </c>
      <c r="CZ187">
        <f>AE187</f>
        <v>30.4</v>
      </c>
      <c r="DA187">
        <f>AI187</f>
        <v>4.88</v>
      </c>
      <c r="DB187">
        <v>0</v>
      </c>
    </row>
    <row r="188" spans="1:106" x14ac:dyDescent="0.2">
      <c r="A188">
        <f>ROW(Source!A58)</f>
        <v>58</v>
      </c>
      <c r="B188">
        <v>39610380</v>
      </c>
      <c r="C188">
        <v>39610668</v>
      </c>
      <c r="D188">
        <v>36804448</v>
      </c>
      <c r="E188">
        <v>1</v>
      </c>
      <c r="F188">
        <v>1</v>
      </c>
      <c r="G188">
        <v>1</v>
      </c>
      <c r="H188">
        <v>3</v>
      </c>
      <c r="I188" t="s">
        <v>425</v>
      </c>
      <c r="J188" t="s">
        <v>426</v>
      </c>
      <c r="K188" t="s">
        <v>427</v>
      </c>
      <c r="L188">
        <v>1346</v>
      </c>
      <c r="N188">
        <v>1009</v>
      </c>
      <c r="O188" t="s">
        <v>424</v>
      </c>
      <c r="P188" t="s">
        <v>424</v>
      </c>
      <c r="Q188">
        <v>1</v>
      </c>
      <c r="W188">
        <v>0</v>
      </c>
      <c r="X188">
        <v>103900845</v>
      </c>
      <c r="Y188">
        <v>0.3</v>
      </c>
      <c r="AA188">
        <v>44.12</v>
      </c>
      <c r="AB188">
        <v>0</v>
      </c>
      <c r="AC188">
        <v>0</v>
      </c>
      <c r="AD188">
        <v>0</v>
      </c>
      <c r="AE188">
        <v>9.0399999999999991</v>
      </c>
      <c r="AF188">
        <v>0</v>
      </c>
      <c r="AG188">
        <v>0</v>
      </c>
      <c r="AH188">
        <v>0</v>
      </c>
      <c r="AI188">
        <v>4.88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0.3</v>
      </c>
      <c r="AU188" t="s">
        <v>3</v>
      </c>
      <c r="AV188">
        <v>0</v>
      </c>
      <c r="AW188">
        <v>2</v>
      </c>
      <c r="AX188">
        <v>39610674</v>
      </c>
      <c r="AY188">
        <v>1</v>
      </c>
      <c r="AZ188">
        <v>0</v>
      </c>
      <c r="BA188">
        <v>175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Y188*Source!I58</f>
        <v>2.4</v>
      </c>
      <c r="CY188">
        <f>AA188</f>
        <v>44.12</v>
      </c>
      <c r="CZ188">
        <f>AE188</f>
        <v>9.0399999999999991</v>
      </c>
      <c r="DA188">
        <f>AI188</f>
        <v>4.88</v>
      </c>
      <c r="DB188">
        <v>0</v>
      </c>
    </row>
    <row r="189" spans="1:106" x14ac:dyDescent="0.2">
      <c r="A189">
        <f>ROW(Source!A58)</f>
        <v>58</v>
      </c>
      <c r="B189">
        <v>39610380</v>
      </c>
      <c r="C189">
        <v>39610668</v>
      </c>
      <c r="D189">
        <v>36825981</v>
      </c>
      <c r="E189">
        <v>1</v>
      </c>
      <c r="F189">
        <v>1</v>
      </c>
      <c r="G189">
        <v>1</v>
      </c>
      <c r="H189">
        <v>3</v>
      </c>
      <c r="I189" t="s">
        <v>432</v>
      </c>
      <c r="J189" t="s">
        <v>433</v>
      </c>
      <c r="K189" t="s">
        <v>434</v>
      </c>
      <c r="L189">
        <v>1348</v>
      </c>
      <c r="N189">
        <v>1009</v>
      </c>
      <c r="O189" t="s">
        <v>237</v>
      </c>
      <c r="P189" t="s">
        <v>237</v>
      </c>
      <c r="Q189">
        <v>1000</v>
      </c>
      <c r="W189">
        <v>0</v>
      </c>
      <c r="X189">
        <v>-1598896989</v>
      </c>
      <c r="Y189">
        <v>5.9999999999999995E-4</v>
      </c>
      <c r="AA189">
        <v>24400</v>
      </c>
      <c r="AB189">
        <v>0</v>
      </c>
      <c r="AC189">
        <v>0</v>
      </c>
      <c r="AD189">
        <v>0</v>
      </c>
      <c r="AE189">
        <v>5000</v>
      </c>
      <c r="AF189">
        <v>0</v>
      </c>
      <c r="AG189">
        <v>0</v>
      </c>
      <c r="AH189">
        <v>0</v>
      </c>
      <c r="AI189">
        <v>4.88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5.9999999999999995E-4</v>
      </c>
      <c r="AU189" t="s">
        <v>3</v>
      </c>
      <c r="AV189">
        <v>0</v>
      </c>
      <c r="AW189">
        <v>2</v>
      </c>
      <c r="AX189">
        <v>39610675</v>
      </c>
      <c r="AY189">
        <v>1</v>
      </c>
      <c r="AZ189">
        <v>0</v>
      </c>
      <c r="BA189">
        <v>176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Y189*Source!I58</f>
        <v>4.7999999999999996E-3</v>
      </c>
      <c r="CY189">
        <f>AA189</f>
        <v>24400</v>
      </c>
      <c r="CZ189">
        <f>AE189</f>
        <v>5000</v>
      </c>
      <c r="DA189">
        <f>AI189</f>
        <v>4.88</v>
      </c>
      <c r="DB189">
        <v>0</v>
      </c>
    </row>
    <row r="190" spans="1:106" x14ac:dyDescent="0.2">
      <c r="A190">
        <f>ROW(Source!A58)</f>
        <v>58</v>
      </c>
      <c r="B190">
        <v>39610380</v>
      </c>
      <c r="C190">
        <v>39610668</v>
      </c>
      <c r="D190">
        <v>36874512</v>
      </c>
      <c r="E190">
        <v>1</v>
      </c>
      <c r="F190">
        <v>1</v>
      </c>
      <c r="G190">
        <v>1</v>
      </c>
      <c r="H190">
        <v>3</v>
      </c>
      <c r="I190" t="s">
        <v>183</v>
      </c>
      <c r="J190" t="s">
        <v>185</v>
      </c>
      <c r="K190" t="s">
        <v>184</v>
      </c>
      <c r="L190">
        <v>1354</v>
      </c>
      <c r="N190">
        <v>1010</v>
      </c>
      <c r="O190" t="s">
        <v>86</v>
      </c>
      <c r="P190" t="s">
        <v>86</v>
      </c>
      <c r="Q190">
        <v>1</v>
      </c>
      <c r="W190">
        <v>0</v>
      </c>
      <c r="X190">
        <v>320607938</v>
      </c>
      <c r="Y190">
        <v>1</v>
      </c>
      <c r="AA190">
        <v>18614.32</v>
      </c>
      <c r="AB190">
        <v>0</v>
      </c>
      <c r="AC190">
        <v>0</v>
      </c>
      <c r="AD190">
        <v>0</v>
      </c>
      <c r="AE190">
        <v>3814.41</v>
      </c>
      <c r="AF190">
        <v>0</v>
      </c>
      <c r="AG190">
        <v>0</v>
      </c>
      <c r="AH190">
        <v>0</v>
      </c>
      <c r="AI190">
        <v>4.88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3</v>
      </c>
      <c r="AT190">
        <v>1</v>
      </c>
      <c r="AU190" t="s">
        <v>3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Y190*Source!I58</f>
        <v>8</v>
      </c>
      <c r="CY190">
        <f>AA190</f>
        <v>18614.32</v>
      </c>
      <c r="CZ190">
        <f>AE190</f>
        <v>3814.41</v>
      </c>
      <c r="DA190">
        <f>AI190</f>
        <v>4.88</v>
      </c>
      <c r="DB190">
        <v>0</v>
      </c>
    </row>
    <row r="191" spans="1:106" x14ac:dyDescent="0.2">
      <c r="A191">
        <f>ROW(Source!A58)</f>
        <v>58</v>
      </c>
      <c r="B191">
        <v>39610380</v>
      </c>
      <c r="C191">
        <v>39610668</v>
      </c>
      <c r="D191">
        <v>36799065</v>
      </c>
      <c r="E191">
        <v>17</v>
      </c>
      <c r="F191">
        <v>1</v>
      </c>
      <c r="G191">
        <v>1</v>
      </c>
      <c r="H191">
        <v>3</v>
      </c>
      <c r="I191" t="s">
        <v>438</v>
      </c>
      <c r="J191" t="s">
        <v>3</v>
      </c>
      <c r="K191" t="s">
        <v>439</v>
      </c>
      <c r="L191">
        <v>1374</v>
      </c>
      <c r="N191">
        <v>1013</v>
      </c>
      <c r="O191" t="s">
        <v>440</v>
      </c>
      <c r="P191" t="s">
        <v>440</v>
      </c>
      <c r="Q191">
        <v>1</v>
      </c>
      <c r="W191">
        <v>0</v>
      </c>
      <c r="X191">
        <v>-1731369543</v>
      </c>
      <c r="Y191">
        <v>0.18</v>
      </c>
      <c r="AA191">
        <v>1</v>
      </c>
      <c r="AB191">
        <v>0</v>
      </c>
      <c r="AC191">
        <v>0</v>
      </c>
      <c r="AD191">
        <v>0</v>
      </c>
      <c r="AE191">
        <v>1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0.18</v>
      </c>
      <c r="AU191" t="s">
        <v>3</v>
      </c>
      <c r="AV191">
        <v>0</v>
      </c>
      <c r="AW191">
        <v>2</v>
      </c>
      <c r="AX191">
        <v>39610676</v>
      </c>
      <c r="AY191">
        <v>1</v>
      </c>
      <c r="AZ191">
        <v>0</v>
      </c>
      <c r="BA191">
        <v>177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Y191*Source!I58</f>
        <v>1.44</v>
      </c>
      <c r="CY191">
        <f>AA191</f>
        <v>1</v>
      </c>
      <c r="CZ191">
        <f>AE191</f>
        <v>1</v>
      </c>
      <c r="DA191">
        <f>AI191</f>
        <v>1</v>
      </c>
      <c r="DB191">
        <v>0</v>
      </c>
    </row>
    <row r="192" spans="1:106" x14ac:dyDescent="0.2">
      <c r="A192">
        <f>ROW(Source!A60)</f>
        <v>60</v>
      </c>
      <c r="B192">
        <v>39610380</v>
      </c>
      <c r="C192">
        <v>39610680</v>
      </c>
      <c r="D192">
        <v>37071037</v>
      </c>
      <c r="E192">
        <v>1</v>
      </c>
      <c r="F192">
        <v>1</v>
      </c>
      <c r="G192">
        <v>1</v>
      </c>
      <c r="H192">
        <v>1</v>
      </c>
      <c r="I192" t="s">
        <v>403</v>
      </c>
      <c r="J192" t="s">
        <v>3</v>
      </c>
      <c r="K192" t="s">
        <v>404</v>
      </c>
      <c r="L192">
        <v>1191</v>
      </c>
      <c r="N192">
        <v>1013</v>
      </c>
      <c r="O192" t="s">
        <v>405</v>
      </c>
      <c r="P192" t="s">
        <v>405</v>
      </c>
      <c r="Q192">
        <v>1</v>
      </c>
      <c r="W192">
        <v>0</v>
      </c>
      <c r="X192">
        <v>1069510174</v>
      </c>
      <c r="Y192">
        <v>5.3</v>
      </c>
      <c r="AA192">
        <v>0</v>
      </c>
      <c r="AB192">
        <v>0</v>
      </c>
      <c r="AC192">
        <v>0</v>
      </c>
      <c r="AD192">
        <v>46.95</v>
      </c>
      <c r="AE192">
        <v>0</v>
      </c>
      <c r="AF192">
        <v>0</v>
      </c>
      <c r="AG192">
        <v>0</v>
      </c>
      <c r="AH192">
        <v>9.6199999999999992</v>
      </c>
      <c r="AI192">
        <v>1</v>
      </c>
      <c r="AJ192">
        <v>1</v>
      </c>
      <c r="AK192">
        <v>1</v>
      </c>
      <c r="AL192">
        <v>4.88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5.3</v>
      </c>
      <c r="AU192" t="s">
        <v>3</v>
      </c>
      <c r="AV192">
        <v>1</v>
      </c>
      <c r="AW192">
        <v>2</v>
      </c>
      <c r="AX192">
        <v>39610814</v>
      </c>
      <c r="AY192">
        <v>1</v>
      </c>
      <c r="AZ192">
        <v>0</v>
      </c>
      <c r="BA192">
        <v>178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Y192*Source!I60</f>
        <v>71.55</v>
      </c>
      <c r="CY192">
        <f>AD192</f>
        <v>46.95</v>
      </c>
      <c r="CZ192">
        <f>AH192</f>
        <v>9.6199999999999992</v>
      </c>
      <c r="DA192">
        <f>AL192</f>
        <v>4.88</v>
      </c>
      <c r="DB192">
        <v>0</v>
      </c>
    </row>
    <row r="193" spans="1:106" x14ac:dyDescent="0.2">
      <c r="A193">
        <f>ROW(Source!A60)</f>
        <v>60</v>
      </c>
      <c r="B193">
        <v>39610380</v>
      </c>
      <c r="C193">
        <v>39610680</v>
      </c>
      <c r="D193">
        <v>37064876</v>
      </c>
      <c r="E193">
        <v>1</v>
      </c>
      <c r="F193">
        <v>1</v>
      </c>
      <c r="G193">
        <v>1</v>
      </c>
      <c r="H193">
        <v>1</v>
      </c>
      <c r="I193" t="s">
        <v>406</v>
      </c>
      <c r="J193" t="s">
        <v>3</v>
      </c>
      <c r="K193" t="s">
        <v>407</v>
      </c>
      <c r="L193">
        <v>1191</v>
      </c>
      <c r="N193">
        <v>1013</v>
      </c>
      <c r="O193" t="s">
        <v>405</v>
      </c>
      <c r="P193" t="s">
        <v>405</v>
      </c>
      <c r="Q193">
        <v>1</v>
      </c>
      <c r="W193">
        <v>0</v>
      </c>
      <c r="X193">
        <v>-1417349443</v>
      </c>
      <c r="Y193">
        <v>3.9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4.88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3.9</v>
      </c>
      <c r="AU193" t="s">
        <v>3</v>
      </c>
      <c r="AV193">
        <v>2</v>
      </c>
      <c r="AW193">
        <v>2</v>
      </c>
      <c r="AX193">
        <v>39610815</v>
      </c>
      <c r="AY193">
        <v>1</v>
      </c>
      <c r="AZ193">
        <v>0</v>
      </c>
      <c r="BA193">
        <v>179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Y193*Source!I60</f>
        <v>52.65</v>
      </c>
      <c r="CY193">
        <f>AD193</f>
        <v>0</v>
      </c>
      <c r="CZ193">
        <f>AH193</f>
        <v>0</v>
      </c>
      <c r="DA193">
        <f>AL193</f>
        <v>1</v>
      </c>
      <c r="DB193">
        <v>0</v>
      </c>
    </row>
    <row r="194" spans="1:106" x14ac:dyDescent="0.2">
      <c r="A194">
        <f>ROW(Source!A60)</f>
        <v>60</v>
      </c>
      <c r="B194">
        <v>39610380</v>
      </c>
      <c r="C194">
        <v>39610680</v>
      </c>
      <c r="D194">
        <v>36883554</v>
      </c>
      <c r="E194">
        <v>1</v>
      </c>
      <c r="F194">
        <v>1</v>
      </c>
      <c r="G194">
        <v>1</v>
      </c>
      <c r="H194">
        <v>2</v>
      </c>
      <c r="I194" t="s">
        <v>412</v>
      </c>
      <c r="J194" t="s">
        <v>413</v>
      </c>
      <c r="K194" t="s">
        <v>414</v>
      </c>
      <c r="L194">
        <v>1368</v>
      </c>
      <c r="N194">
        <v>1011</v>
      </c>
      <c r="O194" t="s">
        <v>411</v>
      </c>
      <c r="P194" t="s">
        <v>411</v>
      </c>
      <c r="Q194">
        <v>1</v>
      </c>
      <c r="W194">
        <v>0</v>
      </c>
      <c r="X194">
        <v>1372534845</v>
      </c>
      <c r="Y194">
        <v>3.9</v>
      </c>
      <c r="AA194">
        <v>0</v>
      </c>
      <c r="AB194">
        <v>320.66000000000003</v>
      </c>
      <c r="AC194">
        <v>11.6</v>
      </c>
      <c r="AD194">
        <v>0</v>
      </c>
      <c r="AE194">
        <v>0</v>
      </c>
      <c r="AF194">
        <v>65.709999999999994</v>
      </c>
      <c r="AG194">
        <v>11.6</v>
      </c>
      <c r="AH194">
        <v>0</v>
      </c>
      <c r="AI194">
        <v>1</v>
      </c>
      <c r="AJ194">
        <v>4.88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3.9</v>
      </c>
      <c r="AU194" t="s">
        <v>3</v>
      </c>
      <c r="AV194">
        <v>0</v>
      </c>
      <c r="AW194">
        <v>2</v>
      </c>
      <c r="AX194">
        <v>39610816</v>
      </c>
      <c r="AY194">
        <v>1</v>
      </c>
      <c r="AZ194">
        <v>0</v>
      </c>
      <c r="BA194">
        <v>180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Y194*Source!I60</f>
        <v>52.65</v>
      </c>
      <c r="CY194">
        <f>AB194</f>
        <v>320.66000000000003</v>
      </c>
      <c r="CZ194">
        <f>AF194</f>
        <v>65.709999999999994</v>
      </c>
      <c r="DA194">
        <f>AJ194</f>
        <v>4.88</v>
      </c>
      <c r="DB194">
        <v>0</v>
      </c>
    </row>
    <row r="195" spans="1:106" x14ac:dyDescent="0.2">
      <c r="A195">
        <f>ROW(Source!A60)</f>
        <v>60</v>
      </c>
      <c r="B195">
        <v>39610380</v>
      </c>
      <c r="C195">
        <v>39610680</v>
      </c>
      <c r="D195">
        <v>36806285</v>
      </c>
      <c r="E195">
        <v>1</v>
      </c>
      <c r="F195">
        <v>1</v>
      </c>
      <c r="G195">
        <v>1</v>
      </c>
      <c r="H195">
        <v>3</v>
      </c>
      <c r="I195" t="s">
        <v>192</v>
      </c>
      <c r="J195" t="s">
        <v>194</v>
      </c>
      <c r="K195" t="s">
        <v>193</v>
      </c>
      <c r="L195">
        <v>1339</v>
      </c>
      <c r="N195">
        <v>1007</v>
      </c>
      <c r="O195" t="s">
        <v>58</v>
      </c>
      <c r="P195" t="s">
        <v>58</v>
      </c>
      <c r="Q195">
        <v>1</v>
      </c>
      <c r="W195">
        <v>0</v>
      </c>
      <c r="X195">
        <v>-702506104</v>
      </c>
      <c r="Y195">
        <v>7.4193550000000004</v>
      </c>
      <c r="AA195">
        <v>292.75</v>
      </c>
      <c r="AB195">
        <v>0</v>
      </c>
      <c r="AC195">
        <v>0</v>
      </c>
      <c r="AD195">
        <v>0</v>
      </c>
      <c r="AE195">
        <v>59.99</v>
      </c>
      <c r="AF195">
        <v>0</v>
      </c>
      <c r="AG195">
        <v>0</v>
      </c>
      <c r="AH195">
        <v>0</v>
      </c>
      <c r="AI195">
        <v>4.88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3</v>
      </c>
      <c r="AT195">
        <v>7.4193550000000004</v>
      </c>
      <c r="AU195" t="s">
        <v>3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Y195*Source!I60</f>
        <v>100.1612925</v>
      </c>
      <c r="CY195">
        <f>AA195</f>
        <v>292.75</v>
      </c>
      <c r="CZ195">
        <f>AE195</f>
        <v>59.99</v>
      </c>
      <c r="DA195">
        <f>AI195</f>
        <v>4.88</v>
      </c>
      <c r="DB195">
        <v>0</v>
      </c>
    </row>
    <row r="196" spans="1:106" x14ac:dyDescent="0.2">
      <c r="A196">
        <f>ROW(Source!A60)</f>
        <v>60</v>
      </c>
      <c r="B196">
        <v>39610380</v>
      </c>
      <c r="C196">
        <v>39610680</v>
      </c>
      <c r="D196">
        <v>36799065</v>
      </c>
      <c r="E196">
        <v>17</v>
      </c>
      <c r="F196">
        <v>1</v>
      </c>
      <c r="G196">
        <v>1</v>
      </c>
      <c r="H196">
        <v>3</v>
      </c>
      <c r="I196" t="s">
        <v>438</v>
      </c>
      <c r="J196" t="s">
        <v>3</v>
      </c>
      <c r="K196" t="s">
        <v>439</v>
      </c>
      <c r="L196">
        <v>1374</v>
      </c>
      <c r="N196">
        <v>1013</v>
      </c>
      <c r="O196" t="s">
        <v>440</v>
      </c>
      <c r="P196" t="s">
        <v>440</v>
      </c>
      <c r="Q196">
        <v>1</v>
      </c>
      <c r="W196">
        <v>0</v>
      </c>
      <c r="X196">
        <v>-1731369543</v>
      </c>
      <c r="Y196">
        <v>1.02</v>
      </c>
      <c r="AA196">
        <v>1</v>
      </c>
      <c r="AB196">
        <v>0</v>
      </c>
      <c r="AC196">
        <v>0</v>
      </c>
      <c r="AD196">
        <v>0</v>
      </c>
      <c r="AE196">
        <v>1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1.02</v>
      </c>
      <c r="AU196" t="s">
        <v>3</v>
      </c>
      <c r="AV196">
        <v>0</v>
      </c>
      <c r="AW196">
        <v>2</v>
      </c>
      <c r="AX196">
        <v>39610817</v>
      </c>
      <c r="AY196">
        <v>1</v>
      </c>
      <c r="AZ196">
        <v>0</v>
      </c>
      <c r="BA196">
        <v>181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Y196*Source!I60</f>
        <v>13.77</v>
      </c>
      <c r="CY196">
        <f>AA196</f>
        <v>1</v>
      </c>
      <c r="CZ196">
        <f>AE196</f>
        <v>1</v>
      </c>
      <c r="DA196">
        <f>AI196</f>
        <v>1</v>
      </c>
      <c r="DB196">
        <v>0</v>
      </c>
    </row>
    <row r="197" spans="1:106" x14ac:dyDescent="0.2">
      <c r="A197">
        <f>ROW(Source!A62)</f>
        <v>62</v>
      </c>
      <c r="B197">
        <v>39610380</v>
      </c>
      <c r="C197">
        <v>39610685</v>
      </c>
      <c r="D197">
        <v>37071037</v>
      </c>
      <c r="E197">
        <v>1</v>
      </c>
      <c r="F197">
        <v>1</v>
      </c>
      <c r="G197">
        <v>1</v>
      </c>
      <c r="H197">
        <v>1</v>
      </c>
      <c r="I197" t="s">
        <v>403</v>
      </c>
      <c r="J197" t="s">
        <v>3</v>
      </c>
      <c r="K197" t="s">
        <v>404</v>
      </c>
      <c r="L197">
        <v>1191</v>
      </c>
      <c r="N197">
        <v>1013</v>
      </c>
      <c r="O197" t="s">
        <v>405</v>
      </c>
      <c r="P197" t="s">
        <v>405</v>
      </c>
      <c r="Q197">
        <v>1</v>
      </c>
      <c r="W197">
        <v>0</v>
      </c>
      <c r="X197">
        <v>1069510174</v>
      </c>
      <c r="Y197">
        <v>11.05</v>
      </c>
      <c r="AA197">
        <v>0</v>
      </c>
      <c r="AB197">
        <v>0</v>
      </c>
      <c r="AC197">
        <v>0</v>
      </c>
      <c r="AD197">
        <v>46.95</v>
      </c>
      <c r="AE197">
        <v>0</v>
      </c>
      <c r="AF197">
        <v>0</v>
      </c>
      <c r="AG197">
        <v>0</v>
      </c>
      <c r="AH197">
        <v>9.6199999999999992</v>
      </c>
      <c r="AI197">
        <v>1</v>
      </c>
      <c r="AJ197">
        <v>1</v>
      </c>
      <c r="AK197">
        <v>1</v>
      </c>
      <c r="AL197">
        <v>4.88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11.05</v>
      </c>
      <c r="AU197" t="s">
        <v>3</v>
      </c>
      <c r="AV197">
        <v>1</v>
      </c>
      <c r="AW197">
        <v>2</v>
      </c>
      <c r="AX197">
        <v>39610686</v>
      </c>
      <c r="AY197">
        <v>1</v>
      </c>
      <c r="AZ197">
        <v>0</v>
      </c>
      <c r="BA197">
        <v>182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Y197*Source!I62</f>
        <v>49.725000000000001</v>
      </c>
      <c r="CY197">
        <f>AD197</f>
        <v>46.95</v>
      </c>
      <c r="CZ197">
        <f>AH197</f>
        <v>9.6199999999999992</v>
      </c>
      <c r="DA197">
        <f>AL197</f>
        <v>4.88</v>
      </c>
      <c r="DB197">
        <v>0</v>
      </c>
    </row>
    <row r="198" spans="1:106" x14ac:dyDescent="0.2">
      <c r="A198">
        <f>ROW(Source!A62)</f>
        <v>62</v>
      </c>
      <c r="B198">
        <v>39610380</v>
      </c>
      <c r="C198">
        <v>39610685</v>
      </c>
      <c r="D198">
        <v>37064876</v>
      </c>
      <c r="E198">
        <v>1</v>
      </c>
      <c r="F198">
        <v>1</v>
      </c>
      <c r="G198">
        <v>1</v>
      </c>
      <c r="H198">
        <v>1</v>
      </c>
      <c r="I198" t="s">
        <v>406</v>
      </c>
      <c r="J198" t="s">
        <v>3</v>
      </c>
      <c r="K198" t="s">
        <v>407</v>
      </c>
      <c r="L198">
        <v>1191</v>
      </c>
      <c r="N198">
        <v>1013</v>
      </c>
      <c r="O198" t="s">
        <v>405</v>
      </c>
      <c r="P198" t="s">
        <v>405</v>
      </c>
      <c r="Q198">
        <v>1</v>
      </c>
      <c r="W198">
        <v>0</v>
      </c>
      <c r="X198">
        <v>-1417349443</v>
      </c>
      <c r="Y198">
        <v>0.9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4.88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0.9</v>
      </c>
      <c r="AU198" t="s">
        <v>3</v>
      </c>
      <c r="AV198">
        <v>2</v>
      </c>
      <c r="AW198">
        <v>2</v>
      </c>
      <c r="AX198">
        <v>39610687</v>
      </c>
      <c r="AY198">
        <v>1</v>
      </c>
      <c r="AZ198">
        <v>0</v>
      </c>
      <c r="BA198">
        <v>183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Y198*Source!I62</f>
        <v>4.05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ROW(Source!A62)</f>
        <v>62</v>
      </c>
      <c r="B199">
        <v>39610380</v>
      </c>
      <c r="C199">
        <v>39610685</v>
      </c>
      <c r="D199">
        <v>36882159</v>
      </c>
      <c r="E199">
        <v>1</v>
      </c>
      <c r="F199">
        <v>1</v>
      </c>
      <c r="G199">
        <v>1</v>
      </c>
      <c r="H199">
        <v>2</v>
      </c>
      <c r="I199" t="s">
        <v>408</v>
      </c>
      <c r="J199" t="s">
        <v>409</v>
      </c>
      <c r="K199" t="s">
        <v>410</v>
      </c>
      <c r="L199">
        <v>1368</v>
      </c>
      <c r="N199">
        <v>1011</v>
      </c>
      <c r="O199" t="s">
        <v>411</v>
      </c>
      <c r="P199" t="s">
        <v>411</v>
      </c>
      <c r="Q199">
        <v>1</v>
      </c>
      <c r="W199">
        <v>0</v>
      </c>
      <c r="X199">
        <v>-1718674368</v>
      </c>
      <c r="Y199">
        <v>0.45</v>
      </c>
      <c r="AA199">
        <v>0</v>
      </c>
      <c r="AB199">
        <v>546.51</v>
      </c>
      <c r="AC199">
        <v>13.5</v>
      </c>
      <c r="AD199">
        <v>0</v>
      </c>
      <c r="AE199">
        <v>0</v>
      </c>
      <c r="AF199">
        <v>111.99</v>
      </c>
      <c r="AG199">
        <v>13.5</v>
      </c>
      <c r="AH199">
        <v>0</v>
      </c>
      <c r="AI199">
        <v>1</v>
      </c>
      <c r="AJ199">
        <v>4.88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0.45</v>
      </c>
      <c r="AU199" t="s">
        <v>3</v>
      </c>
      <c r="AV199">
        <v>0</v>
      </c>
      <c r="AW199">
        <v>2</v>
      </c>
      <c r="AX199">
        <v>39610688</v>
      </c>
      <c r="AY199">
        <v>1</v>
      </c>
      <c r="AZ199">
        <v>0</v>
      </c>
      <c r="BA199">
        <v>184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Y199*Source!I62</f>
        <v>2.0249999999999999</v>
      </c>
      <c r="CY199">
        <f>AB199</f>
        <v>546.51</v>
      </c>
      <c r="CZ199">
        <f>AF199</f>
        <v>111.99</v>
      </c>
      <c r="DA199">
        <f>AJ199</f>
        <v>4.88</v>
      </c>
      <c r="DB199">
        <v>0</v>
      </c>
    </row>
    <row r="200" spans="1:106" x14ac:dyDescent="0.2">
      <c r="A200">
        <f>ROW(Source!A62)</f>
        <v>62</v>
      </c>
      <c r="B200">
        <v>39610380</v>
      </c>
      <c r="C200">
        <v>39610685</v>
      </c>
      <c r="D200">
        <v>36882292</v>
      </c>
      <c r="E200">
        <v>1</v>
      </c>
      <c r="F200">
        <v>1</v>
      </c>
      <c r="G200">
        <v>1</v>
      </c>
      <c r="H200">
        <v>2</v>
      </c>
      <c r="I200" t="s">
        <v>586</v>
      </c>
      <c r="J200" t="s">
        <v>587</v>
      </c>
      <c r="K200" t="s">
        <v>588</v>
      </c>
      <c r="L200">
        <v>1368</v>
      </c>
      <c r="N200">
        <v>1011</v>
      </c>
      <c r="O200" t="s">
        <v>411</v>
      </c>
      <c r="P200" t="s">
        <v>411</v>
      </c>
      <c r="Q200">
        <v>1</v>
      </c>
      <c r="W200">
        <v>0</v>
      </c>
      <c r="X200">
        <v>-1692889495</v>
      </c>
      <c r="Y200">
        <v>2.58</v>
      </c>
      <c r="AA200">
        <v>0</v>
      </c>
      <c r="AB200">
        <v>4.3899999999999997</v>
      </c>
      <c r="AC200">
        <v>0</v>
      </c>
      <c r="AD200">
        <v>0</v>
      </c>
      <c r="AE200">
        <v>0</v>
      </c>
      <c r="AF200">
        <v>0.9</v>
      </c>
      <c r="AG200">
        <v>0</v>
      </c>
      <c r="AH200">
        <v>0</v>
      </c>
      <c r="AI200">
        <v>1</v>
      </c>
      <c r="AJ200">
        <v>4.88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2.58</v>
      </c>
      <c r="AU200" t="s">
        <v>3</v>
      </c>
      <c r="AV200">
        <v>0</v>
      </c>
      <c r="AW200">
        <v>2</v>
      </c>
      <c r="AX200">
        <v>39610689</v>
      </c>
      <c r="AY200">
        <v>1</v>
      </c>
      <c r="AZ200">
        <v>0</v>
      </c>
      <c r="BA200">
        <v>185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Y200*Source!I62</f>
        <v>11.61</v>
      </c>
      <c r="CY200">
        <f>AB200</f>
        <v>4.3899999999999997</v>
      </c>
      <c r="CZ200">
        <f>AF200</f>
        <v>0.9</v>
      </c>
      <c r="DA200">
        <f>AJ200</f>
        <v>4.88</v>
      </c>
      <c r="DB200">
        <v>0</v>
      </c>
    </row>
    <row r="201" spans="1:106" x14ac:dyDescent="0.2">
      <c r="A201">
        <f>ROW(Source!A62)</f>
        <v>62</v>
      </c>
      <c r="B201">
        <v>39610380</v>
      </c>
      <c r="C201">
        <v>39610685</v>
      </c>
      <c r="D201">
        <v>36882357</v>
      </c>
      <c r="E201">
        <v>1</v>
      </c>
      <c r="F201">
        <v>1</v>
      </c>
      <c r="G201">
        <v>1</v>
      </c>
      <c r="H201">
        <v>2</v>
      </c>
      <c r="I201" t="s">
        <v>589</v>
      </c>
      <c r="J201" t="s">
        <v>590</v>
      </c>
      <c r="K201" t="s">
        <v>591</v>
      </c>
      <c r="L201">
        <v>1368</v>
      </c>
      <c r="N201">
        <v>1011</v>
      </c>
      <c r="O201" t="s">
        <v>411</v>
      </c>
      <c r="P201" t="s">
        <v>411</v>
      </c>
      <c r="Q201">
        <v>1</v>
      </c>
      <c r="W201">
        <v>0</v>
      </c>
      <c r="X201">
        <v>941837819</v>
      </c>
      <c r="Y201">
        <v>2.58</v>
      </c>
      <c r="AA201">
        <v>0</v>
      </c>
      <c r="AB201">
        <v>16.010000000000002</v>
      </c>
      <c r="AC201">
        <v>0</v>
      </c>
      <c r="AD201">
        <v>0</v>
      </c>
      <c r="AE201">
        <v>0</v>
      </c>
      <c r="AF201">
        <v>3.28</v>
      </c>
      <c r="AG201">
        <v>0</v>
      </c>
      <c r="AH201">
        <v>0</v>
      </c>
      <c r="AI201">
        <v>1</v>
      </c>
      <c r="AJ201">
        <v>4.88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2.58</v>
      </c>
      <c r="AU201" t="s">
        <v>3</v>
      </c>
      <c r="AV201">
        <v>0</v>
      </c>
      <c r="AW201">
        <v>2</v>
      </c>
      <c r="AX201">
        <v>39610690</v>
      </c>
      <c r="AY201">
        <v>1</v>
      </c>
      <c r="AZ201">
        <v>0</v>
      </c>
      <c r="BA201">
        <v>186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Y201*Source!I62</f>
        <v>11.61</v>
      </c>
      <c r="CY201">
        <f>AB201</f>
        <v>16.010000000000002</v>
      </c>
      <c r="CZ201">
        <f>AF201</f>
        <v>3.28</v>
      </c>
      <c r="DA201">
        <f>AJ201</f>
        <v>4.88</v>
      </c>
      <c r="DB201">
        <v>0</v>
      </c>
    </row>
    <row r="202" spans="1:106" x14ac:dyDescent="0.2">
      <c r="A202">
        <f>ROW(Source!A62)</f>
        <v>62</v>
      </c>
      <c r="B202">
        <v>39610380</v>
      </c>
      <c r="C202">
        <v>39610685</v>
      </c>
      <c r="D202">
        <v>36883554</v>
      </c>
      <c r="E202">
        <v>1</v>
      </c>
      <c r="F202">
        <v>1</v>
      </c>
      <c r="G202">
        <v>1</v>
      </c>
      <c r="H202">
        <v>2</v>
      </c>
      <c r="I202" t="s">
        <v>412</v>
      </c>
      <c r="J202" t="s">
        <v>413</v>
      </c>
      <c r="K202" t="s">
        <v>414</v>
      </c>
      <c r="L202">
        <v>1368</v>
      </c>
      <c r="N202">
        <v>1011</v>
      </c>
      <c r="O202" t="s">
        <v>411</v>
      </c>
      <c r="P202" t="s">
        <v>411</v>
      </c>
      <c r="Q202">
        <v>1</v>
      </c>
      <c r="W202">
        <v>0</v>
      </c>
      <c r="X202">
        <v>1372534845</v>
      </c>
      <c r="Y202">
        <v>0.45</v>
      </c>
      <c r="AA202">
        <v>0</v>
      </c>
      <c r="AB202">
        <v>320.66000000000003</v>
      </c>
      <c r="AC202">
        <v>11.6</v>
      </c>
      <c r="AD202">
        <v>0</v>
      </c>
      <c r="AE202">
        <v>0</v>
      </c>
      <c r="AF202">
        <v>65.709999999999994</v>
      </c>
      <c r="AG202">
        <v>11.6</v>
      </c>
      <c r="AH202">
        <v>0</v>
      </c>
      <c r="AI202">
        <v>1</v>
      </c>
      <c r="AJ202">
        <v>4.88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0.45</v>
      </c>
      <c r="AU202" t="s">
        <v>3</v>
      </c>
      <c r="AV202">
        <v>0</v>
      </c>
      <c r="AW202">
        <v>2</v>
      </c>
      <c r="AX202">
        <v>39610691</v>
      </c>
      <c r="AY202">
        <v>1</v>
      </c>
      <c r="AZ202">
        <v>0</v>
      </c>
      <c r="BA202">
        <v>187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Y202*Source!I62</f>
        <v>2.0249999999999999</v>
      </c>
      <c r="CY202">
        <f>AB202</f>
        <v>320.66000000000003</v>
      </c>
      <c r="CZ202">
        <f>AF202</f>
        <v>65.709999999999994</v>
      </c>
      <c r="DA202">
        <f>AJ202</f>
        <v>4.88</v>
      </c>
      <c r="DB202">
        <v>0</v>
      </c>
    </row>
    <row r="203" spans="1:106" x14ac:dyDescent="0.2">
      <c r="A203">
        <f>ROW(Source!A62)</f>
        <v>62</v>
      </c>
      <c r="B203">
        <v>39610380</v>
      </c>
      <c r="C203">
        <v>39610685</v>
      </c>
      <c r="D203">
        <v>36802106</v>
      </c>
      <c r="E203">
        <v>1</v>
      </c>
      <c r="F203">
        <v>1</v>
      </c>
      <c r="G203">
        <v>1</v>
      </c>
      <c r="H203">
        <v>3</v>
      </c>
      <c r="I203" t="s">
        <v>592</v>
      </c>
      <c r="J203" t="s">
        <v>593</v>
      </c>
      <c r="K203" t="s">
        <v>594</v>
      </c>
      <c r="L203">
        <v>1308</v>
      </c>
      <c r="N203">
        <v>1003</v>
      </c>
      <c r="O203" t="s">
        <v>36</v>
      </c>
      <c r="P203" t="s">
        <v>36</v>
      </c>
      <c r="Q203">
        <v>100</v>
      </c>
      <c r="W203">
        <v>0</v>
      </c>
      <c r="X203">
        <v>568244124</v>
      </c>
      <c r="Y203">
        <v>9.5999999999999992E-3</v>
      </c>
      <c r="AA203">
        <v>585.6</v>
      </c>
      <c r="AB203">
        <v>0</v>
      </c>
      <c r="AC203">
        <v>0</v>
      </c>
      <c r="AD203">
        <v>0</v>
      </c>
      <c r="AE203">
        <v>120</v>
      </c>
      <c r="AF203">
        <v>0</v>
      </c>
      <c r="AG203">
        <v>0</v>
      </c>
      <c r="AH203">
        <v>0</v>
      </c>
      <c r="AI203">
        <v>4.88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9.5999999999999992E-3</v>
      </c>
      <c r="AU203" t="s">
        <v>3</v>
      </c>
      <c r="AV203">
        <v>0</v>
      </c>
      <c r="AW203">
        <v>2</v>
      </c>
      <c r="AX203">
        <v>39610692</v>
      </c>
      <c r="AY203">
        <v>1</v>
      </c>
      <c r="AZ203">
        <v>0</v>
      </c>
      <c r="BA203">
        <v>188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Y203*Source!I62</f>
        <v>4.3199999999999995E-2</v>
      </c>
      <c r="CY203">
        <f t="shared" ref="CY203:CY209" si="30">AA203</f>
        <v>585.6</v>
      </c>
      <c r="CZ203">
        <f t="shared" ref="CZ203:CZ209" si="31">AE203</f>
        <v>120</v>
      </c>
      <c r="DA203">
        <f t="shared" ref="DA203:DA209" si="32">AI203</f>
        <v>4.88</v>
      </c>
      <c r="DB203">
        <v>0</v>
      </c>
    </row>
    <row r="204" spans="1:106" x14ac:dyDescent="0.2">
      <c r="A204">
        <f>ROW(Source!A62)</f>
        <v>62</v>
      </c>
      <c r="B204">
        <v>39610380</v>
      </c>
      <c r="C204">
        <v>39610685</v>
      </c>
      <c r="D204">
        <v>36825981</v>
      </c>
      <c r="E204">
        <v>1</v>
      </c>
      <c r="F204">
        <v>1</v>
      </c>
      <c r="G204">
        <v>1</v>
      </c>
      <c r="H204">
        <v>3</v>
      </c>
      <c r="I204" t="s">
        <v>432</v>
      </c>
      <c r="J204" t="s">
        <v>433</v>
      </c>
      <c r="K204" t="s">
        <v>434</v>
      </c>
      <c r="L204">
        <v>1348</v>
      </c>
      <c r="N204">
        <v>1009</v>
      </c>
      <c r="O204" t="s">
        <v>237</v>
      </c>
      <c r="P204" t="s">
        <v>237</v>
      </c>
      <c r="Q204">
        <v>1000</v>
      </c>
      <c r="W204">
        <v>0</v>
      </c>
      <c r="X204">
        <v>-1598896989</v>
      </c>
      <c r="Y204">
        <v>1E-3</v>
      </c>
      <c r="AA204">
        <v>24400</v>
      </c>
      <c r="AB204">
        <v>0</v>
      </c>
      <c r="AC204">
        <v>0</v>
      </c>
      <c r="AD204">
        <v>0</v>
      </c>
      <c r="AE204">
        <v>5000</v>
      </c>
      <c r="AF204">
        <v>0</v>
      </c>
      <c r="AG204">
        <v>0</v>
      </c>
      <c r="AH204">
        <v>0</v>
      </c>
      <c r="AI204">
        <v>4.88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1E-3</v>
      </c>
      <c r="AU204" t="s">
        <v>3</v>
      </c>
      <c r="AV204">
        <v>0</v>
      </c>
      <c r="AW204">
        <v>2</v>
      </c>
      <c r="AX204">
        <v>39610693</v>
      </c>
      <c r="AY204">
        <v>1</v>
      </c>
      <c r="AZ204">
        <v>0</v>
      </c>
      <c r="BA204">
        <v>189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Y204*Source!I62</f>
        <v>4.5000000000000005E-3</v>
      </c>
      <c r="CY204">
        <f t="shared" si="30"/>
        <v>24400</v>
      </c>
      <c r="CZ204">
        <f t="shared" si="31"/>
        <v>5000</v>
      </c>
      <c r="DA204">
        <f t="shared" si="32"/>
        <v>4.88</v>
      </c>
      <c r="DB204">
        <v>0</v>
      </c>
    </row>
    <row r="205" spans="1:106" x14ac:dyDescent="0.2">
      <c r="A205">
        <f>ROW(Source!A62)</f>
        <v>62</v>
      </c>
      <c r="B205">
        <v>39610380</v>
      </c>
      <c r="C205">
        <v>39610685</v>
      </c>
      <c r="D205">
        <v>36826070</v>
      </c>
      <c r="E205">
        <v>1</v>
      </c>
      <c r="F205">
        <v>1</v>
      </c>
      <c r="G205">
        <v>1</v>
      </c>
      <c r="H205">
        <v>3</v>
      </c>
      <c r="I205" t="s">
        <v>595</v>
      </c>
      <c r="J205" t="s">
        <v>596</v>
      </c>
      <c r="K205" t="s">
        <v>597</v>
      </c>
      <c r="L205">
        <v>1348</v>
      </c>
      <c r="N205">
        <v>1009</v>
      </c>
      <c r="O205" t="s">
        <v>237</v>
      </c>
      <c r="P205" t="s">
        <v>237</v>
      </c>
      <c r="Q205">
        <v>1000</v>
      </c>
      <c r="W205">
        <v>0</v>
      </c>
      <c r="X205">
        <v>-173476442</v>
      </c>
      <c r="Y205">
        <v>0.01</v>
      </c>
      <c r="AA205">
        <v>28123.439999999999</v>
      </c>
      <c r="AB205">
        <v>0</v>
      </c>
      <c r="AC205">
        <v>0</v>
      </c>
      <c r="AD205">
        <v>0</v>
      </c>
      <c r="AE205">
        <v>5763</v>
      </c>
      <c r="AF205">
        <v>0</v>
      </c>
      <c r="AG205">
        <v>0</v>
      </c>
      <c r="AH205">
        <v>0</v>
      </c>
      <c r="AI205">
        <v>4.88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0.01</v>
      </c>
      <c r="AU205" t="s">
        <v>3</v>
      </c>
      <c r="AV205">
        <v>0</v>
      </c>
      <c r="AW205">
        <v>2</v>
      </c>
      <c r="AX205">
        <v>39610694</v>
      </c>
      <c r="AY205">
        <v>1</v>
      </c>
      <c r="AZ205">
        <v>0</v>
      </c>
      <c r="BA205">
        <v>190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Y205*Source!I62</f>
        <v>4.4999999999999998E-2</v>
      </c>
      <c r="CY205">
        <f t="shared" si="30"/>
        <v>28123.439999999999</v>
      </c>
      <c r="CZ205">
        <f t="shared" si="31"/>
        <v>5763</v>
      </c>
      <c r="DA205">
        <f t="shared" si="32"/>
        <v>4.88</v>
      </c>
      <c r="DB205">
        <v>0</v>
      </c>
    </row>
    <row r="206" spans="1:106" x14ac:dyDescent="0.2">
      <c r="A206">
        <f>ROW(Source!A62)</f>
        <v>62</v>
      </c>
      <c r="B206">
        <v>39610380</v>
      </c>
      <c r="C206">
        <v>39610685</v>
      </c>
      <c r="D206">
        <v>36838317</v>
      </c>
      <c r="E206">
        <v>1</v>
      </c>
      <c r="F206">
        <v>1</v>
      </c>
      <c r="G206">
        <v>1</v>
      </c>
      <c r="H206">
        <v>3</v>
      </c>
      <c r="I206" t="s">
        <v>435</v>
      </c>
      <c r="J206" t="s">
        <v>436</v>
      </c>
      <c r="K206" t="s">
        <v>437</v>
      </c>
      <c r="L206">
        <v>1346</v>
      </c>
      <c r="N206">
        <v>1009</v>
      </c>
      <c r="O206" t="s">
        <v>424</v>
      </c>
      <c r="P206" t="s">
        <v>424</v>
      </c>
      <c r="Q206">
        <v>1</v>
      </c>
      <c r="W206">
        <v>0</v>
      </c>
      <c r="X206">
        <v>210558753</v>
      </c>
      <c r="Y206">
        <v>0.25</v>
      </c>
      <c r="AA206">
        <v>139.57</v>
      </c>
      <c r="AB206">
        <v>0</v>
      </c>
      <c r="AC206">
        <v>0</v>
      </c>
      <c r="AD206">
        <v>0</v>
      </c>
      <c r="AE206">
        <v>28.6</v>
      </c>
      <c r="AF206">
        <v>0</v>
      </c>
      <c r="AG206">
        <v>0</v>
      </c>
      <c r="AH206">
        <v>0</v>
      </c>
      <c r="AI206">
        <v>4.88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0.25</v>
      </c>
      <c r="AU206" t="s">
        <v>3</v>
      </c>
      <c r="AV206">
        <v>0</v>
      </c>
      <c r="AW206">
        <v>2</v>
      </c>
      <c r="AX206">
        <v>39610695</v>
      </c>
      <c r="AY206">
        <v>1</v>
      </c>
      <c r="AZ206">
        <v>0</v>
      </c>
      <c r="BA206">
        <v>191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Y206*Source!I62</f>
        <v>1.125</v>
      </c>
      <c r="CY206">
        <f t="shared" si="30"/>
        <v>139.57</v>
      </c>
      <c r="CZ206">
        <f t="shared" si="31"/>
        <v>28.6</v>
      </c>
      <c r="DA206">
        <f t="shared" si="32"/>
        <v>4.88</v>
      </c>
      <c r="DB206">
        <v>0</v>
      </c>
    </row>
    <row r="207" spans="1:106" x14ac:dyDescent="0.2">
      <c r="A207">
        <f>ROW(Source!A62)</f>
        <v>62</v>
      </c>
      <c r="B207">
        <v>39610380</v>
      </c>
      <c r="C207">
        <v>39610685</v>
      </c>
      <c r="D207">
        <v>36838354</v>
      </c>
      <c r="E207">
        <v>1</v>
      </c>
      <c r="F207">
        <v>1</v>
      </c>
      <c r="G207">
        <v>1</v>
      </c>
      <c r="H207">
        <v>3</v>
      </c>
      <c r="I207" t="s">
        <v>449</v>
      </c>
      <c r="J207" t="s">
        <v>450</v>
      </c>
      <c r="K207" t="s">
        <v>451</v>
      </c>
      <c r="L207">
        <v>1348</v>
      </c>
      <c r="N207">
        <v>1009</v>
      </c>
      <c r="O207" t="s">
        <v>237</v>
      </c>
      <c r="P207" t="s">
        <v>237</v>
      </c>
      <c r="Q207">
        <v>1000</v>
      </c>
      <c r="W207">
        <v>0</v>
      </c>
      <c r="X207">
        <v>-108263514</v>
      </c>
      <c r="Y207">
        <v>6.0000000000000002E-5</v>
      </c>
      <c r="AA207">
        <v>38195.269999999997</v>
      </c>
      <c r="AB207">
        <v>0</v>
      </c>
      <c r="AC207">
        <v>0</v>
      </c>
      <c r="AD207">
        <v>0</v>
      </c>
      <c r="AE207">
        <v>7826.9</v>
      </c>
      <c r="AF207">
        <v>0</v>
      </c>
      <c r="AG207">
        <v>0</v>
      </c>
      <c r="AH207">
        <v>0</v>
      </c>
      <c r="AI207">
        <v>4.88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6.0000000000000002E-5</v>
      </c>
      <c r="AU207" t="s">
        <v>3</v>
      </c>
      <c r="AV207">
        <v>0</v>
      </c>
      <c r="AW207">
        <v>2</v>
      </c>
      <c r="AX207">
        <v>39610696</v>
      </c>
      <c r="AY207">
        <v>1</v>
      </c>
      <c r="AZ207">
        <v>0</v>
      </c>
      <c r="BA207">
        <v>192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Y207*Source!I62</f>
        <v>2.7E-4</v>
      </c>
      <c r="CY207">
        <f t="shared" si="30"/>
        <v>38195.269999999997</v>
      </c>
      <c r="CZ207">
        <f t="shared" si="31"/>
        <v>7826.9</v>
      </c>
      <c r="DA207">
        <f t="shared" si="32"/>
        <v>4.88</v>
      </c>
      <c r="DB207">
        <v>0</v>
      </c>
    </row>
    <row r="208" spans="1:106" x14ac:dyDescent="0.2">
      <c r="A208">
        <f>ROW(Source!A62)</f>
        <v>62</v>
      </c>
      <c r="B208">
        <v>39610380</v>
      </c>
      <c r="C208">
        <v>39610685</v>
      </c>
      <c r="D208">
        <v>36857401</v>
      </c>
      <c r="E208">
        <v>1</v>
      </c>
      <c r="F208">
        <v>1</v>
      </c>
      <c r="G208">
        <v>1</v>
      </c>
      <c r="H208">
        <v>3</v>
      </c>
      <c r="I208" t="s">
        <v>200</v>
      </c>
      <c r="J208" t="s">
        <v>203</v>
      </c>
      <c r="K208" t="s">
        <v>201</v>
      </c>
      <c r="L208">
        <v>1477</v>
      </c>
      <c r="N208">
        <v>1013</v>
      </c>
      <c r="O208" t="s">
        <v>202</v>
      </c>
      <c r="P208" t="s">
        <v>204</v>
      </c>
      <c r="Q208">
        <v>1</v>
      </c>
      <c r="W208">
        <v>0</v>
      </c>
      <c r="X208">
        <v>1402638695</v>
      </c>
      <c r="Y208">
        <v>0.1</v>
      </c>
      <c r="AA208">
        <v>1890140.39</v>
      </c>
      <c r="AB208">
        <v>0</v>
      </c>
      <c r="AC208">
        <v>0</v>
      </c>
      <c r="AD208">
        <v>0</v>
      </c>
      <c r="AE208">
        <v>387323.85</v>
      </c>
      <c r="AF208">
        <v>0</v>
      </c>
      <c r="AG208">
        <v>0</v>
      </c>
      <c r="AH208">
        <v>0</v>
      </c>
      <c r="AI208">
        <v>4.88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3</v>
      </c>
      <c r="AT208">
        <v>0.1</v>
      </c>
      <c r="AU208" t="s">
        <v>3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3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Y208*Source!I62</f>
        <v>0.45</v>
      </c>
      <c r="CY208">
        <f t="shared" si="30"/>
        <v>1890140.39</v>
      </c>
      <c r="CZ208">
        <f t="shared" si="31"/>
        <v>387323.85</v>
      </c>
      <c r="DA208">
        <f t="shared" si="32"/>
        <v>4.88</v>
      </c>
      <c r="DB208">
        <v>0</v>
      </c>
    </row>
    <row r="209" spans="1:106" x14ac:dyDescent="0.2">
      <c r="A209">
        <f>ROW(Source!A62)</f>
        <v>62</v>
      </c>
      <c r="B209">
        <v>39610380</v>
      </c>
      <c r="C209">
        <v>39610685</v>
      </c>
      <c r="D209">
        <v>36799065</v>
      </c>
      <c r="E209">
        <v>17</v>
      </c>
      <c r="F209">
        <v>1</v>
      </c>
      <c r="G209">
        <v>1</v>
      </c>
      <c r="H209">
        <v>3</v>
      </c>
      <c r="I209" t="s">
        <v>438</v>
      </c>
      <c r="J209" t="s">
        <v>3</v>
      </c>
      <c r="K209" t="s">
        <v>439</v>
      </c>
      <c r="L209">
        <v>1374</v>
      </c>
      <c r="N209">
        <v>1013</v>
      </c>
      <c r="O209" t="s">
        <v>440</v>
      </c>
      <c r="P209" t="s">
        <v>440</v>
      </c>
      <c r="Q209">
        <v>1</v>
      </c>
      <c r="W209">
        <v>0</v>
      </c>
      <c r="X209">
        <v>-1731369543</v>
      </c>
      <c r="Y209">
        <v>2.13</v>
      </c>
      <c r="AA209">
        <v>1</v>
      </c>
      <c r="AB209">
        <v>0</v>
      </c>
      <c r="AC209">
        <v>0</v>
      </c>
      <c r="AD209">
        <v>0</v>
      </c>
      <c r="AE209">
        <v>1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2.13</v>
      </c>
      <c r="AU209" t="s">
        <v>3</v>
      </c>
      <c r="AV209">
        <v>0</v>
      </c>
      <c r="AW209">
        <v>2</v>
      </c>
      <c r="AX209">
        <v>39610697</v>
      </c>
      <c r="AY209">
        <v>1</v>
      </c>
      <c r="AZ209">
        <v>0</v>
      </c>
      <c r="BA209">
        <v>193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Y209*Source!I62</f>
        <v>9.5849999999999991</v>
      </c>
      <c r="CY209">
        <f t="shared" si="30"/>
        <v>1</v>
      </c>
      <c r="CZ209">
        <f t="shared" si="31"/>
        <v>1</v>
      </c>
      <c r="DA209">
        <f t="shared" si="32"/>
        <v>1</v>
      </c>
      <c r="DB209">
        <v>0</v>
      </c>
    </row>
    <row r="210" spans="1:106" x14ac:dyDescent="0.2">
      <c r="A210">
        <f>ROW(Source!A64)</f>
        <v>64</v>
      </c>
      <c r="B210">
        <v>39610380</v>
      </c>
      <c r="C210">
        <v>39610698</v>
      </c>
      <c r="D210">
        <v>37071037</v>
      </c>
      <c r="E210">
        <v>1</v>
      </c>
      <c r="F210">
        <v>1</v>
      </c>
      <c r="G210">
        <v>1</v>
      </c>
      <c r="H210">
        <v>1</v>
      </c>
      <c r="I210" t="s">
        <v>403</v>
      </c>
      <c r="J210" t="s">
        <v>3</v>
      </c>
      <c r="K210" t="s">
        <v>404</v>
      </c>
      <c r="L210">
        <v>1191</v>
      </c>
      <c r="N210">
        <v>1013</v>
      </c>
      <c r="O210" t="s">
        <v>405</v>
      </c>
      <c r="P210" t="s">
        <v>405</v>
      </c>
      <c r="Q210">
        <v>1</v>
      </c>
      <c r="W210">
        <v>0</v>
      </c>
      <c r="X210">
        <v>1069510174</v>
      </c>
      <c r="Y210">
        <v>11.01</v>
      </c>
      <c r="AA210">
        <v>0</v>
      </c>
      <c r="AB210">
        <v>0</v>
      </c>
      <c r="AC210">
        <v>0</v>
      </c>
      <c r="AD210">
        <v>46.95</v>
      </c>
      <c r="AE210">
        <v>0</v>
      </c>
      <c r="AF210">
        <v>0</v>
      </c>
      <c r="AG210">
        <v>0</v>
      </c>
      <c r="AH210">
        <v>9.6199999999999992</v>
      </c>
      <c r="AI210">
        <v>1</v>
      </c>
      <c r="AJ210">
        <v>1</v>
      </c>
      <c r="AK210">
        <v>1</v>
      </c>
      <c r="AL210">
        <v>4.88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11.01</v>
      </c>
      <c r="AU210" t="s">
        <v>3</v>
      </c>
      <c r="AV210">
        <v>1</v>
      </c>
      <c r="AW210">
        <v>2</v>
      </c>
      <c r="AX210">
        <v>39610699</v>
      </c>
      <c r="AY210">
        <v>1</v>
      </c>
      <c r="AZ210">
        <v>0</v>
      </c>
      <c r="BA210">
        <v>194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Y210*Source!I64</f>
        <v>99.09</v>
      </c>
      <c r="CY210">
        <f>AD210</f>
        <v>46.95</v>
      </c>
      <c r="CZ210">
        <f>AH210</f>
        <v>9.6199999999999992</v>
      </c>
      <c r="DA210">
        <f>AL210</f>
        <v>4.88</v>
      </c>
      <c r="DB210">
        <v>0</v>
      </c>
    </row>
    <row r="211" spans="1:106" x14ac:dyDescent="0.2">
      <c r="A211">
        <f>ROW(Source!A64)</f>
        <v>64</v>
      </c>
      <c r="B211">
        <v>39610380</v>
      </c>
      <c r="C211">
        <v>39610698</v>
      </c>
      <c r="D211">
        <v>37064876</v>
      </c>
      <c r="E211">
        <v>1</v>
      </c>
      <c r="F211">
        <v>1</v>
      </c>
      <c r="G211">
        <v>1</v>
      </c>
      <c r="H211">
        <v>1</v>
      </c>
      <c r="I211" t="s">
        <v>406</v>
      </c>
      <c r="J211" t="s">
        <v>3</v>
      </c>
      <c r="K211" t="s">
        <v>407</v>
      </c>
      <c r="L211">
        <v>1191</v>
      </c>
      <c r="N211">
        <v>1013</v>
      </c>
      <c r="O211" t="s">
        <v>405</v>
      </c>
      <c r="P211" t="s">
        <v>405</v>
      </c>
      <c r="Q211">
        <v>1</v>
      </c>
      <c r="W211">
        <v>0</v>
      </c>
      <c r="X211">
        <v>-1417349443</v>
      </c>
      <c r="Y211">
        <v>0.62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4.88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0.62</v>
      </c>
      <c r="AU211" t="s">
        <v>3</v>
      </c>
      <c r="AV211">
        <v>2</v>
      </c>
      <c r="AW211">
        <v>2</v>
      </c>
      <c r="AX211">
        <v>39610700</v>
      </c>
      <c r="AY211">
        <v>1</v>
      </c>
      <c r="AZ211">
        <v>0</v>
      </c>
      <c r="BA211">
        <v>195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Y211*Source!I64</f>
        <v>5.58</v>
      </c>
      <c r="CY211">
        <f>AD211</f>
        <v>0</v>
      </c>
      <c r="CZ211">
        <f>AH211</f>
        <v>0</v>
      </c>
      <c r="DA211">
        <f>AL211</f>
        <v>1</v>
      </c>
      <c r="DB211">
        <v>0</v>
      </c>
    </row>
    <row r="212" spans="1:106" x14ac:dyDescent="0.2">
      <c r="A212">
        <f>ROW(Source!A64)</f>
        <v>64</v>
      </c>
      <c r="B212">
        <v>39610380</v>
      </c>
      <c r="C212">
        <v>39610698</v>
      </c>
      <c r="D212">
        <v>36882159</v>
      </c>
      <c r="E212">
        <v>1</v>
      </c>
      <c r="F212">
        <v>1</v>
      </c>
      <c r="G212">
        <v>1</v>
      </c>
      <c r="H212">
        <v>2</v>
      </c>
      <c r="I212" t="s">
        <v>408</v>
      </c>
      <c r="J212" t="s">
        <v>409</v>
      </c>
      <c r="K212" t="s">
        <v>410</v>
      </c>
      <c r="L212">
        <v>1368</v>
      </c>
      <c r="N212">
        <v>1011</v>
      </c>
      <c r="O212" t="s">
        <v>411</v>
      </c>
      <c r="P212" t="s">
        <v>411</v>
      </c>
      <c r="Q212">
        <v>1</v>
      </c>
      <c r="W212">
        <v>0</v>
      </c>
      <c r="X212">
        <v>-1718674368</v>
      </c>
      <c r="Y212">
        <v>0.31</v>
      </c>
      <c r="AA212">
        <v>0</v>
      </c>
      <c r="AB212">
        <v>546.51</v>
      </c>
      <c r="AC212">
        <v>13.5</v>
      </c>
      <c r="AD212">
        <v>0</v>
      </c>
      <c r="AE212">
        <v>0</v>
      </c>
      <c r="AF212">
        <v>111.99</v>
      </c>
      <c r="AG212">
        <v>13.5</v>
      </c>
      <c r="AH212">
        <v>0</v>
      </c>
      <c r="AI212">
        <v>1</v>
      </c>
      <c r="AJ212">
        <v>4.88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0.31</v>
      </c>
      <c r="AU212" t="s">
        <v>3</v>
      </c>
      <c r="AV212">
        <v>0</v>
      </c>
      <c r="AW212">
        <v>2</v>
      </c>
      <c r="AX212">
        <v>39610701</v>
      </c>
      <c r="AY212">
        <v>1</v>
      </c>
      <c r="AZ212">
        <v>0</v>
      </c>
      <c r="BA212">
        <v>196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Y212*Source!I64</f>
        <v>2.79</v>
      </c>
      <c r="CY212">
        <f>AB212</f>
        <v>546.51</v>
      </c>
      <c r="CZ212">
        <f>AF212</f>
        <v>111.99</v>
      </c>
      <c r="DA212">
        <f>AJ212</f>
        <v>4.88</v>
      </c>
      <c r="DB212">
        <v>0</v>
      </c>
    </row>
    <row r="213" spans="1:106" x14ac:dyDescent="0.2">
      <c r="A213">
        <f>ROW(Source!A64)</f>
        <v>64</v>
      </c>
      <c r="B213">
        <v>39610380</v>
      </c>
      <c r="C213">
        <v>39610698</v>
      </c>
      <c r="D213">
        <v>36882292</v>
      </c>
      <c r="E213">
        <v>1</v>
      </c>
      <c r="F213">
        <v>1</v>
      </c>
      <c r="G213">
        <v>1</v>
      </c>
      <c r="H213">
        <v>2</v>
      </c>
      <c r="I213" t="s">
        <v>586</v>
      </c>
      <c r="J213" t="s">
        <v>587</v>
      </c>
      <c r="K213" t="s">
        <v>588</v>
      </c>
      <c r="L213">
        <v>1368</v>
      </c>
      <c r="N213">
        <v>1011</v>
      </c>
      <c r="O213" t="s">
        <v>411</v>
      </c>
      <c r="P213" t="s">
        <v>411</v>
      </c>
      <c r="Q213">
        <v>1</v>
      </c>
      <c r="W213">
        <v>0</v>
      </c>
      <c r="X213">
        <v>-1692889495</v>
      </c>
      <c r="Y213">
        <v>2.58</v>
      </c>
      <c r="AA213">
        <v>0</v>
      </c>
      <c r="AB213">
        <v>4.3899999999999997</v>
      </c>
      <c r="AC213">
        <v>0</v>
      </c>
      <c r="AD213">
        <v>0</v>
      </c>
      <c r="AE213">
        <v>0</v>
      </c>
      <c r="AF213">
        <v>0.9</v>
      </c>
      <c r="AG213">
        <v>0</v>
      </c>
      <c r="AH213">
        <v>0</v>
      </c>
      <c r="AI213">
        <v>1</v>
      </c>
      <c r="AJ213">
        <v>4.88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2.58</v>
      </c>
      <c r="AU213" t="s">
        <v>3</v>
      </c>
      <c r="AV213">
        <v>0</v>
      </c>
      <c r="AW213">
        <v>2</v>
      </c>
      <c r="AX213">
        <v>39610702</v>
      </c>
      <c r="AY213">
        <v>1</v>
      </c>
      <c r="AZ213">
        <v>0</v>
      </c>
      <c r="BA213">
        <v>197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Y213*Source!I64</f>
        <v>23.22</v>
      </c>
      <c r="CY213">
        <f>AB213</f>
        <v>4.3899999999999997</v>
      </c>
      <c r="CZ213">
        <f>AF213</f>
        <v>0.9</v>
      </c>
      <c r="DA213">
        <f>AJ213</f>
        <v>4.88</v>
      </c>
      <c r="DB213">
        <v>0</v>
      </c>
    </row>
    <row r="214" spans="1:106" x14ac:dyDescent="0.2">
      <c r="A214">
        <f>ROW(Source!A64)</f>
        <v>64</v>
      </c>
      <c r="B214">
        <v>39610380</v>
      </c>
      <c r="C214">
        <v>39610698</v>
      </c>
      <c r="D214">
        <v>36882357</v>
      </c>
      <c r="E214">
        <v>1</v>
      </c>
      <c r="F214">
        <v>1</v>
      </c>
      <c r="G214">
        <v>1</v>
      </c>
      <c r="H214">
        <v>2</v>
      </c>
      <c r="I214" t="s">
        <v>589</v>
      </c>
      <c r="J214" t="s">
        <v>590</v>
      </c>
      <c r="K214" t="s">
        <v>591</v>
      </c>
      <c r="L214">
        <v>1368</v>
      </c>
      <c r="N214">
        <v>1011</v>
      </c>
      <c r="O214" t="s">
        <v>411</v>
      </c>
      <c r="P214" t="s">
        <v>411</v>
      </c>
      <c r="Q214">
        <v>1</v>
      </c>
      <c r="W214">
        <v>0</v>
      </c>
      <c r="X214">
        <v>941837819</v>
      </c>
      <c r="Y214">
        <v>2.58</v>
      </c>
      <c r="AA214">
        <v>0</v>
      </c>
      <c r="AB214">
        <v>16.010000000000002</v>
      </c>
      <c r="AC214">
        <v>0</v>
      </c>
      <c r="AD214">
        <v>0</v>
      </c>
      <c r="AE214">
        <v>0</v>
      </c>
      <c r="AF214">
        <v>3.28</v>
      </c>
      <c r="AG214">
        <v>0</v>
      </c>
      <c r="AH214">
        <v>0</v>
      </c>
      <c r="AI214">
        <v>1</v>
      </c>
      <c r="AJ214">
        <v>4.88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2.58</v>
      </c>
      <c r="AU214" t="s">
        <v>3</v>
      </c>
      <c r="AV214">
        <v>0</v>
      </c>
      <c r="AW214">
        <v>2</v>
      </c>
      <c r="AX214">
        <v>39610703</v>
      </c>
      <c r="AY214">
        <v>1</v>
      </c>
      <c r="AZ214">
        <v>0</v>
      </c>
      <c r="BA214">
        <v>198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Y214*Source!I64</f>
        <v>23.22</v>
      </c>
      <c r="CY214">
        <f>AB214</f>
        <v>16.010000000000002</v>
      </c>
      <c r="CZ214">
        <f>AF214</f>
        <v>3.28</v>
      </c>
      <c r="DA214">
        <f>AJ214</f>
        <v>4.88</v>
      </c>
      <c r="DB214">
        <v>0</v>
      </c>
    </row>
    <row r="215" spans="1:106" x14ac:dyDescent="0.2">
      <c r="A215">
        <f>ROW(Source!A64)</f>
        <v>64</v>
      </c>
      <c r="B215">
        <v>39610380</v>
      </c>
      <c r="C215">
        <v>39610698</v>
      </c>
      <c r="D215">
        <v>36883554</v>
      </c>
      <c r="E215">
        <v>1</v>
      </c>
      <c r="F215">
        <v>1</v>
      </c>
      <c r="G215">
        <v>1</v>
      </c>
      <c r="H215">
        <v>2</v>
      </c>
      <c r="I215" t="s">
        <v>412</v>
      </c>
      <c r="J215" t="s">
        <v>413</v>
      </c>
      <c r="K215" t="s">
        <v>414</v>
      </c>
      <c r="L215">
        <v>1368</v>
      </c>
      <c r="N215">
        <v>1011</v>
      </c>
      <c r="O215" t="s">
        <v>411</v>
      </c>
      <c r="P215" t="s">
        <v>411</v>
      </c>
      <c r="Q215">
        <v>1</v>
      </c>
      <c r="W215">
        <v>0</v>
      </c>
      <c r="X215">
        <v>1372534845</v>
      </c>
      <c r="Y215">
        <v>0.31</v>
      </c>
      <c r="AA215">
        <v>0</v>
      </c>
      <c r="AB215">
        <v>320.66000000000003</v>
      </c>
      <c r="AC215">
        <v>11.6</v>
      </c>
      <c r="AD215">
        <v>0</v>
      </c>
      <c r="AE215">
        <v>0</v>
      </c>
      <c r="AF215">
        <v>65.709999999999994</v>
      </c>
      <c r="AG215">
        <v>11.6</v>
      </c>
      <c r="AH215">
        <v>0</v>
      </c>
      <c r="AI215">
        <v>1</v>
      </c>
      <c r="AJ215">
        <v>4.88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0.31</v>
      </c>
      <c r="AU215" t="s">
        <v>3</v>
      </c>
      <c r="AV215">
        <v>0</v>
      </c>
      <c r="AW215">
        <v>2</v>
      </c>
      <c r="AX215">
        <v>39610704</v>
      </c>
      <c r="AY215">
        <v>1</v>
      </c>
      <c r="AZ215">
        <v>0</v>
      </c>
      <c r="BA215">
        <v>199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Y215*Source!I64</f>
        <v>2.79</v>
      </c>
      <c r="CY215">
        <f>AB215</f>
        <v>320.66000000000003</v>
      </c>
      <c r="CZ215">
        <f>AF215</f>
        <v>65.709999999999994</v>
      </c>
      <c r="DA215">
        <f>AJ215</f>
        <v>4.88</v>
      </c>
      <c r="DB215">
        <v>0</v>
      </c>
    </row>
    <row r="216" spans="1:106" x14ac:dyDescent="0.2">
      <c r="A216">
        <f>ROW(Source!A64)</f>
        <v>64</v>
      </c>
      <c r="B216">
        <v>39610380</v>
      </c>
      <c r="C216">
        <v>39610698</v>
      </c>
      <c r="D216">
        <v>36802106</v>
      </c>
      <c r="E216">
        <v>1</v>
      </c>
      <c r="F216">
        <v>1</v>
      </c>
      <c r="G216">
        <v>1</v>
      </c>
      <c r="H216">
        <v>3</v>
      </c>
      <c r="I216" t="s">
        <v>592</v>
      </c>
      <c r="J216" t="s">
        <v>593</v>
      </c>
      <c r="K216" t="s">
        <v>594</v>
      </c>
      <c r="L216">
        <v>1308</v>
      </c>
      <c r="N216">
        <v>1003</v>
      </c>
      <c r="O216" t="s">
        <v>36</v>
      </c>
      <c r="P216" t="s">
        <v>36</v>
      </c>
      <c r="Q216">
        <v>100</v>
      </c>
      <c r="W216">
        <v>0</v>
      </c>
      <c r="X216">
        <v>568244124</v>
      </c>
      <c r="Y216">
        <v>9.5999999999999992E-3</v>
      </c>
      <c r="AA216">
        <v>585.6</v>
      </c>
      <c r="AB216">
        <v>0</v>
      </c>
      <c r="AC216">
        <v>0</v>
      </c>
      <c r="AD216">
        <v>0</v>
      </c>
      <c r="AE216">
        <v>120</v>
      </c>
      <c r="AF216">
        <v>0</v>
      </c>
      <c r="AG216">
        <v>0</v>
      </c>
      <c r="AH216">
        <v>0</v>
      </c>
      <c r="AI216">
        <v>4.88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9.5999999999999992E-3</v>
      </c>
      <c r="AU216" t="s">
        <v>3</v>
      </c>
      <c r="AV216">
        <v>0</v>
      </c>
      <c r="AW216">
        <v>2</v>
      </c>
      <c r="AX216">
        <v>39610705</v>
      </c>
      <c r="AY216">
        <v>1</v>
      </c>
      <c r="AZ216">
        <v>0</v>
      </c>
      <c r="BA216">
        <v>200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Y216*Source!I64</f>
        <v>8.6399999999999991E-2</v>
      </c>
      <c r="CY216">
        <f t="shared" ref="CY216:CY224" si="33">AA216</f>
        <v>585.6</v>
      </c>
      <c r="CZ216">
        <f t="shared" ref="CZ216:CZ224" si="34">AE216</f>
        <v>120</v>
      </c>
      <c r="DA216">
        <f t="shared" ref="DA216:DA224" si="35">AI216</f>
        <v>4.88</v>
      </c>
      <c r="DB216">
        <v>0</v>
      </c>
    </row>
    <row r="217" spans="1:106" x14ac:dyDescent="0.2">
      <c r="A217">
        <f>ROW(Source!A64)</f>
        <v>64</v>
      </c>
      <c r="B217">
        <v>39610380</v>
      </c>
      <c r="C217">
        <v>39610698</v>
      </c>
      <c r="D217">
        <v>36825981</v>
      </c>
      <c r="E217">
        <v>1</v>
      </c>
      <c r="F217">
        <v>1</v>
      </c>
      <c r="G217">
        <v>1</v>
      </c>
      <c r="H217">
        <v>3</v>
      </c>
      <c r="I217" t="s">
        <v>432</v>
      </c>
      <c r="J217" t="s">
        <v>433</v>
      </c>
      <c r="K217" t="s">
        <v>434</v>
      </c>
      <c r="L217">
        <v>1348</v>
      </c>
      <c r="N217">
        <v>1009</v>
      </c>
      <c r="O217" t="s">
        <v>237</v>
      </c>
      <c r="P217" t="s">
        <v>237</v>
      </c>
      <c r="Q217">
        <v>1000</v>
      </c>
      <c r="W217">
        <v>0</v>
      </c>
      <c r="X217">
        <v>-1598896989</v>
      </c>
      <c r="Y217">
        <v>1E-3</v>
      </c>
      <c r="AA217">
        <v>24400</v>
      </c>
      <c r="AB217">
        <v>0</v>
      </c>
      <c r="AC217">
        <v>0</v>
      </c>
      <c r="AD217">
        <v>0</v>
      </c>
      <c r="AE217">
        <v>5000</v>
      </c>
      <c r="AF217">
        <v>0</v>
      </c>
      <c r="AG217">
        <v>0</v>
      </c>
      <c r="AH217">
        <v>0</v>
      </c>
      <c r="AI217">
        <v>4.88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1E-3</v>
      </c>
      <c r="AU217" t="s">
        <v>3</v>
      </c>
      <c r="AV217">
        <v>0</v>
      </c>
      <c r="AW217">
        <v>2</v>
      </c>
      <c r="AX217">
        <v>39610706</v>
      </c>
      <c r="AY217">
        <v>1</v>
      </c>
      <c r="AZ217">
        <v>0</v>
      </c>
      <c r="BA217">
        <v>201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Y217*Source!I64</f>
        <v>9.0000000000000011E-3</v>
      </c>
      <c r="CY217">
        <f t="shared" si="33"/>
        <v>24400</v>
      </c>
      <c r="CZ217">
        <f t="shared" si="34"/>
        <v>5000</v>
      </c>
      <c r="DA217">
        <f t="shared" si="35"/>
        <v>4.88</v>
      </c>
      <c r="DB217">
        <v>0</v>
      </c>
    </row>
    <row r="218" spans="1:106" x14ac:dyDescent="0.2">
      <c r="A218">
        <f>ROW(Source!A64)</f>
        <v>64</v>
      </c>
      <c r="B218">
        <v>39610380</v>
      </c>
      <c r="C218">
        <v>39610698</v>
      </c>
      <c r="D218">
        <v>36826070</v>
      </c>
      <c r="E218">
        <v>1</v>
      </c>
      <c r="F218">
        <v>1</v>
      </c>
      <c r="G218">
        <v>1</v>
      </c>
      <c r="H218">
        <v>3</v>
      </c>
      <c r="I218" t="s">
        <v>595</v>
      </c>
      <c r="J218" t="s">
        <v>596</v>
      </c>
      <c r="K218" t="s">
        <v>597</v>
      </c>
      <c r="L218">
        <v>1348</v>
      </c>
      <c r="N218">
        <v>1009</v>
      </c>
      <c r="O218" t="s">
        <v>237</v>
      </c>
      <c r="P218" t="s">
        <v>237</v>
      </c>
      <c r="Q218">
        <v>1000</v>
      </c>
      <c r="W218">
        <v>0</v>
      </c>
      <c r="X218">
        <v>-173476442</v>
      </c>
      <c r="Y218">
        <v>0.01</v>
      </c>
      <c r="AA218">
        <v>28123.439999999999</v>
      </c>
      <c r="AB218">
        <v>0</v>
      </c>
      <c r="AC218">
        <v>0</v>
      </c>
      <c r="AD218">
        <v>0</v>
      </c>
      <c r="AE218">
        <v>5763</v>
      </c>
      <c r="AF218">
        <v>0</v>
      </c>
      <c r="AG218">
        <v>0</v>
      </c>
      <c r="AH218">
        <v>0</v>
      </c>
      <c r="AI218">
        <v>4.88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0.01</v>
      </c>
      <c r="AU218" t="s">
        <v>3</v>
      </c>
      <c r="AV218">
        <v>0</v>
      </c>
      <c r="AW218">
        <v>2</v>
      </c>
      <c r="AX218">
        <v>39610707</v>
      </c>
      <c r="AY218">
        <v>1</v>
      </c>
      <c r="AZ218">
        <v>0</v>
      </c>
      <c r="BA218">
        <v>202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Y218*Source!I64</f>
        <v>0.09</v>
      </c>
      <c r="CY218">
        <f t="shared" si="33"/>
        <v>28123.439999999999</v>
      </c>
      <c r="CZ218">
        <f t="shared" si="34"/>
        <v>5763</v>
      </c>
      <c r="DA218">
        <f t="shared" si="35"/>
        <v>4.88</v>
      </c>
      <c r="DB218">
        <v>0</v>
      </c>
    </row>
    <row r="219" spans="1:106" x14ac:dyDescent="0.2">
      <c r="A219">
        <f>ROW(Source!A64)</f>
        <v>64</v>
      </c>
      <c r="B219">
        <v>39610380</v>
      </c>
      <c r="C219">
        <v>39610698</v>
      </c>
      <c r="D219">
        <v>36838317</v>
      </c>
      <c r="E219">
        <v>1</v>
      </c>
      <c r="F219">
        <v>1</v>
      </c>
      <c r="G219">
        <v>1</v>
      </c>
      <c r="H219">
        <v>3</v>
      </c>
      <c r="I219" t="s">
        <v>435</v>
      </c>
      <c r="J219" t="s">
        <v>436</v>
      </c>
      <c r="K219" t="s">
        <v>437</v>
      </c>
      <c r="L219">
        <v>1346</v>
      </c>
      <c r="N219">
        <v>1009</v>
      </c>
      <c r="O219" t="s">
        <v>424</v>
      </c>
      <c r="P219" t="s">
        <v>424</v>
      </c>
      <c r="Q219">
        <v>1</v>
      </c>
      <c r="W219">
        <v>0</v>
      </c>
      <c r="X219">
        <v>210558753</v>
      </c>
      <c r="Y219">
        <v>0.25</v>
      </c>
      <c r="AA219">
        <v>139.57</v>
      </c>
      <c r="AB219">
        <v>0</v>
      </c>
      <c r="AC219">
        <v>0</v>
      </c>
      <c r="AD219">
        <v>0</v>
      </c>
      <c r="AE219">
        <v>28.6</v>
      </c>
      <c r="AF219">
        <v>0</v>
      </c>
      <c r="AG219">
        <v>0</v>
      </c>
      <c r="AH219">
        <v>0</v>
      </c>
      <c r="AI219">
        <v>4.88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0.25</v>
      </c>
      <c r="AU219" t="s">
        <v>3</v>
      </c>
      <c r="AV219">
        <v>0</v>
      </c>
      <c r="AW219">
        <v>2</v>
      </c>
      <c r="AX219">
        <v>39610708</v>
      </c>
      <c r="AY219">
        <v>1</v>
      </c>
      <c r="AZ219">
        <v>0</v>
      </c>
      <c r="BA219">
        <v>203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Y219*Source!I64</f>
        <v>2.25</v>
      </c>
      <c r="CY219">
        <f t="shared" si="33"/>
        <v>139.57</v>
      </c>
      <c r="CZ219">
        <f t="shared" si="34"/>
        <v>28.6</v>
      </c>
      <c r="DA219">
        <f t="shared" si="35"/>
        <v>4.88</v>
      </c>
      <c r="DB219">
        <v>0</v>
      </c>
    </row>
    <row r="220" spans="1:106" x14ac:dyDescent="0.2">
      <c r="A220">
        <f>ROW(Source!A64)</f>
        <v>64</v>
      </c>
      <c r="B220">
        <v>39610380</v>
      </c>
      <c r="C220">
        <v>39610698</v>
      </c>
      <c r="D220">
        <v>36838354</v>
      </c>
      <c r="E220">
        <v>1</v>
      </c>
      <c r="F220">
        <v>1</v>
      </c>
      <c r="G220">
        <v>1</v>
      </c>
      <c r="H220">
        <v>3</v>
      </c>
      <c r="I220" t="s">
        <v>449</v>
      </c>
      <c r="J220" t="s">
        <v>450</v>
      </c>
      <c r="K220" t="s">
        <v>451</v>
      </c>
      <c r="L220">
        <v>1348</v>
      </c>
      <c r="N220">
        <v>1009</v>
      </c>
      <c r="O220" t="s">
        <v>237</v>
      </c>
      <c r="P220" t="s">
        <v>237</v>
      </c>
      <c r="Q220">
        <v>1000</v>
      </c>
      <c r="W220">
        <v>0</v>
      </c>
      <c r="X220">
        <v>-108263514</v>
      </c>
      <c r="Y220">
        <v>6.0000000000000002E-5</v>
      </c>
      <c r="AA220">
        <v>38195.269999999997</v>
      </c>
      <c r="AB220">
        <v>0</v>
      </c>
      <c r="AC220">
        <v>0</v>
      </c>
      <c r="AD220">
        <v>0</v>
      </c>
      <c r="AE220">
        <v>7826.9</v>
      </c>
      <c r="AF220">
        <v>0</v>
      </c>
      <c r="AG220">
        <v>0</v>
      </c>
      <c r="AH220">
        <v>0</v>
      </c>
      <c r="AI220">
        <v>4.88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6.0000000000000002E-5</v>
      </c>
      <c r="AU220" t="s">
        <v>3</v>
      </c>
      <c r="AV220">
        <v>0</v>
      </c>
      <c r="AW220">
        <v>2</v>
      </c>
      <c r="AX220">
        <v>39610709</v>
      </c>
      <c r="AY220">
        <v>1</v>
      </c>
      <c r="AZ220">
        <v>0</v>
      </c>
      <c r="BA220">
        <v>204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Y220*Source!I64</f>
        <v>5.4000000000000001E-4</v>
      </c>
      <c r="CY220">
        <f t="shared" si="33"/>
        <v>38195.269999999997</v>
      </c>
      <c r="CZ220">
        <f t="shared" si="34"/>
        <v>7826.9</v>
      </c>
      <c r="DA220">
        <f t="shared" si="35"/>
        <v>4.88</v>
      </c>
      <c r="DB220">
        <v>0</v>
      </c>
    </row>
    <row r="221" spans="1:106" x14ac:dyDescent="0.2">
      <c r="A221">
        <f>ROW(Source!A64)</f>
        <v>64</v>
      </c>
      <c r="B221">
        <v>39610380</v>
      </c>
      <c r="C221">
        <v>39610698</v>
      </c>
      <c r="D221">
        <v>36857724</v>
      </c>
      <c r="E221">
        <v>1</v>
      </c>
      <c r="F221">
        <v>1</v>
      </c>
      <c r="G221">
        <v>1</v>
      </c>
      <c r="H221">
        <v>3</v>
      </c>
      <c r="I221" t="s">
        <v>218</v>
      </c>
      <c r="J221" t="s">
        <v>220</v>
      </c>
      <c r="K221" t="s">
        <v>219</v>
      </c>
      <c r="L221">
        <v>1477</v>
      </c>
      <c r="N221">
        <v>1013</v>
      </c>
      <c r="O221" t="s">
        <v>202</v>
      </c>
      <c r="P221" t="s">
        <v>204</v>
      </c>
      <c r="Q221">
        <v>1</v>
      </c>
      <c r="W221">
        <v>0</v>
      </c>
      <c r="X221">
        <v>-1577402658</v>
      </c>
      <c r="Y221">
        <v>3.3333000000000002E-2</v>
      </c>
      <c r="AA221">
        <v>431297.43</v>
      </c>
      <c r="AB221">
        <v>0</v>
      </c>
      <c r="AC221">
        <v>0</v>
      </c>
      <c r="AD221">
        <v>0</v>
      </c>
      <c r="AE221">
        <v>88380.62</v>
      </c>
      <c r="AF221">
        <v>0</v>
      </c>
      <c r="AG221">
        <v>0</v>
      </c>
      <c r="AH221">
        <v>0</v>
      </c>
      <c r="AI221">
        <v>4.88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3</v>
      </c>
      <c r="AT221">
        <v>3.3333000000000002E-2</v>
      </c>
      <c r="AU221" t="s">
        <v>3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Y221*Source!I64</f>
        <v>0.29999700000000001</v>
      </c>
      <c r="CY221">
        <f t="shared" si="33"/>
        <v>431297.43</v>
      </c>
      <c r="CZ221">
        <f t="shared" si="34"/>
        <v>88380.62</v>
      </c>
      <c r="DA221">
        <f t="shared" si="35"/>
        <v>4.88</v>
      </c>
      <c r="DB221">
        <v>0</v>
      </c>
    </row>
    <row r="222" spans="1:106" x14ac:dyDescent="0.2">
      <c r="A222">
        <f>ROW(Source!A64)</f>
        <v>64</v>
      </c>
      <c r="B222">
        <v>39610380</v>
      </c>
      <c r="C222">
        <v>39610698</v>
      </c>
      <c r="D222">
        <v>36857747</v>
      </c>
      <c r="E222">
        <v>1</v>
      </c>
      <c r="F222">
        <v>1</v>
      </c>
      <c r="G222">
        <v>1</v>
      </c>
      <c r="H222">
        <v>3</v>
      </c>
      <c r="I222" t="s">
        <v>214</v>
      </c>
      <c r="J222" t="s">
        <v>216</v>
      </c>
      <c r="K222" t="s">
        <v>215</v>
      </c>
      <c r="L222">
        <v>1477</v>
      </c>
      <c r="N222">
        <v>1013</v>
      </c>
      <c r="O222" t="s">
        <v>202</v>
      </c>
      <c r="P222" t="s">
        <v>204</v>
      </c>
      <c r="Q222">
        <v>1</v>
      </c>
      <c r="W222">
        <v>0</v>
      </c>
      <c r="X222">
        <v>-614344224</v>
      </c>
      <c r="Y222">
        <v>3.3333000000000002E-2</v>
      </c>
      <c r="AA222">
        <v>500272.61</v>
      </c>
      <c r="AB222">
        <v>0</v>
      </c>
      <c r="AC222">
        <v>0</v>
      </c>
      <c r="AD222">
        <v>0</v>
      </c>
      <c r="AE222">
        <v>102514.88</v>
      </c>
      <c r="AF222">
        <v>0</v>
      </c>
      <c r="AG222">
        <v>0</v>
      </c>
      <c r="AH222">
        <v>0</v>
      </c>
      <c r="AI222">
        <v>4.88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3</v>
      </c>
      <c r="AT222">
        <v>3.3333000000000002E-2</v>
      </c>
      <c r="AU222" t="s">
        <v>3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3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Y222*Source!I64</f>
        <v>0.29999700000000001</v>
      </c>
      <c r="CY222">
        <f t="shared" si="33"/>
        <v>500272.61</v>
      </c>
      <c r="CZ222">
        <f t="shared" si="34"/>
        <v>102514.88</v>
      </c>
      <c r="DA222">
        <f t="shared" si="35"/>
        <v>4.88</v>
      </c>
      <c r="DB222">
        <v>0</v>
      </c>
    </row>
    <row r="223" spans="1:106" x14ac:dyDescent="0.2">
      <c r="A223">
        <f>ROW(Source!A64)</f>
        <v>64</v>
      </c>
      <c r="B223">
        <v>39610380</v>
      </c>
      <c r="C223">
        <v>39610698</v>
      </c>
      <c r="D223">
        <v>36857749</v>
      </c>
      <c r="E223">
        <v>1</v>
      </c>
      <c r="F223">
        <v>1</v>
      </c>
      <c r="G223">
        <v>1</v>
      </c>
      <c r="H223">
        <v>3</v>
      </c>
      <c r="I223" t="s">
        <v>210</v>
      </c>
      <c r="J223" t="s">
        <v>212</v>
      </c>
      <c r="K223" t="s">
        <v>211</v>
      </c>
      <c r="L223">
        <v>1477</v>
      </c>
      <c r="N223">
        <v>1013</v>
      </c>
      <c r="O223" t="s">
        <v>202</v>
      </c>
      <c r="P223" t="s">
        <v>204</v>
      </c>
      <c r="Q223">
        <v>1</v>
      </c>
      <c r="W223">
        <v>0</v>
      </c>
      <c r="X223">
        <v>1034766100</v>
      </c>
      <c r="Y223">
        <v>3.3333000000000002E-2</v>
      </c>
      <c r="AA223">
        <v>677807.36</v>
      </c>
      <c r="AB223">
        <v>0</v>
      </c>
      <c r="AC223">
        <v>0</v>
      </c>
      <c r="AD223">
        <v>0</v>
      </c>
      <c r="AE223">
        <v>138894.95000000001</v>
      </c>
      <c r="AF223">
        <v>0</v>
      </c>
      <c r="AG223">
        <v>0</v>
      </c>
      <c r="AH223">
        <v>0</v>
      </c>
      <c r="AI223">
        <v>4.88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3</v>
      </c>
      <c r="AT223">
        <v>3.3333000000000002E-2</v>
      </c>
      <c r="AU223" t="s">
        <v>3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Y223*Source!I64</f>
        <v>0.29999700000000001</v>
      </c>
      <c r="CY223">
        <f t="shared" si="33"/>
        <v>677807.36</v>
      </c>
      <c r="CZ223">
        <f t="shared" si="34"/>
        <v>138894.95000000001</v>
      </c>
      <c r="DA223">
        <f t="shared" si="35"/>
        <v>4.88</v>
      </c>
      <c r="DB223">
        <v>0</v>
      </c>
    </row>
    <row r="224" spans="1:106" x14ac:dyDescent="0.2">
      <c r="A224">
        <f>ROW(Source!A64)</f>
        <v>64</v>
      </c>
      <c r="B224">
        <v>39610380</v>
      </c>
      <c r="C224">
        <v>39610698</v>
      </c>
      <c r="D224">
        <v>36799065</v>
      </c>
      <c r="E224">
        <v>17</v>
      </c>
      <c r="F224">
        <v>1</v>
      </c>
      <c r="G224">
        <v>1</v>
      </c>
      <c r="H224">
        <v>3</v>
      </c>
      <c r="I224" t="s">
        <v>438</v>
      </c>
      <c r="J224" t="s">
        <v>3</v>
      </c>
      <c r="K224" t="s">
        <v>439</v>
      </c>
      <c r="L224">
        <v>1374</v>
      </c>
      <c r="N224">
        <v>1013</v>
      </c>
      <c r="O224" t="s">
        <v>440</v>
      </c>
      <c r="P224" t="s">
        <v>440</v>
      </c>
      <c r="Q224">
        <v>1</v>
      </c>
      <c r="W224">
        <v>0</v>
      </c>
      <c r="X224">
        <v>-1731369543</v>
      </c>
      <c r="Y224">
        <v>2.12</v>
      </c>
      <c r="AA224">
        <v>1</v>
      </c>
      <c r="AB224">
        <v>0</v>
      </c>
      <c r="AC224">
        <v>0</v>
      </c>
      <c r="AD224">
        <v>0</v>
      </c>
      <c r="AE224">
        <v>1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2.12</v>
      </c>
      <c r="AU224" t="s">
        <v>3</v>
      </c>
      <c r="AV224">
        <v>0</v>
      </c>
      <c r="AW224">
        <v>2</v>
      </c>
      <c r="AX224">
        <v>39610710</v>
      </c>
      <c r="AY224">
        <v>1</v>
      </c>
      <c r="AZ224">
        <v>0</v>
      </c>
      <c r="BA224">
        <v>205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Y224*Source!I64</f>
        <v>19.080000000000002</v>
      </c>
      <c r="CY224">
        <f t="shared" si="33"/>
        <v>1</v>
      </c>
      <c r="CZ224">
        <f t="shared" si="34"/>
        <v>1</v>
      </c>
      <c r="DA224">
        <f t="shared" si="35"/>
        <v>1</v>
      </c>
      <c r="DB224">
        <v>0</v>
      </c>
    </row>
    <row r="225" spans="1:106" x14ac:dyDescent="0.2">
      <c r="A225">
        <f>ROW(Source!A68)</f>
        <v>68</v>
      </c>
      <c r="B225">
        <v>39610380</v>
      </c>
      <c r="C225">
        <v>39614121</v>
      </c>
      <c r="D225">
        <v>37072767</v>
      </c>
      <c r="E225">
        <v>1</v>
      </c>
      <c r="F225">
        <v>1</v>
      </c>
      <c r="G225">
        <v>1</v>
      </c>
      <c r="H225">
        <v>1</v>
      </c>
      <c r="I225" t="s">
        <v>598</v>
      </c>
      <c r="J225" t="s">
        <v>3</v>
      </c>
      <c r="K225" t="s">
        <v>599</v>
      </c>
      <c r="L225">
        <v>1191</v>
      </c>
      <c r="N225">
        <v>1013</v>
      </c>
      <c r="O225" t="s">
        <v>405</v>
      </c>
      <c r="P225" t="s">
        <v>405</v>
      </c>
      <c r="Q225">
        <v>1</v>
      </c>
      <c r="W225">
        <v>0</v>
      </c>
      <c r="X225">
        <v>-1027537862</v>
      </c>
      <c r="Y225">
        <v>15.2</v>
      </c>
      <c r="AA225">
        <v>0</v>
      </c>
      <c r="AB225">
        <v>0</v>
      </c>
      <c r="AC225">
        <v>0</v>
      </c>
      <c r="AD225">
        <v>44.8</v>
      </c>
      <c r="AE225">
        <v>0</v>
      </c>
      <c r="AF225">
        <v>0</v>
      </c>
      <c r="AG225">
        <v>0</v>
      </c>
      <c r="AH225">
        <v>9.18</v>
      </c>
      <c r="AI225">
        <v>1</v>
      </c>
      <c r="AJ225">
        <v>1</v>
      </c>
      <c r="AK225">
        <v>1</v>
      </c>
      <c r="AL225">
        <v>4.88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15.2</v>
      </c>
      <c r="AU225" t="s">
        <v>3</v>
      </c>
      <c r="AV225">
        <v>1</v>
      </c>
      <c r="AW225">
        <v>2</v>
      </c>
      <c r="AX225">
        <v>39614122</v>
      </c>
      <c r="AY225">
        <v>1</v>
      </c>
      <c r="AZ225">
        <v>0</v>
      </c>
      <c r="BA225">
        <v>206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Y225*Source!I68</f>
        <v>30.4</v>
      </c>
      <c r="CY225">
        <f>AD225</f>
        <v>44.8</v>
      </c>
      <c r="CZ225">
        <f>AH225</f>
        <v>9.18</v>
      </c>
      <c r="DA225">
        <f>AL225</f>
        <v>4.88</v>
      </c>
      <c r="DB225">
        <v>0</v>
      </c>
    </row>
    <row r="226" spans="1:106" x14ac:dyDescent="0.2">
      <c r="A226">
        <f>ROW(Source!A68)</f>
        <v>68</v>
      </c>
      <c r="B226">
        <v>39610380</v>
      </c>
      <c r="C226">
        <v>39614121</v>
      </c>
      <c r="D226">
        <v>36804661</v>
      </c>
      <c r="E226">
        <v>1</v>
      </c>
      <c r="F226">
        <v>1</v>
      </c>
      <c r="G226">
        <v>1</v>
      </c>
      <c r="H226">
        <v>3</v>
      </c>
      <c r="I226" t="s">
        <v>600</v>
      </c>
      <c r="J226" t="s">
        <v>601</v>
      </c>
      <c r="K226" t="s">
        <v>602</v>
      </c>
      <c r="L226">
        <v>1355</v>
      </c>
      <c r="N226">
        <v>1010</v>
      </c>
      <c r="O226" t="s">
        <v>148</v>
      </c>
      <c r="P226" t="s">
        <v>148</v>
      </c>
      <c r="Q226">
        <v>100</v>
      </c>
      <c r="W226">
        <v>0</v>
      </c>
      <c r="X226">
        <v>1135215184</v>
      </c>
      <c r="Y226">
        <v>1.75</v>
      </c>
      <c r="AA226">
        <v>39.04</v>
      </c>
      <c r="AB226">
        <v>0</v>
      </c>
      <c r="AC226">
        <v>0</v>
      </c>
      <c r="AD226">
        <v>0</v>
      </c>
      <c r="AE226">
        <v>8</v>
      </c>
      <c r="AF226">
        <v>0</v>
      </c>
      <c r="AG226">
        <v>0</v>
      </c>
      <c r="AH226">
        <v>0</v>
      </c>
      <c r="AI226">
        <v>4.88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1.75</v>
      </c>
      <c r="AU226" t="s">
        <v>3</v>
      </c>
      <c r="AV226">
        <v>0</v>
      </c>
      <c r="AW226">
        <v>2</v>
      </c>
      <c r="AX226">
        <v>39614123</v>
      </c>
      <c r="AY226">
        <v>1</v>
      </c>
      <c r="AZ226">
        <v>0</v>
      </c>
      <c r="BA226">
        <v>207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Y226*Source!I68</f>
        <v>3.5</v>
      </c>
      <c r="CY226">
        <f>AA226</f>
        <v>39.04</v>
      </c>
      <c r="CZ226">
        <f>AE226</f>
        <v>8</v>
      </c>
      <c r="DA226">
        <f>AI226</f>
        <v>4.88</v>
      </c>
      <c r="DB226">
        <v>0</v>
      </c>
    </row>
    <row r="227" spans="1:106" x14ac:dyDescent="0.2">
      <c r="A227">
        <f>ROW(Source!A68)</f>
        <v>68</v>
      </c>
      <c r="B227">
        <v>39610380</v>
      </c>
      <c r="C227">
        <v>39614121</v>
      </c>
      <c r="D227">
        <v>36867810</v>
      </c>
      <c r="E227">
        <v>1</v>
      </c>
      <c r="F227">
        <v>1</v>
      </c>
      <c r="G227">
        <v>1</v>
      </c>
      <c r="H227">
        <v>3</v>
      </c>
      <c r="I227" t="s">
        <v>226</v>
      </c>
      <c r="J227" t="s">
        <v>229</v>
      </c>
      <c r="K227" t="s">
        <v>227</v>
      </c>
      <c r="L227">
        <v>1302</v>
      </c>
      <c r="N227">
        <v>1003</v>
      </c>
      <c r="O227" t="s">
        <v>228</v>
      </c>
      <c r="P227" t="s">
        <v>228</v>
      </c>
      <c r="Q227">
        <v>10</v>
      </c>
      <c r="W227">
        <v>0</v>
      </c>
      <c r="X227">
        <v>897518530</v>
      </c>
      <c r="Y227">
        <v>10</v>
      </c>
      <c r="AA227">
        <v>193.74</v>
      </c>
      <c r="AB227">
        <v>0</v>
      </c>
      <c r="AC227">
        <v>0</v>
      </c>
      <c r="AD227">
        <v>0</v>
      </c>
      <c r="AE227">
        <v>39.700000000000003</v>
      </c>
      <c r="AF227">
        <v>0</v>
      </c>
      <c r="AG227">
        <v>0</v>
      </c>
      <c r="AH227">
        <v>0</v>
      </c>
      <c r="AI227">
        <v>4.88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3</v>
      </c>
      <c r="AT227">
        <v>10</v>
      </c>
      <c r="AU227" t="s">
        <v>3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Y227*Source!I68</f>
        <v>20</v>
      </c>
      <c r="CY227">
        <f>AA227</f>
        <v>193.74</v>
      </c>
      <c r="CZ227">
        <f>AE227</f>
        <v>39.700000000000003</v>
      </c>
      <c r="DA227">
        <f>AI227</f>
        <v>4.88</v>
      </c>
      <c r="DB227">
        <v>0</v>
      </c>
    </row>
    <row r="228" spans="1:106" x14ac:dyDescent="0.2">
      <c r="A228">
        <f>ROW(Source!A68)</f>
        <v>68</v>
      </c>
      <c r="B228">
        <v>39610380</v>
      </c>
      <c r="C228">
        <v>39614121</v>
      </c>
      <c r="D228">
        <v>36799065</v>
      </c>
      <c r="E228">
        <v>17</v>
      </c>
      <c r="F228">
        <v>1</v>
      </c>
      <c r="G228">
        <v>1</v>
      </c>
      <c r="H228">
        <v>3</v>
      </c>
      <c r="I228" t="s">
        <v>438</v>
      </c>
      <c r="J228" t="s">
        <v>3</v>
      </c>
      <c r="K228" t="s">
        <v>439</v>
      </c>
      <c r="L228">
        <v>1374</v>
      </c>
      <c r="N228">
        <v>1013</v>
      </c>
      <c r="O228" t="s">
        <v>440</v>
      </c>
      <c r="P228" t="s">
        <v>440</v>
      </c>
      <c r="Q228">
        <v>1</v>
      </c>
      <c r="W228">
        <v>0</v>
      </c>
      <c r="X228">
        <v>-1731369543</v>
      </c>
      <c r="Y228">
        <v>2.79</v>
      </c>
      <c r="AA228">
        <v>1</v>
      </c>
      <c r="AB228">
        <v>0</v>
      </c>
      <c r="AC228">
        <v>0</v>
      </c>
      <c r="AD228">
        <v>0</v>
      </c>
      <c r="AE228">
        <v>1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2.79</v>
      </c>
      <c r="AU228" t="s">
        <v>3</v>
      </c>
      <c r="AV228">
        <v>0</v>
      </c>
      <c r="AW228">
        <v>2</v>
      </c>
      <c r="AX228">
        <v>39614124</v>
      </c>
      <c r="AY228">
        <v>1</v>
      </c>
      <c r="AZ228">
        <v>0</v>
      </c>
      <c r="BA228">
        <v>208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Y228*Source!I68</f>
        <v>5.58</v>
      </c>
      <c r="CY228">
        <f>AA228</f>
        <v>1</v>
      </c>
      <c r="CZ228">
        <f>AE228</f>
        <v>1</v>
      </c>
      <c r="DA228">
        <f>AI228</f>
        <v>1</v>
      </c>
      <c r="DB228">
        <v>0</v>
      </c>
    </row>
    <row r="229" spans="1:106" x14ac:dyDescent="0.2">
      <c r="A229">
        <f>ROW(Source!A70)</f>
        <v>70</v>
      </c>
      <c r="B229">
        <v>39610380</v>
      </c>
      <c r="C229">
        <v>39614214</v>
      </c>
      <c r="D229">
        <v>37064878</v>
      </c>
      <c r="E229">
        <v>1</v>
      </c>
      <c r="F229">
        <v>1</v>
      </c>
      <c r="G229">
        <v>1</v>
      </c>
      <c r="H229">
        <v>1</v>
      </c>
      <c r="I229" t="s">
        <v>517</v>
      </c>
      <c r="J229" t="s">
        <v>3</v>
      </c>
      <c r="K229" t="s">
        <v>518</v>
      </c>
      <c r="L229">
        <v>1191</v>
      </c>
      <c r="N229">
        <v>1013</v>
      </c>
      <c r="O229" t="s">
        <v>405</v>
      </c>
      <c r="P229" t="s">
        <v>405</v>
      </c>
      <c r="Q229">
        <v>1</v>
      </c>
      <c r="W229">
        <v>0</v>
      </c>
      <c r="X229">
        <v>-1081351934</v>
      </c>
      <c r="Y229">
        <v>16.600000000000001</v>
      </c>
      <c r="AA229">
        <v>0</v>
      </c>
      <c r="AB229">
        <v>0</v>
      </c>
      <c r="AC229">
        <v>0</v>
      </c>
      <c r="AD229">
        <v>45.87</v>
      </c>
      <c r="AE229">
        <v>0</v>
      </c>
      <c r="AF229">
        <v>0</v>
      </c>
      <c r="AG229">
        <v>0</v>
      </c>
      <c r="AH229">
        <v>9.4</v>
      </c>
      <c r="AI229">
        <v>1</v>
      </c>
      <c r="AJ229">
        <v>1</v>
      </c>
      <c r="AK229">
        <v>1</v>
      </c>
      <c r="AL229">
        <v>4.88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16.600000000000001</v>
      </c>
      <c r="AU229" t="s">
        <v>3</v>
      </c>
      <c r="AV229">
        <v>1</v>
      </c>
      <c r="AW229">
        <v>2</v>
      </c>
      <c r="AX229">
        <v>39614215</v>
      </c>
      <c r="AY229">
        <v>1</v>
      </c>
      <c r="AZ229">
        <v>0</v>
      </c>
      <c r="BA229">
        <v>209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Y229*Source!I70</f>
        <v>3.3200000000000003</v>
      </c>
      <c r="CY229">
        <f>AD229</f>
        <v>45.87</v>
      </c>
      <c r="CZ229">
        <f>AH229</f>
        <v>9.4</v>
      </c>
      <c r="DA229">
        <f>AL229</f>
        <v>4.88</v>
      </c>
      <c r="DB229">
        <v>0</v>
      </c>
    </row>
    <row r="230" spans="1:106" x14ac:dyDescent="0.2">
      <c r="A230">
        <f>ROW(Source!A70)</f>
        <v>70</v>
      </c>
      <c r="B230">
        <v>39610380</v>
      </c>
      <c r="C230">
        <v>39614214</v>
      </c>
      <c r="D230">
        <v>37064876</v>
      </c>
      <c r="E230">
        <v>1</v>
      </c>
      <c r="F230">
        <v>1</v>
      </c>
      <c r="G230">
        <v>1</v>
      </c>
      <c r="H230">
        <v>1</v>
      </c>
      <c r="I230" t="s">
        <v>406</v>
      </c>
      <c r="J230" t="s">
        <v>3</v>
      </c>
      <c r="K230" t="s">
        <v>407</v>
      </c>
      <c r="L230">
        <v>1191</v>
      </c>
      <c r="N230">
        <v>1013</v>
      </c>
      <c r="O230" t="s">
        <v>405</v>
      </c>
      <c r="P230" t="s">
        <v>405</v>
      </c>
      <c r="Q230">
        <v>1</v>
      </c>
      <c r="W230">
        <v>0</v>
      </c>
      <c r="X230">
        <v>-1417349443</v>
      </c>
      <c r="Y230">
        <v>0.44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4.88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0.44</v>
      </c>
      <c r="AU230" t="s">
        <v>3</v>
      </c>
      <c r="AV230">
        <v>2</v>
      </c>
      <c r="AW230">
        <v>2</v>
      </c>
      <c r="AX230">
        <v>39614216</v>
      </c>
      <c r="AY230">
        <v>1</v>
      </c>
      <c r="AZ230">
        <v>0</v>
      </c>
      <c r="BA230">
        <v>210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Y230*Source!I70</f>
        <v>8.8000000000000009E-2</v>
      </c>
      <c r="CY230">
        <f>AD230</f>
        <v>0</v>
      </c>
      <c r="CZ230">
        <f>AH230</f>
        <v>0</v>
      </c>
      <c r="DA230">
        <f>AL230</f>
        <v>1</v>
      </c>
      <c r="DB230">
        <v>0</v>
      </c>
    </row>
    <row r="231" spans="1:106" x14ac:dyDescent="0.2">
      <c r="A231">
        <f>ROW(Source!A70)</f>
        <v>70</v>
      </c>
      <c r="B231">
        <v>39610380</v>
      </c>
      <c r="C231">
        <v>39614214</v>
      </c>
      <c r="D231">
        <v>36882159</v>
      </c>
      <c r="E231">
        <v>1</v>
      </c>
      <c r="F231">
        <v>1</v>
      </c>
      <c r="G231">
        <v>1</v>
      </c>
      <c r="H231">
        <v>2</v>
      </c>
      <c r="I231" t="s">
        <v>408</v>
      </c>
      <c r="J231" t="s">
        <v>409</v>
      </c>
      <c r="K231" t="s">
        <v>410</v>
      </c>
      <c r="L231">
        <v>1368</v>
      </c>
      <c r="N231">
        <v>1011</v>
      </c>
      <c r="O231" t="s">
        <v>411</v>
      </c>
      <c r="P231" t="s">
        <v>411</v>
      </c>
      <c r="Q231">
        <v>1</v>
      </c>
      <c r="W231">
        <v>0</v>
      </c>
      <c r="X231">
        <v>-1718674368</v>
      </c>
      <c r="Y231">
        <v>0.22</v>
      </c>
      <c r="AA231">
        <v>0</v>
      </c>
      <c r="AB231">
        <v>546.51</v>
      </c>
      <c r="AC231">
        <v>13.5</v>
      </c>
      <c r="AD231">
        <v>0</v>
      </c>
      <c r="AE231">
        <v>0</v>
      </c>
      <c r="AF231">
        <v>111.99</v>
      </c>
      <c r="AG231">
        <v>13.5</v>
      </c>
      <c r="AH231">
        <v>0</v>
      </c>
      <c r="AI231">
        <v>1</v>
      </c>
      <c r="AJ231">
        <v>4.88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0.22</v>
      </c>
      <c r="AU231" t="s">
        <v>3</v>
      </c>
      <c r="AV231">
        <v>0</v>
      </c>
      <c r="AW231">
        <v>2</v>
      </c>
      <c r="AX231">
        <v>39614217</v>
      </c>
      <c r="AY231">
        <v>1</v>
      </c>
      <c r="AZ231">
        <v>0</v>
      </c>
      <c r="BA231">
        <v>211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Y231*Source!I70</f>
        <v>4.4000000000000004E-2</v>
      </c>
      <c r="CY231">
        <f>AB231</f>
        <v>546.51</v>
      </c>
      <c r="CZ231">
        <f>AF231</f>
        <v>111.99</v>
      </c>
      <c r="DA231">
        <f>AJ231</f>
        <v>4.88</v>
      </c>
      <c r="DB231">
        <v>0</v>
      </c>
    </row>
    <row r="232" spans="1:106" x14ac:dyDescent="0.2">
      <c r="A232">
        <f>ROW(Source!A70)</f>
        <v>70</v>
      </c>
      <c r="B232">
        <v>39610380</v>
      </c>
      <c r="C232">
        <v>39614214</v>
      </c>
      <c r="D232">
        <v>36883554</v>
      </c>
      <c r="E232">
        <v>1</v>
      </c>
      <c r="F232">
        <v>1</v>
      </c>
      <c r="G232">
        <v>1</v>
      </c>
      <c r="H232">
        <v>2</v>
      </c>
      <c r="I232" t="s">
        <v>412</v>
      </c>
      <c r="J232" t="s">
        <v>413</v>
      </c>
      <c r="K232" t="s">
        <v>414</v>
      </c>
      <c r="L232">
        <v>1368</v>
      </c>
      <c r="N232">
        <v>1011</v>
      </c>
      <c r="O232" t="s">
        <v>411</v>
      </c>
      <c r="P232" t="s">
        <v>411</v>
      </c>
      <c r="Q232">
        <v>1</v>
      </c>
      <c r="W232">
        <v>0</v>
      </c>
      <c r="X232">
        <v>1372534845</v>
      </c>
      <c r="Y232">
        <v>0.22</v>
      </c>
      <c r="AA232">
        <v>0</v>
      </c>
      <c r="AB232">
        <v>320.66000000000003</v>
      </c>
      <c r="AC232">
        <v>11.6</v>
      </c>
      <c r="AD232">
        <v>0</v>
      </c>
      <c r="AE232">
        <v>0</v>
      </c>
      <c r="AF232">
        <v>65.709999999999994</v>
      </c>
      <c r="AG232">
        <v>11.6</v>
      </c>
      <c r="AH232">
        <v>0</v>
      </c>
      <c r="AI232">
        <v>1</v>
      </c>
      <c r="AJ232">
        <v>4.88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0.22</v>
      </c>
      <c r="AU232" t="s">
        <v>3</v>
      </c>
      <c r="AV232">
        <v>0</v>
      </c>
      <c r="AW232">
        <v>2</v>
      </c>
      <c r="AX232">
        <v>39614218</v>
      </c>
      <c r="AY232">
        <v>1</v>
      </c>
      <c r="AZ232">
        <v>0</v>
      </c>
      <c r="BA232">
        <v>212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Y232*Source!I70</f>
        <v>4.4000000000000004E-2</v>
      </c>
      <c r="CY232">
        <f>AB232</f>
        <v>320.66000000000003</v>
      </c>
      <c r="CZ232">
        <f>AF232</f>
        <v>65.709999999999994</v>
      </c>
      <c r="DA232">
        <f>AJ232</f>
        <v>4.88</v>
      </c>
      <c r="DB232">
        <v>0</v>
      </c>
    </row>
    <row r="233" spans="1:106" x14ac:dyDescent="0.2">
      <c r="A233">
        <f>ROW(Source!A70)</f>
        <v>70</v>
      </c>
      <c r="B233">
        <v>39610380</v>
      </c>
      <c r="C233">
        <v>39614214</v>
      </c>
      <c r="D233">
        <v>36883858</v>
      </c>
      <c r="E233">
        <v>1</v>
      </c>
      <c r="F233">
        <v>1</v>
      </c>
      <c r="G233">
        <v>1</v>
      </c>
      <c r="H233">
        <v>2</v>
      </c>
      <c r="I233" t="s">
        <v>415</v>
      </c>
      <c r="J233" t="s">
        <v>416</v>
      </c>
      <c r="K233" t="s">
        <v>417</v>
      </c>
      <c r="L233">
        <v>1368</v>
      </c>
      <c r="N233">
        <v>1011</v>
      </c>
      <c r="O233" t="s">
        <v>411</v>
      </c>
      <c r="P233" t="s">
        <v>411</v>
      </c>
      <c r="Q233">
        <v>1</v>
      </c>
      <c r="W233">
        <v>0</v>
      </c>
      <c r="X233">
        <v>-353815937</v>
      </c>
      <c r="Y233">
        <v>3.13</v>
      </c>
      <c r="AA233">
        <v>0</v>
      </c>
      <c r="AB233">
        <v>39.53</v>
      </c>
      <c r="AC233">
        <v>0</v>
      </c>
      <c r="AD233">
        <v>0</v>
      </c>
      <c r="AE233">
        <v>0</v>
      </c>
      <c r="AF233">
        <v>8.1</v>
      </c>
      <c r="AG233">
        <v>0</v>
      </c>
      <c r="AH233">
        <v>0</v>
      </c>
      <c r="AI233">
        <v>1</v>
      </c>
      <c r="AJ233">
        <v>4.88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3.13</v>
      </c>
      <c r="AU233" t="s">
        <v>3</v>
      </c>
      <c r="AV233">
        <v>0</v>
      </c>
      <c r="AW233">
        <v>2</v>
      </c>
      <c r="AX233">
        <v>39614219</v>
      </c>
      <c r="AY233">
        <v>1</v>
      </c>
      <c r="AZ233">
        <v>0</v>
      </c>
      <c r="BA233">
        <v>213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Y233*Source!I70</f>
        <v>0.626</v>
      </c>
      <c r="CY233">
        <f>AB233</f>
        <v>39.53</v>
      </c>
      <c r="CZ233">
        <f>AF233</f>
        <v>8.1</v>
      </c>
      <c r="DA233">
        <f>AJ233</f>
        <v>4.88</v>
      </c>
      <c r="DB233">
        <v>0</v>
      </c>
    </row>
    <row r="234" spans="1:106" x14ac:dyDescent="0.2">
      <c r="A234">
        <f>ROW(Source!A70)</f>
        <v>70</v>
      </c>
      <c r="B234">
        <v>39610380</v>
      </c>
      <c r="C234">
        <v>39614214</v>
      </c>
      <c r="D234">
        <v>36803258</v>
      </c>
      <c r="E234">
        <v>1</v>
      </c>
      <c r="F234">
        <v>1</v>
      </c>
      <c r="G234">
        <v>1</v>
      </c>
      <c r="H234">
        <v>3</v>
      </c>
      <c r="I234" t="s">
        <v>421</v>
      </c>
      <c r="J234" t="s">
        <v>422</v>
      </c>
      <c r="K234" t="s">
        <v>423</v>
      </c>
      <c r="L234">
        <v>1346</v>
      </c>
      <c r="N234">
        <v>1009</v>
      </c>
      <c r="O234" t="s">
        <v>424</v>
      </c>
      <c r="P234" t="s">
        <v>424</v>
      </c>
      <c r="Q234">
        <v>1</v>
      </c>
      <c r="W234">
        <v>0</v>
      </c>
      <c r="X234">
        <v>586013393</v>
      </c>
      <c r="Y234">
        <v>0.9</v>
      </c>
      <c r="AA234">
        <v>51.58</v>
      </c>
      <c r="AB234">
        <v>0</v>
      </c>
      <c r="AC234">
        <v>0</v>
      </c>
      <c r="AD234">
        <v>0</v>
      </c>
      <c r="AE234">
        <v>10.57</v>
      </c>
      <c r="AF234">
        <v>0</v>
      </c>
      <c r="AG234">
        <v>0</v>
      </c>
      <c r="AH234">
        <v>0</v>
      </c>
      <c r="AI234">
        <v>4.88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0.9</v>
      </c>
      <c r="AU234" t="s">
        <v>3</v>
      </c>
      <c r="AV234">
        <v>0</v>
      </c>
      <c r="AW234">
        <v>2</v>
      </c>
      <c r="AX234">
        <v>39614220</v>
      </c>
      <c r="AY234">
        <v>1</v>
      </c>
      <c r="AZ234">
        <v>0</v>
      </c>
      <c r="BA234">
        <v>214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Y234*Source!I70</f>
        <v>0.18000000000000002</v>
      </c>
      <c r="CY234">
        <f>AA234</f>
        <v>51.58</v>
      </c>
      <c r="CZ234">
        <f>AE234</f>
        <v>10.57</v>
      </c>
      <c r="DA234">
        <f>AI234</f>
        <v>4.88</v>
      </c>
      <c r="DB234">
        <v>0</v>
      </c>
    </row>
    <row r="235" spans="1:106" x14ac:dyDescent="0.2">
      <c r="A235">
        <f>ROW(Source!A70)</f>
        <v>70</v>
      </c>
      <c r="B235">
        <v>39610380</v>
      </c>
      <c r="C235">
        <v>39614214</v>
      </c>
      <c r="D235">
        <v>36825952</v>
      </c>
      <c r="E235">
        <v>1</v>
      </c>
      <c r="F235">
        <v>1</v>
      </c>
      <c r="G235">
        <v>1</v>
      </c>
      <c r="H235">
        <v>3</v>
      </c>
      <c r="I235" t="s">
        <v>235</v>
      </c>
      <c r="J235" t="s">
        <v>238</v>
      </c>
      <c r="K235" t="s">
        <v>236</v>
      </c>
      <c r="L235">
        <v>1348</v>
      </c>
      <c r="N235">
        <v>1009</v>
      </c>
      <c r="O235" t="s">
        <v>237</v>
      </c>
      <c r="P235" t="s">
        <v>237</v>
      </c>
      <c r="Q235">
        <v>1000</v>
      </c>
      <c r="W235">
        <v>0</v>
      </c>
      <c r="X235">
        <v>-512066668</v>
      </c>
      <c r="Y235">
        <v>0.49</v>
      </c>
      <c r="AA235">
        <v>29768</v>
      </c>
      <c r="AB235">
        <v>0</v>
      </c>
      <c r="AC235">
        <v>0</v>
      </c>
      <c r="AD235">
        <v>0</v>
      </c>
      <c r="AE235">
        <v>6100</v>
      </c>
      <c r="AF235">
        <v>0</v>
      </c>
      <c r="AG235">
        <v>0</v>
      </c>
      <c r="AH235">
        <v>0</v>
      </c>
      <c r="AI235">
        <v>4.88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0.49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Y235*Source!I70</f>
        <v>9.8000000000000004E-2</v>
      </c>
      <c r="CY235">
        <f>AA235</f>
        <v>29768</v>
      </c>
      <c r="CZ235">
        <f>AE235</f>
        <v>6100</v>
      </c>
      <c r="DA235">
        <f>AI235</f>
        <v>4.88</v>
      </c>
      <c r="DB235">
        <v>0</v>
      </c>
    </row>
    <row r="236" spans="1:106" x14ac:dyDescent="0.2">
      <c r="A236">
        <f>ROW(Source!A70)</f>
        <v>70</v>
      </c>
      <c r="B236">
        <v>39610380</v>
      </c>
      <c r="C236">
        <v>39614214</v>
      </c>
      <c r="D236">
        <v>36838321</v>
      </c>
      <c r="E236">
        <v>1</v>
      </c>
      <c r="F236">
        <v>1</v>
      </c>
      <c r="G236">
        <v>1</v>
      </c>
      <c r="H236">
        <v>3</v>
      </c>
      <c r="I236" t="s">
        <v>603</v>
      </c>
      <c r="J236" t="s">
        <v>604</v>
      </c>
      <c r="K236" t="s">
        <v>605</v>
      </c>
      <c r="L236">
        <v>1346</v>
      </c>
      <c r="N236">
        <v>1009</v>
      </c>
      <c r="O236" t="s">
        <v>424</v>
      </c>
      <c r="P236" t="s">
        <v>424</v>
      </c>
      <c r="Q236">
        <v>1</v>
      </c>
      <c r="W236">
        <v>0</v>
      </c>
      <c r="X236">
        <v>-1130618203</v>
      </c>
      <c r="Y236">
        <v>3.7</v>
      </c>
      <c r="AA236">
        <v>1163.78</v>
      </c>
      <c r="AB236">
        <v>0</v>
      </c>
      <c r="AC236">
        <v>0</v>
      </c>
      <c r="AD236">
        <v>0</v>
      </c>
      <c r="AE236">
        <v>238.48</v>
      </c>
      <c r="AF236">
        <v>0</v>
      </c>
      <c r="AG236">
        <v>0</v>
      </c>
      <c r="AH236">
        <v>0</v>
      </c>
      <c r="AI236">
        <v>4.88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3.7</v>
      </c>
      <c r="AU236" t="s">
        <v>3</v>
      </c>
      <c r="AV236">
        <v>0</v>
      </c>
      <c r="AW236">
        <v>2</v>
      </c>
      <c r="AX236">
        <v>39614221</v>
      </c>
      <c r="AY236">
        <v>1</v>
      </c>
      <c r="AZ236">
        <v>0</v>
      </c>
      <c r="BA236">
        <v>215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Y236*Source!I70</f>
        <v>0.7400000000000001</v>
      </c>
      <c r="CY236">
        <f>AA236</f>
        <v>1163.78</v>
      </c>
      <c r="CZ236">
        <f>AE236</f>
        <v>238.48</v>
      </c>
      <c r="DA236">
        <f>AI236</f>
        <v>4.88</v>
      </c>
      <c r="DB236">
        <v>0</v>
      </c>
    </row>
    <row r="237" spans="1:106" x14ac:dyDescent="0.2">
      <c r="A237">
        <f>ROW(Source!A70)</f>
        <v>70</v>
      </c>
      <c r="B237">
        <v>39610380</v>
      </c>
      <c r="C237">
        <v>39614214</v>
      </c>
      <c r="D237">
        <v>36799065</v>
      </c>
      <c r="E237">
        <v>17</v>
      </c>
      <c r="F237">
        <v>1</v>
      </c>
      <c r="G237">
        <v>1</v>
      </c>
      <c r="H237">
        <v>3</v>
      </c>
      <c r="I237" t="s">
        <v>438</v>
      </c>
      <c r="J237" t="s">
        <v>3</v>
      </c>
      <c r="K237" t="s">
        <v>439</v>
      </c>
      <c r="L237">
        <v>1374</v>
      </c>
      <c r="N237">
        <v>1013</v>
      </c>
      <c r="O237" t="s">
        <v>440</v>
      </c>
      <c r="P237" t="s">
        <v>440</v>
      </c>
      <c r="Q237">
        <v>1</v>
      </c>
      <c r="W237">
        <v>0</v>
      </c>
      <c r="X237">
        <v>-1731369543</v>
      </c>
      <c r="Y237">
        <v>3.12</v>
      </c>
      <c r="AA237">
        <v>1</v>
      </c>
      <c r="AB237">
        <v>0</v>
      </c>
      <c r="AC237">
        <v>0</v>
      </c>
      <c r="AD237">
        <v>0</v>
      </c>
      <c r="AE237">
        <v>1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3.12</v>
      </c>
      <c r="AU237" t="s">
        <v>3</v>
      </c>
      <c r="AV237">
        <v>0</v>
      </c>
      <c r="AW237">
        <v>2</v>
      </c>
      <c r="AX237">
        <v>39614222</v>
      </c>
      <c r="AY237">
        <v>1</v>
      </c>
      <c r="AZ237">
        <v>0</v>
      </c>
      <c r="BA237">
        <v>216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Y237*Source!I70</f>
        <v>0.62400000000000011</v>
      </c>
      <c r="CY237">
        <f>AA237</f>
        <v>1</v>
      </c>
      <c r="CZ237">
        <f>AE237</f>
        <v>1</v>
      </c>
      <c r="DA237">
        <f>AI237</f>
        <v>1</v>
      </c>
      <c r="DB237">
        <v>0</v>
      </c>
    </row>
    <row r="238" spans="1:106" x14ac:dyDescent="0.2">
      <c r="A238">
        <f>ROW(Source!A72)</f>
        <v>72</v>
      </c>
      <c r="B238">
        <v>39610380</v>
      </c>
      <c r="C238">
        <v>39614138</v>
      </c>
      <c r="D238">
        <v>37064878</v>
      </c>
      <c r="E238">
        <v>1</v>
      </c>
      <c r="F238">
        <v>1</v>
      </c>
      <c r="G238">
        <v>1</v>
      </c>
      <c r="H238">
        <v>1</v>
      </c>
      <c r="I238" t="s">
        <v>517</v>
      </c>
      <c r="J238" t="s">
        <v>3</v>
      </c>
      <c r="K238" t="s">
        <v>518</v>
      </c>
      <c r="L238">
        <v>1191</v>
      </c>
      <c r="N238">
        <v>1013</v>
      </c>
      <c r="O238" t="s">
        <v>405</v>
      </c>
      <c r="P238" t="s">
        <v>405</v>
      </c>
      <c r="Q238">
        <v>1</v>
      </c>
      <c r="W238">
        <v>0</v>
      </c>
      <c r="X238">
        <v>-1081351934</v>
      </c>
      <c r="Y238">
        <v>5.39</v>
      </c>
      <c r="AA238">
        <v>0</v>
      </c>
      <c r="AB238">
        <v>0</v>
      </c>
      <c r="AC238">
        <v>0</v>
      </c>
      <c r="AD238">
        <v>45.87</v>
      </c>
      <c r="AE238">
        <v>0</v>
      </c>
      <c r="AF238">
        <v>0</v>
      </c>
      <c r="AG238">
        <v>0</v>
      </c>
      <c r="AH238">
        <v>9.4</v>
      </c>
      <c r="AI238">
        <v>1</v>
      </c>
      <c r="AJ238">
        <v>1</v>
      </c>
      <c r="AK238">
        <v>1</v>
      </c>
      <c r="AL238">
        <v>4.88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5.39</v>
      </c>
      <c r="AU238" t="s">
        <v>3</v>
      </c>
      <c r="AV238">
        <v>1</v>
      </c>
      <c r="AW238">
        <v>2</v>
      </c>
      <c r="AX238">
        <v>39614139</v>
      </c>
      <c r="AY238">
        <v>1</v>
      </c>
      <c r="AZ238">
        <v>0</v>
      </c>
      <c r="BA238">
        <v>217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Y238*Source!I72</f>
        <v>10.78</v>
      </c>
      <c r="CY238">
        <f>AD238</f>
        <v>45.87</v>
      </c>
      <c r="CZ238">
        <f>AH238</f>
        <v>9.4</v>
      </c>
      <c r="DA238">
        <f>AL238</f>
        <v>4.88</v>
      </c>
      <c r="DB238">
        <v>0</v>
      </c>
    </row>
    <row r="239" spans="1:106" x14ac:dyDescent="0.2">
      <c r="A239">
        <f>ROW(Source!A72)</f>
        <v>72</v>
      </c>
      <c r="B239">
        <v>39610380</v>
      </c>
      <c r="C239">
        <v>39614138</v>
      </c>
      <c r="D239">
        <v>37064876</v>
      </c>
      <c r="E239">
        <v>1</v>
      </c>
      <c r="F239">
        <v>1</v>
      </c>
      <c r="G239">
        <v>1</v>
      </c>
      <c r="H239">
        <v>1</v>
      </c>
      <c r="I239" t="s">
        <v>406</v>
      </c>
      <c r="J239" t="s">
        <v>3</v>
      </c>
      <c r="K239" t="s">
        <v>407</v>
      </c>
      <c r="L239">
        <v>1191</v>
      </c>
      <c r="N239">
        <v>1013</v>
      </c>
      <c r="O239" t="s">
        <v>405</v>
      </c>
      <c r="P239" t="s">
        <v>405</v>
      </c>
      <c r="Q239">
        <v>1</v>
      </c>
      <c r="W239">
        <v>0</v>
      </c>
      <c r="X239">
        <v>-1417349443</v>
      </c>
      <c r="Y239">
        <v>0.04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4.88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0.04</v>
      </c>
      <c r="AU239" t="s">
        <v>3</v>
      </c>
      <c r="AV239">
        <v>2</v>
      </c>
      <c r="AW239">
        <v>2</v>
      </c>
      <c r="AX239">
        <v>39614140</v>
      </c>
      <c r="AY239">
        <v>1</v>
      </c>
      <c r="AZ239">
        <v>0</v>
      </c>
      <c r="BA239">
        <v>218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Y239*Source!I72</f>
        <v>0.08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ROW(Source!A72)</f>
        <v>72</v>
      </c>
      <c r="B240">
        <v>39610380</v>
      </c>
      <c r="C240">
        <v>39614138</v>
      </c>
      <c r="D240">
        <v>36882159</v>
      </c>
      <c r="E240">
        <v>1</v>
      </c>
      <c r="F240">
        <v>1</v>
      </c>
      <c r="G240">
        <v>1</v>
      </c>
      <c r="H240">
        <v>2</v>
      </c>
      <c r="I240" t="s">
        <v>408</v>
      </c>
      <c r="J240" t="s">
        <v>409</v>
      </c>
      <c r="K240" t="s">
        <v>410</v>
      </c>
      <c r="L240">
        <v>1368</v>
      </c>
      <c r="N240">
        <v>1011</v>
      </c>
      <c r="O240" t="s">
        <v>411</v>
      </c>
      <c r="P240" t="s">
        <v>411</v>
      </c>
      <c r="Q240">
        <v>1</v>
      </c>
      <c r="W240">
        <v>0</v>
      </c>
      <c r="X240">
        <v>-1718674368</v>
      </c>
      <c r="Y240">
        <v>0.02</v>
      </c>
      <c r="AA240">
        <v>0</v>
      </c>
      <c r="AB240">
        <v>546.51</v>
      </c>
      <c r="AC240">
        <v>13.5</v>
      </c>
      <c r="AD240">
        <v>0</v>
      </c>
      <c r="AE240">
        <v>0</v>
      </c>
      <c r="AF240">
        <v>111.99</v>
      </c>
      <c r="AG240">
        <v>13.5</v>
      </c>
      <c r="AH240">
        <v>0</v>
      </c>
      <c r="AI240">
        <v>1</v>
      </c>
      <c r="AJ240">
        <v>4.88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0.02</v>
      </c>
      <c r="AU240" t="s">
        <v>3</v>
      </c>
      <c r="AV240">
        <v>0</v>
      </c>
      <c r="AW240">
        <v>2</v>
      </c>
      <c r="AX240">
        <v>39614141</v>
      </c>
      <c r="AY240">
        <v>1</v>
      </c>
      <c r="AZ240">
        <v>0</v>
      </c>
      <c r="BA240">
        <v>219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Y240*Source!I72</f>
        <v>0.04</v>
      </c>
      <c r="CY240">
        <f>AB240</f>
        <v>546.51</v>
      </c>
      <c r="CZ240">
        <f>AF240</f>
        <v>111.99</v>
      </c>
      <c r="DA240">
        <f>AJ240</f>
        <v>4.88</v>
      </c>
      <c r="DB240">
        <v>0</v>
      </c>
    </row>
    <row r="241" spans="1:106" x14ac:dyDescent="0.2">
      <c r="A241">
        <f>ROW(Source!A72)</f>
        <v>72</v>
      </c>
      <c r="B241">
        <v>39610380</v>
      </c>
      <c r="C241">
        <v>39614138</v>
      </c>
      <c r="D241">
        <v>36883554</v>
      </c>
      <c r="E241">
        <v>1</v>
      </c>
      <c r="F241">
        <v>1</v>
      </c>
      <c r="G241">
        <v>1</v>
      </c>
      <c r="H241">
        <v>2</v>
      </c>
      <c r="I241" t="s">
        <v>412</v>
      </c>
      <c r="J241" t="s">
        <v>413</v>
      </c>
      <c r="K241" t="s">
        <v>414</v>
      </c>
      <c r="L241">
        <v>1368</v>
      </c>
      <c r="N241">
        <v>1011</v>
      </c>
      <c r="O241" t="s">
        <v>411</v>
      </c>
      <c r="P241" t="s">
        <v>411</v>
      </c>
      <c r="Q241">
        <v>1</v>
      </c>
      <c r="W241">
        <v>0</v>
      </c>
      <c r="X241">
        <v>1372534845</v>
      </c>
      <c r="Y241">
        <v>0.02</v>
      </c>
      <c r="AA241">
        <v>0</v>
      </c>
      <c r="AB241">
        <v>320.66000000000003</v>
      </c>
      <c r="AC241">
        <v>11.6</v>
      </c>
      <c r="AD241">
        <v>0</v>
      </c>
      <c r="AE241">
        <v>0</v>
      </c>
      <c r="AF241">
        <v>65.709999999999994</v>
      </c>
      <c r="AG241">
        <v>11.6</v>
      </c>
      <c r="AH241">
        <v>0</v>
      </c>
      <c r="AI241">
        <v>1</v>
      </c>
      <c r="AJ241">
        <v>4.88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0.02</v>
      </c>
      <c r="AU241" t="s">
        <v>3</v>
      </c>
      <c r="AV241">
        <v>0</v>
      </c>
      <c r="AW241">
        <v>2</v>
      </c>
      <c r="AX241">
        <v>39614142</v>
      </c>
      <c r="AY241">
        <v>1</v>
      </c>
      <c r="AZ241">
        <v>0</v>
      </c>
      <c r="BA241">
        <v>220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Y241*Source!I72</f>
        <v>0.04</v>
      </c>
      <c r="CY241">
        <f>AB241</f>
        <v>320.66000000000003</v>
      </c>
      <c r="CZ241">
        <f>AF241</f>
        <v>65.709999999999994</v>
      </c>
      <c r="DA241">
        <f>AJ241</f>
        <v>4.88</v>
      </c>
      <c r="DB241">
        <v>0</v>
      </c>
    </row>
    <row r="242" spans="1:106" x14ac:dyDescent="0.2">
      <c r="A242">
        <f>ROW(Source!A72)</f>
        <v>72</v>
      </c>
      <c r="B242">
        <v>39610380</v>
      </c>
      <c r="C242">
        <v>39614138</v>
      </c>
      <c r="D242">
        <v>36802094</v>
      </c>
      <c r="E242">
        <v>1</v>
      </c>
      <c r="F242">
        <v>1</v>
      </c>
      <c r="G242">
        <v>1</v>
      </c>
      <c r="H242">
        <v>3</v>
      </c>
      <c r="I242" t="s">
        <v>466</v>
      </c>
      <c r="J242" t="s">
        <v>467</v>
      </c>
      <c r="K242" t="s">
        <v>468</v>
      </c>
      <c r="L242">
        <v>1346</v>
      </c>
      <c r="N242">
        <v>1009</v>
      </c>
      <c r="O242" t="s">
        <v>424</v>
      </c>
      <c r="P242" t="s">
        <v>424</v>
      </c>
      <c r="Q242">
        <v>1</v>
      </c>
      <c r="W242">
        <v>0</v>
      </c>
      <c r="X242">
        <v>-1088866022</v>
      </c>
      <c r="Y242">
        <v>0.16</v>
      </c>
      <c r="AA242">
        <v>148.35</v>
      </c>
      <c r="AB242">
        <v>0</v>
      </c>
      <c r="AC242">
        <v>0</v>
      </c>
      <c r="AD242">
        <v>0</v>
      </c>
      <c r="AE242">
        <v>30.4</v>
      </c>
      <c r="AF242">
        <v>0</v>
      </c>
      <c r="AG242">
        <v>0</v>
      </c>
      <c r="AH242">
        <v>0</v>
      </c>
      <c r="AI242">
        <v>4.88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0.16</v>
      </c>
      <c r="AU242" t="s">
        <v>3</v>
      </c>
      <c r="AV242">
        <v>0</v>
      </c>
      <c r="AW242">
        <v>2</v>
      </c>
      <c r="AX242">
        <v>39614143</v>
      </c>
      <c r="AY242">
        <v>1</v>
      </c>
      <c r="AZ242">
        <v>0</v>
      </c>
      <c r="BA242">
        <v>221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Y242*Source!I72</f>
        <v>0.32</v>
      </c>
      <c r="CY242">
        <f t="shared" ref="CY242:CY248" si="36">AA242</f>
        <v>148.35</v>
      </c>
      <c r="CZ242">
        <f t="shared" ref="CZ242:CZ248" si="37">AE242</f>
        <v>30.4</v>
      </c>
      <c r="DA242">
        <f t="shared" ref="DA242:DA248" si="38">AI242</f>
        <v>4.88</v>
      </c>
      <c r="DB242">
        <v>0</v>
      </c>
    </row>
    <row r="243" spans="1:106" x14ac:dyDescent="0.2">
      <c r="A243">
        <f>ROW(Source!A72)</f>
        <v>72</v>
      </c>
      <c r="B243">
        <v>39610380</v>
      </c>
      <c r="C243">
        <v>39614138</v>
      </c>
      <c r="D243">
        <v>36802373</v>
      </c>
      <c r="E243">
        <v>1</v>
      </c>
      <c r="F243">
        <v>1</v>
      </c>
      <c r="G243">
        <v>1</v>
      </c>
      <c r="H243">
        <v>3</v>
      </c>
      <c r="I243" t="s">
        <v>606</v>
      </c>
      <c r="J243" t="s">
        <v>607</v>
      </c>
      <c r="K243" t="s">
        <v>608</v>
      </c>
      <c r="L243">
        <v>1348</v>
      </c>
      <c r="N243">
        <v>1009</v>
      </c>
      <c r="O243" t="s">
        <v>237</v>
      </c>
      <c r="P243" t="s">
        <v>237</v>
      </c>
      <c r="Q243">
        <v>1000</v>
      </c>
      <c r="W243">
        <v>0</v>
      </c>
      <c r="X243">
        <v>1012095217</v>
      </c>
      <c r="Y243">
        <v>5.9999999999999995E-4</v>
      </c>
      <c r="AA243">
        <v>8881.6</v>
      </c>
      <c r="AB243">
        <v>0</v>
      </c>
      <c r="AC243">
        <v>0</v>
      </c>
      <c r="AD243">
        <v>0</v>
      </c>
      <c r="AE243">
        <v>1820</v>
      </c>
      <c r="AF243">
        <v>0</v>
      </c>
      <c r="AG243">
        <v>0</v>
      </c>
      <c r="AH243">
        <v>0</v>
      </c>
      <c r="AI243">
        <v>4.88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5.9999999999999995E-4</v>
      </c>
      <c r="AU243" t="s">
        <v>3</v>
      </c>
      <c r="AV243">
        <v>0</v>
      </c>
      <c r="AW243">
        <v>2</v>
      </c>
      <c r="AX243">
        <v>39614144</v>
      </c>
      <c r="AY243">
        <v>1</v>
      </c>
      <c r="AZ243">
        <v>0</v>
      </c>
      <c r="BA243">
        <v>222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Y243*Source!I72</f>
        <v>1.1999999999999999E-3</v>
      </c>
      <c r="CY243">
        <f t="shared" si="36"/>
        <v>8881.6</v>
      </c>
      <c r="CZ243">
        <f t="shared" si="37"/>
        <v>1820</v>
      </c>
      <c r="DA243">
        <f t="shared" si="38"/>
        <v>4.88</v>
      </c>
      <c r="DB243">
        <v>0</v>
      </c>
    </row>
    <row r="244" spans="1:106" x14ac:dyDescent="0.2">
      <c r="A244">
        <f>ROW(Source!A72)</f>
        <v>72</v>
      </c>
      <c r="B244">
        <v>39610380</v>
      </c>
      <c r="C244">
        <v>39614138</v>
      </c>
      <c r="D244">
        <v>36838317</v>
      </c>
      <c r="E244">
        <v>1</v>
      </c>
      <c r="F244">
        <v>1</v>
      </c>
      <c r="G244">
        <v>1</v>
      </c>
      <c r="H244">
        <v>3</v>
      </c>
      <c r="I244" t="s">
        <v>435</v>
      </c>
      <c r="J244" t="s">
        <v>436</v>
      </c>
      <c r="K244" t="s">
        <v>437</v>
      </c>
      <c r="L244">
        <v>1346</v>
      </c>
      <c r="N244">
        <v>1009</v>
      </c>
      <c r="O244" t="s">
        <v>424</v>
      </c>
      <c r="P244" t="s">
        <v>424</v>
      </c>
      <c r="Q244">
        <v>1</v>
      </c>
      <c r="W244">
        <v>0</v>
      </c>
      <c r="X244">
        <v>210558753</v>
      </c>
      <c r="Y244">
        <v>0.02</v>
      </c>
      <c r="AA244">
        <v>139.57</v>
      </c>
      <c r="AB244">
        <v>0</v>
      </c>
      <c r="AC244">
        <v>0</v>
      </c>
      <c r="AD244">
        <v>0</v>
      </c>
      <c r="AE244">
        <v>28.6</v>
      </c>
      <c r="AF244">
        <v>0</v>
      </c>
      <c r="AG244">
        <v>0</v>
      </c>
      <c r="AH244">
        <v>0</v>
      </c>
      <c r="AI244">
        <v>4.88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0.02</v>
      </c>
      <c r="AU244" t="s">
        <v>3</v>
      </c>
      <c r="AV244">
        <v>0</v>
      </c>
      <c r="AW244">
        <v>2</v>
      </c>
      <c r="AX244">
        <v>39614145</v>
      </c>
      <c r="AY244">
        <v>1</v>
      </c>
      <c r="AZ244">
        <v>0</v>
      </c>
      <c r="BA244">
        <v>223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Y244*Source!I72</f>
        <v>0.04</v>
      </c>
      <c r="CY244">
        <f t="shared" si="36"/>
        <v>139.57</v>
      </c>
      <c r="CZ244">
        <f t="shared" si="37"/>
        <v>28.6</v>
      </c>
      <c r="DA244">
        <f t="shared" si="38"/>
        <v>4.88</v>
      </c>
      <c r="DB244">
        <v>0</v>
      </c>
    </row>
    <row r="245" spans="1:106" x14ac:dyDescent="0.2">
      <c r="A245">
        <f>ROW(Source!A72)</f>
        <v>72</v>
      </c>
      <c r="B245">
        <v>39610380</v>
      </c>
      <c r="C245">
        <v>39614138</v>
      </c>
      <c r="D245">
        <v>36852009</v>
      </c>
      <c r="E245">
        <v>1</v>
      </c>
      <c r="F245">
        <v>1</v>
      </c>
      <c r="G245">
        <v>1</v>
      </c>
      <c r="H245">
        <v>3</v>
      </c>
      <c r="I245" t="s">
        <v>609</v>
      </c>
      <c r="J245" t="s">
        <v>610</v>
      </c>
      <c r="K245" t="s">
        <v>611</v>
      </c>
      <c r="L245">
        <v>1355</v>
      </c>
      <c r="N245">
        <v>1010</v>
      </c>
      <c r="O245" t="s">
        <v>148</v>
      </c>
      <c r="P245" t="s">
        <v>148</v>
      </c>
      <c r="Q245">
        <v>100</v>
      </c>
      <c r="W245">
        <v>0</v>
      </c>
      <c r="X245">
        <v>-423136440</v>
      </c>
      <c r="Y245">
        <v>0.05</v>
      </c>
      <c r="AA245">
        <v>536.79999999999995</v>
      </c>
      <c r="AB245">
        <v>0</v>
      </c>
      <c r="AC245">
        <v>0</v>
      </c>
      <c r="AD245">
        <v>0</v>
      </c>
      <c r="AE245">
        <v>110</v>
      </c>
      <c r="AF245">
        <v>0</v>
      </c>
      <c r="AG245">
        <v>0</v>
      </c>
      <c r="AH245">
        <v>0</v>
      </c>
      <c r="AI245">
        <v>4.88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0.05</v>
      </c>
      <c r="AU245" t="s">
        <v>3</v>
      </c>
      <c r="AV245">
        <v>0</v>
      </c>
      <c r="AW245">
        <v>2</v>
      </c>
      <c r="AX245">
        <v>39614146</v>
      </c>
      <c r="AY245">
        <v>1</v>
      </c>
      <c r="AZ245">
        <v>0</v>
      </c>
      <c r="BA245">
        <v>224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Y245*Source!I72</f>
        <v>0.1</v>
      </c>
      <c r="CY245">
        <f t="shared" si="36"/>
        <v>536.79999999999995</v>
      </c>
      <c r="CZ245">
        <f t="shared" si="37"/>
        <v>110</v>
      </c>
      <c r="DA245">
        <f t="shared" si="38"/>
        <v>4.88</v>
      </c>
      <c r="DB245">
        <v>0</v>
      </c>
    </row>
    <row r="246" spans="1:106" x14ac:dyDescent="0.2">
      <c r="A246">
        <f>ROW(Source!A72)</f>
        <v>72</v>
      </c>
      <c r="B246">
        <v>39610380</v>
      </c>
      <c r="C246">
        <v>39614138</v>
      </c>
      <c r="D246">
        <v>36852060</v>
      </c>
      <c r="E246">
        <v>1</v>
      </c>
      <c r="F246">
        <v>1</v>
      </c>
      <c r="G246">
        <v>1</v>
      </c>
      <c r="H246">
        <v>3</v>
      </c>
      <c r="I246" t="s">
        <v>612</v>
      </c>
      <c r="J246" t="s">
        <v>613</v>
      </c>
      <c r="K246" t="s">
        <v>614</v>
      </c>
      <c r="L246">
        <v>1356</v>
      </c>
      <c r="N246">
        <v>1010</v>
      </c>
      <c r="O246" t="s">
        <v>75</v>
      </c>
      <c r="P246" t="s">
        <v>75</v>
      </c>
      <c r="Q246">
        <v>1000</v>
      </c>
      <c r="W246">
        <v>0</v>
      </c>
      <c r="X246">
        <v>537827188</v>
      </c>
      <c r="Y246">
        <v>1.2200000000000001E-2</v>
      </c>
      <c r="AA246">
        <v>580.72</v>
      </c>
      <c r="AB246">
        <v>0</v>
      </c>
      <c r="AC246">
        <v>0</v>
      </c>
      <c r="AD246">
        <v>0</v>
      </c>
      <c r="AE246">
        <v>119</v>
      </c>
      <c r="AF246">
        <v>0</v>
      </c>
      <c r="AG246">
        <v>0</v>
      </c>
      <c r="AH246">
        <v>0</v>
      </c>
      <c r="AI246">
        <v>4.88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1.2200000000000001E-2</v>
      </c>
      <c r="AU246" t="s">
        <v>3</v>
      </c>
      <c r="AV246">
        <v>0</v>
      </c>
      <c r="AW246">
        <v>2</v>
      </c>
      <c r="AX246">
        <v>39614147</v>
      </c>
      <c r="AY246">
        <v>1</v>
      </c>
      <c r="AZ246">
        <v>0</v>
      </c>
      <c r="BA246">
        <v>225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Y246*Source!I72</f>
        <v>2.4400000000000002E-2</v>
      </c>
      <c r="CY246">
        <f t="shared" si="36"/>
        <v>580.72</v>
      </c>
      <c r="CZ246">
        <f t="shared" si="37"/>
        <v>119</v>
      </c>
      <c r="DA246">
        <f t="shared" si="38"/>
        <v>4.88</v>
      </c>
      <c r="DB246">
        <v>0</v>
      </c>
    </row>
    <row r="247" spans="1:106" x14ac:dyDescent="0.2">
      <c r="A247">
        <f>ROW(Source!A72)</f>
        <v>72</v>
      </c>
      <c r="B247">
        <v>39610380</v>
      </c>
      <c r="C247">
        <v>39614138</v>
      </c>
      <c r="D247">
        <v>36857510</v>
      </c>
      <c r="E247">
        <v>1</v>
      </c>
      <c r="F247">
        <v>1</v>
      </c>
      <c r="G247">
        <v>1</v>
      </c>
      <c r="H247">
        <v>3</v>
      </c>
      <c r="I247" t="s">
        <v>244</v>
      </c>
      <c r="J247" t="s">
        <v>246</v>
      </c>
      <c r="K247" t="s">
        <v>245</v>
      </c>
      <c r="L247">
        <v>1477</v>
      </c>
      <c r="N247">
        <v>1013</v>
      </c>
      <c r="O247" t="s">
        <v>202</v>
      </c>
      <c r="P247" t="s">
        <v>204</v>
      </c>
      <c r="Q247">
        <v>1</v>
      </c>
      <c r="W247">
        <v>0</v>
      </c>
      <c r="X247">
        <v>-1479501953</v>
      </c>
      <c r="Y247">
        <v>0.1</v>
      </c>
      <c r="AA247">
        <v>23580.75</v>
      </c>
      <c r="AB247">
        <v>0</v>
      </c>
      <c r="AC247">
        <v>0</v>
      </c>
      <c r="AD247">
        <v>0</v>
      </c>
      <c r="AE247">
        <v>4832.12</v>
      </c>
      <c r="AF247">
        <v>0</v>
      </c>
      <c r="AG247">
        <v>0</v>
      </c>
      <c r="AH247">
        <v>0</v>
      </c>
      <c r="AI247">
        <v>4.88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3</v>
      </c>
      <c r="AT247">
        <v>0.1</v>
      </c>
      <c r="AU247" t="s">
        <v>3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Y247*Source!I72</f>
        <v>0.2</v>
      </c>
      <c r="CY247">
        <f t="shared" si="36"/>
        <v>23580.75</v>
      </c>
      <c r="CZ247">
        <f t="shared" si="37"/>
        <v>4832.12</v>
      </c>
      <c r="DA247">
        <f t="shared" si="38"/>
        <v>4.88</v>
      </c>
      <c r="DB247">
        <v>0</v>
      </c>
    </row>
    <row r="248" spans="1:106" x14ac:dyDescent="0.2">
      <c r="A248">
        <f>ROW(Source!A72)</f>
        <v>72</v>
      </c>
      <c r="B248">
        <v>39610380</v>
      </c>
      <c r="C248">
        <v>39614138</v>
      </c>
      <c r="D248">
        <v>36799065</v>
      </c>
      <c r="E248">
        <v>17</v>
      </c>
      <c r="F248">
        <v>1</v>
      </c>
      <c r="G248">
        <v>1</v>
      </c>
      <c r="H248">
        <v>3</v>
      </c>
      <c r="I248" t="s">
        <v>438</v>
      </c>
      <c r="J248" t="s">
        <v>3</v>
      </c>
      <c r="K248" t="s">
        <v>439</v>
      </c>
      <c r="L248">
        <v>1374</v>
      </c>
      <c r="N248">
        <v>1013</v>
      </c>
      <c r="O248" t="s">
        <v>440</v>
      </c>
      <c r="P248" t="s">
        <v>440</v>
      </c>
      <c r="Q248">
        <v>1</v>
      </c>
      <c r="W248">
        <v>0</v>
      </c>
      <c r="X248">
        <v>-1731369543</v>
      </c>
      <c r="Y248">
        <v>1.01</v>
      </c>
      <c r="AA248">
        <v>1</v>
      </c>
      <c r="AB248">
        <v>0</v>
      </c>
      <c r="AC248">
        <v>0</v>
      </c>
      <c r="AD248">
        <v>0</v>
      </c>
      <c r="AE248">
        <v>1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1.01</v>
      </c>
      <c r="AU248" t="s">
        <v>3</v>
      </c>
      <c r="AV248">
        <v>0</v>
      </c>
      <c r="AW248">
        <v>2</v>
      </c>
      <c r="AX248">
        <v>39614148</v>
      </c>
      <c r="AY248">
        <v>1</v>
      </c>
      <c r="AZ248">
        <v>0</v>
      </c>
      <c r="BA248">
        <v>226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Y248*Source!I72</f>
        <v>2.02</v>
      </c>
      <c r="CY248">
        <f t="shared" si="36"/>
        <v>1</v>
      </c>
      <c r="CZ248">
        <f t="shared" si="37"/>
        <v>1</v>
      </c>
      <c r="DA248">
        <f t="shared" si="38"/>
        <v>1</v>
      </c>
      <c r="DB248">
        <v>0</v>
      </c>
    </row>
    <row r="249" spans="1:106" x14ac:dyDescent="0.2">
      <c r="A249">
        <f>ROW(Source!A74)</f>
        <v>74</v>
      </c>
      <c r="B249">
        <v>39610380</v>
      </c>
      <c r="C249">
        <v>39610801</v>
      </c>
      <c r="D249">
        <v>37071037</v>
      </c>
      <c r="E249">
        <v>1</v>
      </c>
      <c r="F249">
        <v>1</v>
      </c>
      <c r="G249">
        <v>1</v>
      </c>
      <c r="H249">
        <v>1</v>
      </c>
      <c r="I249" t="s">
        <v>403</v>
      </c>
      <c r="J249" t="s">
        <v>3</v>
      </c>
      <c r="K249" t="s">
        <v>404</v>
      </c>
      <c r="L249">
        <v>1191</v>
      </c>
      <c r="N249">
        <v>1013</v>
      </c>
      <c r="O249" t="s">
        <v>405</v>
      </c>
      <c r="P249" t="s">
        <v>405</v>
      </c>
      <c r="Q249">
        <v>1</v>
      </c>
      <c r="W249">
        <v>0</v>
      </c>
      <c r="X249">
        <v>1069510174</v>
      </c>
      <c r="Y249">
        <v>5.21</v>
      </c>
      <c r="AA249">
        <v>0</v>
      </c>
      <c r="AB249">
        <v>0</v>
      </c>
      <c r="AC249">
        <v>0</v>
      </c>
      <c r="AD249">
        <v>46.95</v>
      </c>
      <c r="AE249">
        <v>0</v>
      </c>
      <c r="AF249">
        <v>0</v>
      </c>
      <c r="AG249">
        <v>0</v>
      </c>
      <c r="AH249">
        <v>9.6199999999999992</v>
      </c>
      <c r="AI249">
        <v>1</v>
      </c>
      <c r="AJ249">
        <v>1</v>
      </c>
      <c r="AK249">
        <v>1</v>
      </c>
      <c r="AL249">
        <v>4.88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5.21</v>
      </c>
      <c r="AU249" t="s">
        <v>3</v>
      </c>
      <c r="AV249">
        <v>1</v>
      </c>
      <c r="AW249">
        <v>2</v>
      </c>
      <c r="AX249">
        <v>39610802</v>
      </c>
      <c r="AY249">
        <v>1</v>
      </c>
      <c r="AZ249">
        <v>0</v>
      </c>
      <c r="BA249">
        <v>227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Y249*Source!I74</f>
        <v>70.334999999999994</v>
      </c>
      <c r="CY249">
        <f>AD249</f>
        <v>46.95</v>
      </c>
      <c r="CZ249">
        <f>AH249</f>
        <v>9.6199999999999992</v>
      </c>
      <c r="DA249">
        <f>AL249</f>
        <v>4.88</v>
      </c>
      <c r="DB249">
        <v>0</v>
      </c>
    </row>
    <row r="250" spans="1:106" x14ac:dyDescent="0.2">
      <c r="A250">
        <f>ROW(Source!A74)</f>
        <v>74</v>
      </c>
      <c r="B250">
        <v>39610380</v>
      </c>
      <c r="C250">
        <v>39610801</v>
      </c>
      <c r="D250">
        <v>37064876</v>
      </c>
      <c r="E250">
        <v>1</v>
      </c>
      <c r="F250">
        <v>1</v>
      </c>
      <c r="G250">
        <v>1</v>
      </c>
      <c r="H250">
        <v>1</v>
      </c>
      <c r="I250" t="s">
        <v>406</v>
      </c>
      <c r="J250" t="s">
        <v>3</v>
      </c>
      <c r="K250" t="s">
        <v>407</v>
      </c>
      <c r="L250">
        <v>1191</v>
      </c>
      <c r="N250">
        <v>1013</v>
      </c>
      <c r="O250" t="s">
        <v>405</v>
      </c>
      <c r="P250" t="s">
        <v>405</v>
      </c>
      <c r="Q250">
        <v>1</v>
      </c>
      <c r="W250">
        <v>0</v>
      </c>
      <c r="X250">
        <v>-1417349443</v>
      </c>
      <c r="Y250">
        <v>3.46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4.88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3.46</v>
      </c>
      <c r="AU250" t="s">
        <v>3</v>
      </c>
      <c r="AV250">
        <v>2</v>
      </c>
      <c r="AW250">
        <v>2</v>
      </c>
      <c r="AX250">
        <v>39610803</v>
      </c>
      <c r="AY250">
        <v>1</v>
      </c>
      <c r="AZ250">
        <v>0</v>
      </c>
      <c r="BA250">
        <v>228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Y250*Source!I74</f>
        <v>46.71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ROW(Source!A74)</f>
        <v>74</v>
      </c>
      <c r="B251">
        <v>39610380</v>
      </c>
      <c r="C251">
        <v>39610801</v>
      </c>
      <c r="D251">
        <v>36882159</v>
      </c>
      <c r="E251">
        <v>1</v>
      </c>
      <c r="F251">
        <v>1</v>
      </c>
      <c r="G251">
        <v>1</v>
      </c>
      <c r="H251">
        <v>2</v>
      </c>
      <c r="I251" t="s">
        <v>408</v>
      </c>
      <c r="J251" t="s">
        <v>409</v>
      </c>
      <c r="K251" t="s">
        <v>410</v>
      </c>
      <c r="L251">
        <v>1368</v>
      </c>
      <c r="N251">
        <v>1011</v>
      </c>
      <c r="O251" t="s">
        <v>411</v>
      </c>
      <c r="P251" t="s">
        <v>411</v>
      </c>
      <c r="Q251">
        <v>1</v>
      </c>
      <c r="W251">
        <v>0</v>
      </c>
      <c r="X251">
        <v>-1718674368</v>
      </c>
      <c r="Y251">
        <v>1.73</v>
      </c>
      <c r="AA251">
        <v>0</v>
      </c>
      <c r="AB251">
        <v>546.51</v>
      </c>
      <c r="AC251">
        <v>13.5</v>
      </c>
      <c r="AD251">
        <v>0</v>
      </c>
      <c r="AE251">
        <v>0</v>
      </c>
      <c r="AF251">
        <v>111.99</v>
      </c>
      <c r="AG251">
        <v>13.5</v>
      </c>
      <c r="AH251">
        <v>0</v>
      </c>
      <c r="AI251">
        <v>1</v>
      </c>
      <c r="AJ251">
        <v>4.88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1.73</v>
      </c>
      <c r="AU251" t="s">
        <v>3</v>
      </c>
      <c r="AV251">
        <v>0</v>
      </c>
      <c r="AW251">
        <v>2</v>
      </c>
      <c r="AX251">
        <v>39610804</v>
      </c>
      <c r="AY251">
        <v>1</v>
      </c>
      <c r="AZ251">
        <v>0</v>
      </c>
      <c r="BA251">
        <v>229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Y251*Source!I74</f>
        <v>23.355</v>
      </c>
      <c r="CY251">
        <f>AB251</f>
        <v>546.51</v>
      </c>
      <c r="CZ251">
        <f>AF251</f>
        <v>111.99</v>
      </c>
      <c r="DA251">
        <f>AJ251</f>
        <v>4.88</v>
      </c>
      <c r="DB251">
        <v>0</v>
      </c>
    </row>
    <row r="252" spans="1:106" x14ac:dyDescent="0.2">
      <c r="A252">
        <f>ROW(Source!A74)</f>
        <v>74</v>
      </c>
      <c r="B252">
        <v>39610380</v>
      </c>
      <c r="C252">
        <v>39610801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412</v>
      </c>
      <c r="J252" t="s">
        <v>413</v>
      </c>
      <c r="K252" t="s">
        <v>414</v>
      </c>
      <c r="L252">
        <v>1368</v>
      </c>
      <c r="N252">
        <v>1011</v>
      </c>
      <c r="O252" t="s">
        <v>411</v>
      </c>
      <c r="P252" t="s">
        <v>411</v>
      </c>
      <c r="Q252">
        <v>1</v>
      </c>
      <c r="W252">
        <v>0</v>
      </c>
      <c r="X252">
        <v>1372534845</v>
      </c>
      <c r="Y252">
        <v>1.73</v>
      </c>
      <c r="AA252">
        <v>0</v>
      </c>
      <c r="AB252">
        <v>320.66000000000003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4.88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1.73</v>
      </c>
      <c r="AU252" t="s">
        <v>3</v>
      </c>
      <c r="AV252">
        <v>0</v>
      </c>
      <c r="AW252">
        <v>2</v>
      </c>
      <c r="AX252">
        <v>39610805</v>
      </c>
      <c r="AY252">
        <v>1</v>
      </c>
      <c r="AZ252">
        <v>0</v>
      </c>
      <c r="BA252">
        <v>230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Y252*Source!I74</f>
        <v>23.355</v>
      </c>
      <c r="CY252">
        <f>AB252</f>
        <v>320.66000000000003</v>
      </c>
      <c r="CZ252">
        <f>AF252</f>
        <v>65.709999999999994</v>
      </c>
      <c r="DA252">
        <f>AJ252</f>
        <v>4.88</v>
      </c>
      <c r="DB252">
        <v>0</v>
      </c>
    </row>
    <row r="253" spans="1:106" x14ac:dyDescent="0.2">
      <c r="A253">
        <f>ROW(Source!A74)</f>
        <v>74</v>
      </c>
      <c r="B253">
        <v>39610380</v>
      </c>
      <c r="C253">
        <v>39610801</v>
      </c>
      <c r="D253">
        <v>36799065</v>
      </c>
      <c r="E253">
        <v>17</v>
      </c>
      <c r="F253">
        <v>1</v>
      </c>
      <c r="G253">
        <v>1</v>
      </c>
      <c r="H253">
        <v>3</v>
      </c>
      <c r="I253" t="s">
        <v>438</v>
      </c>
      <c r="J253" t="s">
        <v>3</v>
      </c>
      <c r="K253" t="s">
        <v>439</v>
      </c>
      <c r="L253">
        <v>1374</v>
      </c>
      <c r="N253">
        <v>1013</v>
      </c>
      <c r="O253" t="s">
        <v>440</v>
      </c>
      <c r="P253" t="s">
        <v>440</v>
      </c>
      <c r="Q253">
        <v>1</v>
      </c>
      <c r="W253">
        <v>0</v>
      </c>
      <c r="X253">
        <v>-1731369543</v>
      </c>
      <c r="Y253">
        <v>1</v>
      </c>
      <c r="AA253">
        <v>1</v>
      </c>
      <c r="AB253">
        <v>0</v>
      </c>
      <c r="AC253">
        <v>0</v>
      </c>
      <c r="AD253">
        <v>0</v>
      </c>
      <c r="AE253">
        <v>1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1</v>
      </c>
      <c r="AU253" t="s">
        <v>3</v>
      </c>
      <c r="AV253">
        <v>0</v>
      </c>
      <c r="AW253">
        <v>2</v>
      </c>
      <c r="AX253">
        <v>39610806</v>
      </c>
      <c r="AY253">
        <v>1</v>
      </c>
      <c r="AZ253">
        <v>0</v>
      </c>
      <c r="BA253">
        <v>231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Y253*Source!I74</f>
        <v>13.5</v>
      </c>
      <c r="CY253">
        <f>AA253</f>
        <v>1</v>
      </c>
      <c r="CZ253">
        <f>AE253</f>
        <v>1</v>
      </c>
      <c r="DA253">
        <f>AI253</f>
        <v>1</v>
      </c>
      <c r="DB253">
        <v>0</v>
      </c>
    </row>
    <row r="254" spans="1:106" x14ac:dyDescent="0.2">
      <c r="A254">
        <f>ROW(Source!A75)</f>
        <v>75</v>
      </c>
      <c r="B254">
        <v>39610380</v>
      </c>
      <c r="C254">
        <v>39610811</v>
      </c>
      <c r="D254">
        <v>37064876</v>
      </c>
      <c r="E254">
        <v>1</v>
      </c>
      <c r="F254">
        <v>1</v>
      </c>
      <c r="G254">
        <v>1</v>
      </c>
      <c r="H254">
        <v>1</v>
      </c>
      <c r="I254" t="s">
        <v>406</v>
      </c>
      <c r="J254" t="s">
        <v>3</v>
      </c>
      <c r="K254" t="s">
        <v>407</v>
      </c>
      <c r="L254">
        <v>1191</v>
      </c>
      <c r="N254">
        <v>1013</v>
      </c>
      <c r="O254" t="s">
        <v>405</v>
      </c>
      <c r="P254" t="s">
        <v>405</v>
      </c>
      <c r="Q254">
        <v>1</v>
      </c>
      <c r="W254">
        <v>0</v>
      </c>
      <c r="X254">
        <v>-1417349443</v>
      </c>
      <c r="Y254">
        <v>8.8699999999999992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4.88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8.8699999999999992</v>
      </c>
      <c r="AU254" t="s">
        <v>3</v>
      </c>
      <c r="AV254">
        <v>2</v>
      </c>
      <c r="AW254">
        <v>2</v>
      </c>
      <c r="AX254">
        <v>39610812</v>
      </c>
      <c r="AY254">
        <v>1</v>
      </c>
      <c r="AZ254">
        <v>0</v>
      </c>
      <c r="BA254">
        <v>232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Y254*Source!I75</f>
        <v>8.1603999999999992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ROW(Source!A75)</f>
        <v>75</v>
      </c>
      <c r="B255">
        <v>39610380</v>
      </c>
      <c r="C255">
        <v>39610811</v>
      </c>
      <c r="D255">
        <v>36881354</v>
      </c>
      <c r="E255">
        <v>1</v>
      </c>
      <c r="F255">
        <v>1</v>
      </c>
      <c r="G255">
        <v>1</v>
      </c>
      <c r="H255">
        <v>2</v>
      </c>
      <c r="I255" t="s">
        <v>615</v>
      </c>
      <c r="J255" t="s">
        <v>616</v>
      </c>
      <c r="K255" t="s">
        <v>617</v>
      </c>
      <c r="L255">
        <v>1368</v>
      </c>
      <c r="N255">
        <v>1011</v>
      </c>
      <c r="O255" t="s">
        <v>411</v>
      </c>
      <c r="P255" t="s">
        <v>411</v>
      </c>
      <c r="Q255">
        <v>1</v>
      </c>
      <c r="W255">
        <v>0</v>
      </c>
      <c r="X255">
        <v>-1734052855</v>
      </c>
      <c r="Y255">
        <v>8.8699999999999992</v>
      </c>
      <c r="AA255">
        <v>0</v>
      </c>
      <c r="AB255">
        <v>290.20999999999998</v>
      </c>
      <c r="AC255">
        <v>11.6</v>
      </c>
      <c r="AD255">
        <v>0</v>
      </c>
      <c r="AE255">
        <v>0</v>
      </c>
      <c r="AF255">
        <v>59.47</v>
      </c>
      <c r="AG255">
        <v>11.6</v>
      </c>
      <c r="AH255">
        <v>0</v>
      </c>
      <c r="AI255">
        <v>1</v>
      </c>
      <c r="AJ255">
        <v>4.88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8.8699999999999992</v>
      </c>
      <c r="AU255" t="s">
        <v>3</v>
      </c>
      <c r="AV255">
        <v>0</v>
      </c>
      <c r="AW255">
        <v>2</v>
      </c>
      <c r="AX255">
        <v>39610813</v>
      </c>
      <c r="AY255">
        <v>1</v>
      </c>
      <c r="AZ255">
        <v>0</v>
      </c>
      <c r="BA255">
        <v>233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Y255*Source!I75</f>
        <v>8.1603999999999992</v>
      </c>
      <c r="CY255">
        <f>AB255</f>
        <v>290.20999999999998</v>
      </c>
      <c r="CZ255">
        <f>AF255</f>
        <v>59.47</v>
      </c>
      <c r="DA255">
        <f>AJ255</f>
        <v>4.88</v>
      </c>
      <c r="DB255">
        <v>0</v>
      </c>
    </row>
    <row r="256" spans="1:106" x14ac:dyDescent="0.2">
      <c r="A256">
        <f>ROW(Source!A76)</f>
        <v>76</v>
      </c>
      <c r="B256">
        <v>39610380</v>
      </c>
      <c r="C256">
        <v>39611972</v>
      </c>
      <c r="D256">
        <v>37065248</v>
      </c>
      <c r="E256">
        <v>1</v>
      </c>
      <c r="F256">
        <v>1</v>
      </c>
      <c r="G256">
        <v>1</v>
      </c>
      <c r="H256">
        <v>1</v>
      </c>
      <c r="I256" t="s">
        <v>618</v>
      </c>
      <c r="J256" t="s">
        <v>3</v>
      </c>
      <c r="K256" t="s">
        <v>619</v>
      </c>
      <c r="L256">
        <v>1191</v>
      </c>
      <c r="N256">
        <v>1013</v>
      </c>
      <c r="O256" t="s">
        <v>405</v>
      </c>
      <c r="P256" t="s">
        <v>405</v>
      </c>
      <c r="Q256">
        <v>1</v>
      </c>
      <c r="W256">
        <v>0</v>
      </c>
      <c r="X256">
        <v>-400197608</v>
      </c>
      <c r="Y256">
        <v>9.06</v>
      </c>
      <c r="AA256">
        <v>0</v>
      </c>
      <c r="AB256">
        <v>0</v>
      </c>
      <c r="AC256">
        <v>0</v>
      </c>
      <c r="AD256">
        <v>41.63</v>
      </c>
      <c r="AE256">
        <v>0</v>
      </c>
      <c r="AF256">
        <v>0</v>
      </c>
      <c r="AG256">
        <v>0</v>
      </c>
      <c r="AH256">
        <v>8.5299999999999994</v>
      </c>
      <c r="AI256">
        <v>1</v>
      </c>
      <c r="AJ256">
        <v>1</v>
      </c>
      <c r="AK256">
        <v>1</v>
      </c>
      <c r="AL256">
        <v>4.88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9.06</v>
      </c>
      <c r="AU256" t="s">
        <v>3</v>
      </c>
      <c r="AV256">
        <v>1</v>
      </c>
      <c r="AW256">
        <v>2</v>
      </c>
      <c r="AX256">
        <v>39611973</v>
      </c>
      <c r="AY256">
        <v>1</v>
      </c>
      <c r="AZ256">
        <v>0</v>
      </c>
      <c r="BA256">
        <v>234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Y256*Source!I76</f>
        <v>38.957999999999998</v>
      </c>
      <c r="CY256">
        <f t="shared" ref="CY256:CY262" si="39">AD256</f>
        <v>41.63</v>
      </c>
      <c r="CZ256">
        <f t="shared" ref="CZ256:CZ262" si="40">AH256</f>
        <v>8.5299999999999994</v>
      </c>
      <c r="DA256">
        <f t="shared" ref="DA256:DA262" si="41">AL256</f>
        <v>4.88</v>
      </c>
      <c r="DB256">
        <v>0</v>
      </c>
    </row>
    <row r="257" spans="1:106" x14ac:dyDescent="0.2">
      <c r="A257">
        <f>ROW(Source!A77)</f>
        <v>77</v>
      </c>
      <c r="B257">
        <v>39610380</v>
      </c>
      <c r="C257">
        <v>39614232</v>
      </c>
      <c r="D257">
        <v>37519679</v>
      </c>
      <c r="E257">
        <v>1</v>
      </c>
      <c r="F257">
        <v>1</v>
      </c>
      <c r="G257">
        <v>1</v>
      </c>
      <c r="H257">
        <v>1</v>
      </c>
      <c r="I257" t="s">
        <v>620</v>
      </c>
      <c r="J257" t="s">
        <v>3</v>
      </c>
      <c r="K257" t="s">
        <v>621</v>
      </c>
      <c r="L257">
        <v>1191</v>
      </c>
      <c r="N257">
        <v>1013</v>
      </c>
      <c r="O257" t="s">
        <v>405</v>
      </c>
      <c r="P257" t="s">
        <v>405</v>
      </c>
      <c r="Q257">
        <v>1</v>
      </c>
      <c r="W257">
        <v>0</v>
      </c>
      <c r="X257">
        <v>-1166887252</v>
      </c>
      <c r="Y257">
        <v>0.128</v>
      </c>
      <c r="AA257">
        <v>0</v>
      </c>
      <c r="AB257">
        <v>0</v>
      </c>
      <c r="AC257">
        <v>0</v>
      </c>
      <c r="AD257">
        <v>63.05</v>
      </c>
      <c r="AE257">
        <v>0</v>
      </c>
      <c r="AF257">
        <v>0</v>
      </c>
      <c r="AG257">
        <v>0</v>
      </c>
      <c r="AH257">
        <v>12.92</v>
      </c>
      <c r="AI257">
        <v>1</v>
      </c>
      <c r="AJ257">
        <v>1</v>
      </c>
      <c r="AK257">
        <v>1</v>
      </c>
      <c r="AL257">
        <v>4.88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0.16</v>
      </c>
      <c r="AU257" t="s">
        <v>268</v>
      </c>
      <c r="AV257">
        <v>1</v>
      </c>
      <c r="AW257">
        <v>2</v>
      </c>
      <c r="AX257">
        <v>39614233</v>
      </c>
      <c r="AY257">
        <v>1</v>
      </c>
      <c r="AZ257">
        <v>0</v>
      </c>
      <c r="BA257">
        <v>235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Y257*Source!I77</f>
        <v>11.52</v>
      </c>
      <c r="CY257">
        <f t="shared" si="39"/>
        <v>63.05</v>
      </c>
      <c r="CZ257">
        <f t="shared" si="40"/>
        <v>12.92</v>
      </c>
      <c r="DA257">
        <f t="shared" si="41"/>
        <v>4.88</v>
      </c>
      <c r="DB257">
        <v>0</v>
      </c>
    </row>
    <row r="258" spans="1:106" x14ac:dyDescent="0.2">
      <c r="A258">
        <f>ROW(Source!A77)</f>
        <v>77</v>
      </c>
      <c r="B258">
        <v>39610380</v>
      </c>
      <c r="C258">
        <v>39614232</v>
      </c>
      <c r="D258">
        <v>37518716</v>
      </c>
      <c r="E258">
        <v>1</v>
      </c>
      <c r="F258">
        <v>1</v>
      </c>
      <c r="G258">
        <v>1</v>
      </c>
      <c r="H258">
        <v>1</v>
      </c>
      <c r="I258" t="s">
        <v>622</v>
      </c>
      <c r="J258" t="s">
        <v>3</v>
      </c>
      <c r="K258" t="s">
        <v>623</v>
      </c>
      <c r="L258">
        <v>1191</v>
      </c>
      <c r="N258">
        <v>1013</v>
      </c>
      <c r="O258" t="s">
        <v>405</v>
      </c>
      <c r="P258" t="s">
        <v>405</v>
      </c>
      <c r="Q258">
        <v>1</v>
      </c>
      <c r="W258">
        <v>0</v>
      </c>
      <c r="X258">
        <v>1776637054</v>
      </c>
      <c r="Y258">
        <v>0.128</v>
      </c>
      <c r="AA258">
        <v>0</v>
      </c>
      <c r="AB258">
        <v>0</v>
      </c>
      <c r="AC258">
        <v>0</v>
      </c>
      <c r="AD258">
        <v>61.93</v>
      </c>
      <c r="AE258">
        <v>0</v>
      </c>
      <c r="AF258">
        <v>0</v>
      </c>
      <c r="AG258">
        <v>0</v>
      </c>
      <c r="AH258">
        <v>12.69</v>
      </c>
      <c r="AI258">
        <v>1</v>
      </c>
      <c r="AJ258">
        <v>1</v>
      </c>
      <c r="AK258">
        <v>1</v>
      </c>
      <c r="AL258">
        <v>4.88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3</v>
      </c>
      <c r="AT258">
        <v>0.16</v>
      </c>
      <c r="AU258" t="s">
        <v>268</v>
      </c>
      <c r="AV258">
        <v>1</v>
      </c>
      <c r="AW258">
        <v>2</v>
      </c>
      <c r="AX258">
        <v>39614234</v>
      </c>
      <c r="AY258">
        <v>1</v>
      </c>
      <c r="AZ258">
        <v>0</v>
      </c>
      <c r="BA258">
        <v>236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Y258*Source!I77</f>
        <v>11.52</v>
      </c>
      <c r="CY258">
        <f t="shared" si="39"/>
        <v>61.93</v>
      </c>
      <c r="CZ258">
        <f t="shared" si="40"/>
        <v>12.69</v>
      </c>
      <c r="DA258">
        <f t="shared" si="41"/>
        <v>4.88</v>
      </c>
      <c r="DB258">
        <v>0</v>
      </c>
    </row>
    <row r="259" spans="1:106" x14ac:dyDescent="0.2">
      <c r="A259">
        <f>ROW(Source!A78)</f>
        <v>78</v>
      </c>
      <c r="B259">
        <v>39610380</v>
      </c>
      <c r="C259">
        <v>39614235</v>
      </c>
      <c r="D259">
        <v>37518712</v>
      </c>
      <c r="E259">
        <v>1</v>
      </c>
      <c r="F259">
        <v>1</v>
      </c>
      <c r="G259">
        <v>1</v>
      </c>
      <c r="H259">
        <v>1</v>
      </c>
      <c r="I259" t="s">
        <v>624</v>
      </c>
      <c r="J259" t="s">
        <v>3</v>
      </c>
      <c r="K259" t="s">
        <v>625</v>
      </c>
      <c r="L259">
        <v>1191</v>
      </c>
      <c r="N259">
        <v>1013</v>
      </c>
      <c r="O259" t="s">
        <v>405</v>
      </c>
      <c r="P259" t="s">
        <v>405</v>
      </c>
      <c r="Q259">
        <v>1</v>
      </c>
      <c r="W259">
        <v>0</v>
      </c>
      <c r="X259">
        <v>-1309109184</v>
      </c>
      <c r="Y259">
        <v>0.52</v>
      </c>
      <c r="AA259">
        <v>0</v>
      </c>
      <c r="AB259">
        <v>0</v>
      </c>
      <c r="AC259">
        <v>0</v>
      </c>
      <c r="AD259">
        <v>44.75</v>
      </c>
      <c r="AE259">
        <v>0</v>
      </c>
      <c r="AF259">
        <v>0</v>
      </c>
      <c r="AG259">
        <v>0</v>
      </c>
      <c r="AH259">
        <v>9.17</v>
      </c>
      <c r="AI259">
        <v>1</v>
      </c>
      <c r="AJ259">
        <v>1</v>
      </c>
      <c r="AK259">
        <v>1</v>
      </c>
      <c r="AL259">
        <v>4.88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0.65</v>
      </c>
      <c r="AU259" t="s">
        <v>268</v>
      </c>
      <c r="AV259">
        <v>1</v>
      </c>
      <c r="AW259">
        <v>2</v>
      </c>
      <c r="AX259">
        <v>39614236</v>
      </c>
      <c r="AY259">
        <v>1</v>
      </c>
      <c r="AZ259">
        <v>0</v>
      </c>
      <c r="BA259">
        <v>237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Y259*Source!I78</f>
        <v>44.2</v>
      </c>
      <c r="CY259">
        <f t="shared" si="39"/>
        <v>44.75</v>
      </c>
      <c r="CZ259">
        <f t="shared" si="40"/>
        <v>9.17</v>
      </c>
      <c r="DA259">
        <f t="shared" si="41"/>
        <v>4.88</v>
      </c>
      <c r="DB259">
        <v>0</v>
      </c>
    </row>
    <row r="260" spans="1:106" x14ac:dyDescent="0.2">
      <c r="A260">
        <f>ROW(Source!A78)</f>
        <v>78</v>
      </c>
      <c r="B260">
        <v>39610380</v>
      </c>
      <c r="C260">
        <v>39614235</v>
      </c>
      <c r="D260">
        <v>37518766</v>
      </c>
      <c r="E260">
        <v>1</v>
      </c>
      <c r="F260">
        <v>1</v>
      </c>
      <c r="G260">
        <v>1</v>
      </c>
      <c r="H260">
        <v>1</v>
      </c>
      <c r="I260" t="s">
        <v>626</v>
      </c>
      <c r="J260" t="s">
        <v>3</v>
      </c>
      <c r="K260" t="s">
        <v>627</v>
      </c>
      <c r="L260">
        <v>1191</v>
      </c>
      <c r="N260">
        <v>1013</v>
      </c>
      <c r="O260" t="s">
        <v>405</v>
      </c>
      <c r="P260" t="s">
        <v>405</v>
      </c>
      <c r="Q260">
        <v>1</v>
      </c>
      <c r="W260">
        <v>0</v>
      </c>
      <c r="X260">
        <v>1818203118</v>
      </c>
      <c r="Y260">
        <v>0.77600000000000002</v>
      </c>
      <c r="AA260">
        <v>0</v>
      </c>
      <c r="AB260">
        <v>0</v>
      </c>
      <c r="AC260">
        <v>0</v>
      </c>
      <c r="AD260">
        <v>68.760000000000005</v>
      </c>
      <c r="AE260">
        <v>0</v>
      </c>
      <c r="AF260">
        <v>0</v>
      </c>
      <c r="AG260">
        <v>0</v>
      </c>
      <c r="AH260">
        <v>14.09</v>
      </c>
      <c r="AI260">
        <v>1</v>
      </c>
      <c r="AJ260">
        <v>1</v>
      </c>
      <c r="AK260">
        <v>1</v>
      </c>
      <c r="AL260">
        <v>4.88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0.97</v>
      </c>
      <c r="AU260" t="s">
        <v>268</v>
      </c>
      <c r="AV260">
        <v>1</v>
      </c>
      <c r="AW260">
        <v>2</v>
      </c>
      <c r="AX260">
        <v>39614237</v>
      </c>
      <c r="AY260">
        <v>1</v>
      </c>
      <c r="AZ260">
        <v>0</v>
      </c>
      <c r="BA260">
        <v>238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Y260*Source!I78</f>
        <v>65.960000000000008</v>
      </c>
      <c r="CY260">
        <f t="shared" si="39"/>
        <v>68.760000000000005</v>
      </c>
      <c r="CZ260">
        <f t="shared" si="40"/>
        <v>14.09</v>
      </c>
      <c r="DA260">
        <f t="shared" si="41"/>
        <v>4.88</v>
      </c>
      <c r="DB260">
        <v>0</v>
      </c>
    </row>
    <row r="261" spans="1:106" x14ac:dyDescent="0.2">
      <c r="A261">
        <f>ROW(Source!A79)</f>
        <v>79</v>
      </c>
      <c r="B261">
        <v>39610380</v>
      </c>
      <c r="C261">
        <v>39614238</v>
      </c>
      <c r="D261">
        <v>37519679</v>
      </c>
      <c r="E261">
        <v>1</v>
      </c>
      <c r="F261">
        <v>1</v>
      </c>
      <c r="G261">
        <v>1</v>
      </c>
      <c r="H261">
        <v>1</v>
      </c>
      <c r="I261" t="s">
        <v>620</v>
      </c>
      <c r="J261" t="s">
        <v>3</v>
      </c>
      <c r="K261" t="s">
        <v>621</v>
      </c>
      <c r="L261">
        <v>1191</v>
      </c>
      <c r="N261">
        <v>1013</v>
      </c>
      <c r="O261" t="s">
        <v>405</v>
      </c>
      <c r="P261" t="s">
        <v>405</v>
      </c>
      <c r="Q261">
        <v>1</v>
      </c>
      <c r="W261">
        <v>0</v>
      </c>
      <c r="X261">
        <v>-1166887252</v>
      </c>
      <c r="Y261">
        <v>0.48799999999999999</v>
      </c>
      <c r="AA261">
        <v>0</v>
      </c>
      <c r="AB261">
        <v>0</v>
      </c>
      <c r="AC261">
        <v>0</v>
      </c>
      <c r="AD261">
        <v>63.05</v>
      </c>
      <c r="AE261">
        <v>0</v>
      </c>
      <c r="AF261">
        <v>0</v>
      </c>
      <c r="AG261">
        <v>0</v>
      </c>
      <c r="AH261">
        <v>12.92</v>
      </c>
      <c r="AI261">
        <v>1</v>
      </c>
      <c r="AJ261">
        <v>1</v>
      </c>
      <c r="AK261">
        <v>1</v>
      </c>
      <c r="AL261">
        <v>4.88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0.61</v>
      </c>
      <c r="AU261" t="s">
        <v>268</v>
      </c>
      <c r="AV261">
        <v>1</v>
      </c>
      <c r="AW261">
        <v>2</v>
      </c>
      <c r="AX261">
        <v>39614239</v>
      </c>
      <c r="AY261">
        <v>1</v>
      </c>
      <c r="AZ261">
        <v>0</v>
      </c>
      <c r="BA261">
        <v>239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Y261*Source!I79</f>
        <v>29.28</v>
      </c>
      <c r="CY261">
        <f t="shared" si="39"/>
        <v>63.05</v>
      </c>
      <c r="CZ261">
        <f t="shared" si="40"/>
        <v>12.92</v>
      </c>
      <c r="DA261">
        <f t="shared" si="41"/>
        <v>4.88</v>
      </c>
      <c r="DB261">
        <v>0</v>
      </c>
    </row>
    <row r="262" spans="1:106" x14ac:dyDescent="0.2">
      <c r="A262">
        <f>ROW(Source!A79)</f>
        <v>79</v>
      </c>
      <c r="B262">
        <v>39610380</v>
      </c>
      <c r="C262">
        <v>39614238</v>
      </c>
      <c r="D262">
        <v>37518716</v>
      </c>
      <c r="E262">
        <v>1</v>
      </c>
      <c r="F262">
        <v>1</v>
      </c>
      <c r="G262">
        <v>1</v>
      </c>
      <c r="H262">
        <v>1</v>
      </c>
      <c r="I262" t="s">
        <v>622</v>
      </c>
      <c r="J262" t="s">
        <v>3</v>
      </c>
      <c r="K262" t="s">
        <v>623</v>
      </c>
      <c r="L262">
        <v>1191</v>
      </c>
      <c r="N262">
        <v>1013</v>
      </c>
      <c r="O262" t="s">
        <v>405</v>
      </c>
      <c r="P262" t="s">
        <v>405</v>
      </c>
      <c r="Q262">
        <v>1</v>
      </c>
      <c r="W262">
        <v>0</v>
      </c>
      <c r="X262">
        <v>1776637054</v>
      </c>
      <c r="Y262">
        <v>0.48799999999999999</v>
      </c>
      <c r="AA262">
        <v>0</v>
      </c>
      <c r="AB262">
        <v>0</v>
      </c>
      <c r="AC262">
        <v>0</v>
      </c>
      <c r="AD262">
        <v>61.93</v>
      </c>
      <c r="AE262">
        <v>0</v>
      </c>
      <c r="AF262">
        <v>0</v>
      </c>
      <c r="AG262">
        <v>0</v>
      </c>
      <c r="AH262">
        <v>12.69</v>
      </c>
      <c r="AI262">
        <v>1</v>
      </c>
      <c r="AJ262">
        <v>1</v>
      </c>
      <c r="AK262">
        <v>1</v>
      </c>
      <c r="AL262">
        <v>4.88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0.61</v>
      </c>
      <c r="AU262" t="s">
        <v>268</v>
      </c>
      <c r="AV262">
        <v>1</v>
      </c>
      <c r="AW262">
        <v>2</v>
      </c>
      <c r="AX262">
        <v>39614240</v>
      </c>
      <c r="AY262">
        <v>1</v>
      </c>
      <c r="AZ262">
        <v>0</v>
      </c>
      <c r="BA262">
        <v>240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Y262*Source!I79</f>
        <v>29.28</v>
      </c>
      <c r="CY262">
        <f t="shared" si="39"/>
        <v>61.93</v>
      </c>
      <c r="CZ262">
        <f t="shared" si="40"/>
        <v>12.69</v>
      </c>
      <c r="DA262">
        <f t="shared" si="41"/>
        <v>4.88</v>
      </c>
      <c r="DB26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4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39610398</v>
      </c>
      <c r="C1">
        <v>39610397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403</v>
      </c>
      <c r="J1" t="s">
        <v>3</v>
      </c>
      <c r="K1" t="s">
        <v>404</v>
      </c>
      <c r="L1">
        <v>1191</v>
      </c>
      <c r="N1">
        <v>1013</v>
      </c>
      <c r="O1" t="s">
        <v>405</v>
      </c>
      <c r="P1" t="s">
        <v>405</v>
      </c>
      <c r="Q1">
        <v>1</v>
      </c>
      <c r="X1">
        <v>31.4</v>
      </c>
      <c r="Y1">
        <v>0</v>
      </c>
      <c r="Z1">
        <v>0</v>
      </c>
      <c r="AA1">
        <v>0</v>
      </c>
      <c r="AB1">
        <v>9.6199999999999992</v>
      </c>
      <c r="AC1">
        <v>0</v>
      </c>
      <c r="AD1">
        <v>1</v>
      </c>
      <c r="AE1">
        <v>1</v>
      </c>
      <c r="AF1" t="s">
        <v>19</v>
      </c>
      <c r="AG1">
        <v>9.42</v>
      </c>
      <c r="AH1">
        <v>2</v>
      </c>
      <c r="AI1">
        <v>39610398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39610399</v>
      </c>
      <c r="C2">
        <v>39610397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406</v>
      </c>
      <c r="J2" t="s">
        <v>3</v>
      </c>
      <c r="K2" t="s">
        <v>407</v>
      </c>
      <c r="L2">
        <v>1191</v>
      </c>
      <c r="N2">
        <v>1013</v>
      </c>
      <c r="O2" t="s">
        <v>405</v>
      </c>
      <c r="P2" t="s">
        <v>405</v>
      </c>
      <c r="Q2">
        <v>1</v>
      </c>
      <c r="X2">
        <v>3.45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19</v>
      </c>
      <c r="AG2">
        <v>1.0349999999999999</v>
      </c>
      <c r="AH2">
        <v>2</v>
      </c>
      <c r="AI2">
        <v>39610399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39610400</v>
      </c>
      <c r="C3">
        <v>39610397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408</v>
      </c>
      <c r="J3" t="s">
        <v>409</v>
      </c>
      <c r="K3" t="s">
        <v>410</v>
      </c>
      <c r="L3">
        <v>1368</v>
      </c>
      <c r="N3">
        <v>1011</v>
      </c>
      <c r="O3" t="s">
        <v>411</v>
      </c>
      <c r="P3" t="s">
        <v>411</v>
      </c>
      <c r="Q3">
        <v>1</v>
      </c>
      <c r="X3">
        <v>3.2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19</v>
      </c>
      <c r="AG3">
        <v>0.96</v>
      </c>
      <c r="AH3">
        <v>2</v>
      </c>
      <c r="AI3">
        <v>39610400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39610401</v>
      </c>
      <c r="C4">
        <v>39610397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412</v>
      </c>
      <c r="J4" t="s">
        <v>413</v>
      </c>
      <c r="K4" t="s">
        <v>414</v>
      </c>
      <c r="L4">
        <v>1368</v>
      </c>
      <c r="N4">
        <v>1011</v>
      </c>
      <c r="O4" t="s">
        <v>411</v>
      </c>
      <c r="P4" t="s">
        <v>411</v>
      </c>
      <c r="Q4">
        <v>1</v>
      </c>
      <c r="X4">
        <v>0.25</v>
      </c>
      <c r="Y4">
        <v>0</v>
      </c>
      <c r="Z4">
        <v>65.709999999999994</v>
      </c>
      <c r="AA4">
        <v>11.6</v>
      </c>
      <c r="AB4">
        <v>0</v>
      </c>
      <c r="AC4">
        <v>0</v>
      </c>
      <c r="AD4">
        <v>1</v>
      </c>
      <c r="AE4">
        <v>0</v>
      </c>
      <c r="AF4" t="s">
        <v>19</v>
      </c>
      <c r="AG4">
        <v>7.4999999999999997E-2</v>
      </c>
      <c r="AH4">
        <v>2</v>
      </c>
      <c r="AI4">
        <v>39610401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39610402</v>
      </c>
      <c r="C5">
        <v>39610397</v>
      </c>
      <c r="D5">
        <v>36883858</v>
      </c>
      <c r="E5">
        <v>1</v>
      </c>
      <c r="F5">
        <v>1</v>
      </c>
      <c r="G5">
        <v>1</v>
      </c>
      <c r="H5">
        <v>2</v>
      </c>
      <c r="I5" t="s">
        <v>415</v>
      </c>
      <c r="J5" t="s">
        <v>416</v>
      </c>
      <c r="K5" t="s">
        <v>417</v>
      </c>
      <c r="L5">
        <v>1368</v>
      </c>
      <c r="N5">
        <v>1011</v>
      </c>
      <c r="O5" t="s">
        <v>411</v>
      </c>
      <c r="P5" t="s">
        <v>411</v>
      </c>
      <c r="Q5">
        <v>1</v>
      </c>
      <c r="X5">
        <v>2.74</v>
      </c>
      <c r="Y5">
        <v>0</v>
      </c>
      <c r="Z5">
        <v>8.1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19</v>
      </c>
      <c r="AG5">
        <v>0.82200000000000006</v>
      </c>
      <c r="AH5">
        <v>2</v>
      </c>
      <c r="AI5">
        <v>39610402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ROW(Source!A24)</f>
        <v>24</v>
      </c>
      <c r="B6">
        <v>39610403</v>
      </c>
      <c r="C6">
        <v>39610397</v>
      </c>
      <c r="D6">
        <v>36800101</v>
      </c>
      <c r="E6">
        <v>1</v>
      </c>
      <c r="F6">
        <v>1</v>
      </c>
      <c r="G6">
        <v>1</v>
      </c>
      <c r="H6">
        <v>3</v>
      </c>
      <c r="I6" t="s">
        <v>418</v>
      </c>
      <c r="J6" t="s">
        <v>419</v>
      </c>
      <c r="K6" t="s">
        <v>420</v>
      </c>
      <c r="L6">
        <v>1348</v>
      </c>
      <c r="N6">
        <v>1009</v>
      </c>
      <c r="O6" t="s">
        <v>237</v>
      </c>
      <c r="P6" t="s">
        <v>237</v>
      </c>
      <c r="Q6">
        <v>1000</v>
      </c>
      <c r="X6">
        <v>1E-3</v>
      </c>
      <c r="Y6">
        <v>17500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18</v>
      </c>
      <c r="AG6">
        <v>0</v>
      </c>
      <c r="AH6">
        <v>2</v>
      </c>
      <c r="AI6">
        <v>39610403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ROW(Source!A24)</f>
        <v>24</v>
      </c>
      <c r="B7">
        <v>39610404</v>
      </c>
      <c r="C7">
        <v>39610397</v>
      </c>
      <c r="D7">
        <v>36803258</v>
      </c>
      <c r="E7">
        <v>1</v>
      </c>
      <c r="F7">
        <v>1</v>
      </c>
      <c r="G7">
        <v>1</v>
      </c>
      <c r="H7">
        <v>3</v>
      </c>
      <c r="I7" t="s">
        <v>421</v>
      </c>
      <c r="J7" t="s">
        <v>422</v>
      </c>
      <c r="K7" t="s">
        <v>423</v>
      </c>
      <c r="L7">
        <v>1346</v>
      </c>
      <c r="N7">
        <v>1009</v>
      </c>
      <c r="O7" t="s">
        <v>424</v>
      </c>
      <c r="P7" t="s">
        <v>424</v>
      </c>
      <c r="Q7">
        <v>1</v>
      </c>
      <c r="X7">
        <v>3.5</v>
      </c>
      <c r="Y7">
        <v>10.57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18</v>
      </c>
      <c r="AG7">
        <v>0</v>
      </c>
      <c r="AH7">
        <v>2</v>
      </c>
      <c r="AI7">
        <v>39610404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ROW(Source!A24)</f>
        <v>24</v>
      </c>
      <c r="B8">
        <v>39610405</v>
      </c>
      <c r="C8">
        <v>39610397</v>
      </c>
      <c r="D8">
        <v>36804448</v>
      </c>
      <c r="E8">
        <v>1</v>
      </c>
      <c r="F8">
        <v>1</v>
      </c>
      <c r="G8">
        <v>1</v>
      </c>
      <c r="H8">
        <v>3</v>
      </c>
      <c r="I8" t="s">
        <v>425</v>
      </c>
      <c r="J8" t="s">
        <v>426</v>
      </c>
      <c r="K8" t="s">
        <v>427</v>
      </c>
      <c r="L8">
        <v>1346</v>
      </c>
      <c r="N8">
        <v>1009</v>
      </c>
      <c r="O8" t="s">
        <v>424</v>
      </c>
      <c r="P8" t="s">
        <v>424</v>
      </c>
      <c r="Q8">
        <v>1</v>
      </c>
      <c r="X8">
        <v>3.03</v>
      </c>
      <c r="Y8">
        <v>9.0399999999999991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18</v>
      </c>
      <c r="AG8">
        <v>0</v>
      </c>
      <c r="AH8">
        <v>2</v>
      </c>
      <c r="AI8">
        <v>39610405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ROW(Source!A24)</f>
        <v>24</v>
      </c>
      <c r="B9">
        <v>39610406</v>
      </c>
      <c r="C9">
        <v>39610397</v>
      </c>
      <c r="D9">
        <v>36805521</v>
      </c>
      <c r="E9">
        <v>1</v>
      </c>
      <c r="F9">
        <v>1</v>
      </c>
      <c r="G9">
        <v>1</v>
      </c>
      <c r="H9">
        <v>3</v>
      </c>
      <c r="I9" t="s">
        <v>428</v>
      </c>
      <c r="J9" t="s">
        <v>429</v>
      </c>
      <c r="K9" t="s">
        <v>430</v>
      </c>
      <c r="L9">
        <v>1330</v>
      </c>
      <c r="N9">
        <v>1005</v>
      </c>
      <c r="O9" t="s">
        <v>431</v>
      </c>
      <c r="P9" t="s">
        <v>431</v>
      </c>
      <c r="Q9">
        <v>10</v>
      </c>
      <c r="X9">
        <v>0.1</v>
      </c>
      <c r="Y9">
        <v>79.099999999999994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18</v>
      </c>
      <c r="AG9">
        <v>0</v>
      </c>
      <c r="AH9">
        <v>2</v>
      </c>
      <c r="AI9">
        <v>39610406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ROW(Source!A24)</f>
        <v>24</v>
      </c>
      <c r="B10">
        <v>39610407</v>
      </c>
      <c r="C10">
        <v>39610397</v>
      </c>
      <c r="D10">
        <v>36825981</v>
      </c>
      <c r="E10">
        <v>1</v>
      </c>
      <c r="F10">
        <v>1</v>
      </c>
      <c r="G10">
        <v>1</v>
      </c>
      <c r="H10">
        <v>3</v>
      </c>
      <c r="I10" t="s">
        <v>432</v>
      </c>
      <c r="J10" t="s">
        <v>433</v>
      </c>
      <c r="K10" t="s">
        <v>434</v>
      </c>
      <c r="L10">
        <v>1348</v>
      </c>
      <c r="N10">
        <v>1009</v>
      </c>
      <c r="O10" t="s">
        <v>237</v>
      </c>
      <c r="P10" t="s">
        <v>237</v>
      </c>
      <c r="Q10">
        <v>1000</v>
      </c>
      <c r="X10">
        <v>0.01</v>
      </c>
      <c r="Y10">
        <v>5000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18</v>
      </c>
      <c r="AG10">
        <v>0</v>
      </c>
      <c r="AH10">
        <v>2</v>
      </c>
      <c r="AI10">
        <v>39610407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ROW(Source!A24)</f>
        <v>24</v>
      </c>
      <c r="B11">
        <v>39610408</v>
      </c>
      <c r="C11">
        <v>39610397</v>
      </c>
      <c r="D11">
        <v>36838317</v>
      </c>
      <c r="E11">
        <v>1</v>
      </c>
      <c r="F11">
        <v>1</v>
      </c>
      <c r="G11">
        <v>1</v>
      </c>
      <c r="H11">
        <v>3</v>
      </c>
      <c r="I11" t="s">
        <v>435</v>
      </c>
      <c r="J11" t="s">
        <v>436</v>
      </c>
      <c r="K11" t="s">
        <v>437</v>
      </c>
      <c r="L11">
        <v>1346</v>
      </c>
      <c r="N11">
        <v>1009</v>
      </c>
      <c r="O11" t="s">
        <v>424</v>
      </c>
      <c r="P11" t="s">
        <v>424</v>
      </c>
      <c r="Q11">
        <v>1</v>
      </c>
      <c r="X11">
        <v>1.7</v>
      </c>
      <c r="Y11">
        <v>28.6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18</v>
      </c>
      <c r="AG11">
        <v>0</v>
      </c>
      <c r="AH11">
        <v>2</v>
      </c>
      <c r="AI11">
        <v>39610408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ROW(Source!A24)</f>
        <v>24</v>
      </c>
      <c r="B12">
        <v>39610409</v>
      </c>
      <c r="C12">
        <v>39610397</v>
      </c>
      <c r="D12">
        <v>36799065</v>
      </c>
      <c r="E12">
        <v>17</v>
      </c>
      <c r="F12">
        <v>1</v>
      </c>
      <c r="G12">
        <v>1</v>
      </c>
      <c r="H12">
        <v>3</v>
      </c>
      <c r="I12" t="s">
        <v>438</v>
      </c>
      <c r="J12" t="s">
        <v>3</v>
      </c>
      <c r="K12" t="s">
        <v>439</v>
      </c>
      <c r="L12">
        <v>1374</v>
      </c>
      <c r="N12">
        <v>1013</v>
      </c>
      <c r="O12" t="s">
        <v>440</v>
      </c>
      <c r="P12" t="s">
        <v>440</v>
      </c>
      <c r="Q12">
        <v>1</v>
      </c>
      <c r="X12">
        <v>6.04</v>
      </c>
      <c r="Y12">
        <v>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18</v>
      </c>
      <c r="AG12">
        <v>0</v>
      </c>
      <c r="AH12">
        <v>2</v>
      </c>
      <c r="AI12">
        <v>39610409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ROW(Source!A25)</f>
        <v>25</v>
      </c>
      <c r="B13">
        <v>39614177</v>
      </c>
      <c r="C13">
        <v>39614176</v>
      </c>
      <c r="D13">
        <v>37077359</v>
      </c>
      <c r="E13">
        <v>1</v>
      </c>
      <c r="F13">
        <v>1</v>
      </c>
      <c r="G13">
        <v>1</v>
      </c>
      <c r="H13">
        <v>1</v>
      </c>
      <c r="I13" t="s">
        <v>441</v>
      </c>
      <c r="J13" t="s">
        <v>3</v>
      </c>
      <c r="K13" t="s">
        <v>442</v>
      </c>
      <c r="L13">
        <v>1191</v>
      </c>
      <c r="N13">
        <v>1013</v>
      </c>
      <c r="O13" t="s">
        <v>405</v>
      </c>
      <c r="P13" t="s">
        <v>405</v>
      </c>
      <c r="Q13">
        <v>1</v>
      </c>
      <c r="X13">
        <v>4.2699999999999996</v>
      </c>
      <c r="Y13">
        <v>0</v>
      </c>
      <c r="Z13">
        <v>0</v>
      </c>
      <c r="AA13">
        <v>0</v>
      </c>
      <c r="AB13">
        <v>10.5</v>
      </c>
      <c r="AC13">
        <v>0</v>
      </c>
      <c r="AD13">
        <v>1</v>
      </c>
      <c r="AE13">
        <v>1</v>
      </c>
      <c r="AF13" t="s">
        <v>19</v>
      </c>
      <c r="AG13">
        <v>1.2809999999999999</v>
      </c>
      <c r="AH13">
        <v>2</v>
      </c>
      <c r="AI13">
        <v>39614177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39614178</v>
      </c>
      <c r="C14">
        <v>39614176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406</v>
      </c>
      <c r="J14" t="s">
        <v>3</v>
      </c>
      <c r="K14" t="s">
        <v>407</v>
      </c>
      <c r="L14">
        <v>1191</v>
      </c>
      <c r="N14">
        <v>1013</v>
      </c>
      <c r="O14" t="s">
        <v>405</v>
      </c>
      <c r="P14" t="s">
        <v>405</v>
      </c>
      <c r="Q14">
        <v>1</v>
      </c>
      <c r="X14">
        <v>3.73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19</v>
      </c>
      <c r="AG14">
        <v>1.119</v>
      </c>
      <c r="AH14">
        <v>2</v>
      </c>
      <c r="AI14">
        <v>39614178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ROW(Source!A25)</f>
        <v>25</v>
      </c>
      <c r="B15">
        <v>39614179</v>
      </c>
      <c r="C15">
        <v>39614176</v>
      </c>
      <c r="D15">
        <v>36882159</v>
      </c>
      <c r="E15">
        <v>1</v>
      </c>
      <c r="F15">
        <v>1</v>
      </c>
      <c r="G15">
        <v>1</v>
      </c>
      <c r="H15">
        <v>2</v>
      </c>
      <c r="I15" t="s">
        <v>408</v>
      </c>
      <c r="J15" t="s">
        <v>409</v>
      </c>
      <c r="K15" t="s">
        <v>410</v>
      </c>
      <c r="L15">
        <v>1368</v>
      </c>
      <c r="N15">
        <v>1011</v>
      </c>
      <c r="O15" t="s">
        <v>411</v>
      </c>
      <c r="P15" t="s">
        <v>411</v>
      </c>
      <c r="Q15">
        <v>1</v>
      </c>
      <c r="X15">
        <v>0.01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19</v>
      </c>
      <c r="AG15">
        <v>3.0000000000000001E-3</v>
      </c>
      <c r="AH15">
        <v>2</v>
      </c>
      <c r="AI15">
        <v>39614179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ROW(Source!A25)</f>
        <v>25</v>
      </c>
      <c r="B16">
        <v>39614180</v>
      </c>
      <c r="C16">
        <v>39614176</v>
      </c>
      <c r="D16">
        <v>36882492</v>
      </c>
      <c r="E16">
        <v>1</v>
      </c>
      <c r="F16">
        <v>1</v>
      </c>
      <c r="G16">
        <v>1</v>
      </c>
      <c r="H16">
        <v>2</v>
      </c>
      <c r="I16" t="s">
        <v>443</v>
      </c>
      <c r="J16" t="s">
        <v>444</v>
      </c>
      <c r="K16" t="s">
        <v>445</v>
      </c>
      <c r="L16">
        <v>1368</v>
      </c>
      <c r="N16">
        <v>1011</v>
      </c>
      <c r="O16" t="s">
        <v>411</v>
      </c>
      <c r="P16" t="s">
        <v>411</v>
      </c>
      <c r="Q16">
        <v>1</v>
      </c>
      <c r="X16">
        <v>3.71</v>
      </c>
      <c r="Y16">
        <v>0</v>
      </c>
      <c r="Z16">
        <v>142.69999999999999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19</v>
      </c>
      <c r="AG16">
        <v>1.113</v>
      </c>
      <c r="AH16">
        <v>2</v>
      </c>
      <c r="AI16">
        <v>39614180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ROW(Source!A25)</f>
        <v>25</v>
      </c>
      <c r="B17">
        <v>39614181</v>
      </c>
      <c r="C17">
        <v>39614176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412</v>
      </c>
      <c r="J17" t="s">
        <v>413</v>
      </c>
      <c r="K17" t="s">
        <v>414</v>
      </c>
      <c r="L17">
        <v>1368</v>
      </c>
      <c r="N17">
        <v>1011</v>
      </c>
      <c r="O17" t="s">
        <v>411</v>
      </c>
      <c r="P17" t="s">
        <v>411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19</v>
      </c>
      <c r="AG17">
        <v>3.0000000000000001E-3</v>
      </c>
      <c r="AH17">
        <v>2</v>
      </c>
      <c r="AI17">
        <v>39614181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ROW(Source!A25)</f>
        <v>25</v>
      </c>
      <c r="B18">
        <v>39614182</v>
      </c>
      <c r="C18">
        <v>39614176</v>
      </c>
      <c r="D18">
        <v>36802162</v>
      </c>
      <c r="E18">
        <v>1</v>
      </c>
      <c r="F18">
        <v>1</v>
      </c>
      <c r="G18">
        <v>1</v>
      </c>
      <c r="H18">
        <v>3</v>
      </c>
      <c r="I18" t="s">
        <v>446</v>
      </c>
      <c r="J18" t="s">
        <v>447</v>
      </c>
      <c r="K18" t="s">
        <v>448</v>
      </c>
      <c r="L18">
        <v>1346</v>
      </c>
      <c r="N18">
        <v>1009</v>
      </c>
      <c r="O18" t="s">
        <v>424</v>
      </c>
      <c r="P18" t="s">
        <v>424</v>
      </c>
      <c r="Q18">
        <v>1</v>
      </c>
      <c r="X18">
        <v>0.08</v>
      </c>
      <c r="Y18">
        <v>24.04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18</v>
      </c>
      <c r="AG18">
        <v>0</v>
      </c>
      <c r="AH18">
        <v>2</v>
      </c>
      <c r="AI18">
        <v>39614182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ROW(Source!A25)</f>
        <v>25</v>
      </c>
      <c r="B19">
        <v>39614183</v>
      </c>
      <c r="C19">
        <v>39614176</v>
      </c>
      <c r="D19">
        <v>36804448</v>
      </c>
      <c r="E19">
        <v>1</v>
      </c>
      <c r="F19">
        <v>1</v>
      </c>
      <c r="G19">
        <v>1</v>
      </c>
      <c r="H19">
        <v>3</v>
      </c>
      <c r="I19" t="s">
        <v>425</v>
      </c>
      <c r="J19" t="s">
        <v>426</v>
      </c>
      <c r="K19" t="s">
        <v>427</v>
      </c>
      <c r="L19">
        <v>1346</v>
      </c>
      <c r="N19">
        <v>1009</v>
      </c>
      <c r="O19" t="s">
        <v>424</v>
      </c>
      <c r="P19" t="s">
        <v>424</v>
      </c>
      <c r="Q19">
        <v>1</v>
      </c>
      <c r="X19">
        <v>0.02</v>
      </c>
      <c r="Y19">
        <v>9.0399999999999991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18</v>
      </c>
      <c r="AG19">
        <v>0</v>
      </c>
      <c r="AH19">
        <v>2</v>
      </c>
      <c r="AI19">
        <v>39614183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ROW(Source!A25)</f>
        <v>25</v>
      </c>
      <c r="B20">
        <v>39614184</v>
      </c>
      <c r="C20">
        <v>39614176</v>
      </c>
      <c r="D20">
        <v>36838317</v>
      </c>
      <c r="E20">
        <v>1</v>
      </c>
      <c r="F20">
        <v>1</v>
      </c>
      <c r="G20">
        <v>1</v>
      </c>
      <c r="H20">
        <v>3</v>
      </c>
      <c r="I20" t="s">
        <v>435</v>
      </c>
      <c r="J20" t="s">
        <v>436</v>
      </c>
      <c r="K20" t="s">
        <v>437</v>
      </c>
      <c r="L20">
        <v>1346</v>
      </c>
      <c r="N20">
        <v>1009</v>
      </c>
      <c r="O20" t="s">
        <v>424</v>
      </c>
      <c r="P20" t="s">
        <v>424</v>
      </c>
      <c r="Q20">
        <v>1</v>
      </c>
      <c r="X20">
        <v>0.13</v>
      </c>
      <c r="Y20">
        <v>28.6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18</v>
      </c>
      <c r="AG20">
        <v>0</v>
      </c>
      <c r="AH20">
        <v>2</v>
      </c>
      <c r="AI20">
        <v>39614184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ROW(Source!A25)</f>
        <v>25</v>
      </c>
      <c r="B21">
        <v>39614185</v>
      </c>
      <c r="C21">
        <v>39614176</v>
      </c>
      <c r="D21">
        <v>36838354</v>
      </c>
      <c r="E21">
        <v>1</v>
      </c>
      <c r="F21">
        <v>1</v>
      </c>
      <c r="G21">
        <v>1</v>
      </c>
      <c r="H21">
        <v>3</v>
      </c>
      <c r="I21" t="s">
        <v>449</v>
      </c>
      <c r="J21" t="s">
        <v>450</v>
      </c>
      <c r="K21" t="s">
        <v>451</v>
      </c>
      <c r="L21">
        <v>1348</v>
      </c>
      <c r="N21">
        <v>1009</v>
      </c>
      <c r="O21" t="s">
        <v>237</v>
      </c>
      <c r="P21" t="s">
        <v>237</v>
      </c>
      <c r="Q21">
        <v>1000</v>
      </c>
      <c r="X21">
        <v>2.4000000000000001E-5</v>
      </c>
      <c r="Y21">
        <v>7826.9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18</v>
      </c>
      <c r="AG21">
        <v>0</v>
      </c>
      <c r="AH21">
        <v>2</v>
      </c>
      <c r="AI21">
        <v>39614185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ROW(Source!A25)</f>
        <v>25</v>
      </c>
      <c r="B22">
        <v>39614186</v>
      </c>
      <c r="C22">
        <v>39614176</v>
      </c>
      <c r="D22">
        <v>36852067</v>
      </c>
      <c r="E22">
        <v>1</v>
      </c>
      <c r="F22">
        <v>1</v>
      </c>
      <c r="G22">
        <v>1</v>
      </c>
      <c r="H22">
        <v>3</v>
      </c>
      <c r="I22" t="s">
        <v>452</v>
      </c>
      <c r="J22" t="s">
        <v>453</v>
      </c>
      <c r="K22" t="s">
        <v>454</v>
      </c>
      <c r="L22">
        <v>1356</v>
      </c>
      <c r="N22">
        <v>1010</v>
      </c>
      <c r="O22" t="s">
        <v>75</v>
      </c>
      <c r="P22" t="s">
        <v>75</v>
      </c>
      <c r="Q22">
        <v>1000</v>
      </c>
      <c r="X22">
        <v>8.0000000000000002E-3</v>
      </c>
      <c r="Y22">
        <v>270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18</v>
      </c>
      <c r="AG22">
        <v>0</v>
      </c>
      <c r="AH22">
        <v>2</v>
      </c>
      <c r="AI22">
        <v>39614186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ROW(Source!A25)</f>
        <v>25</v>
      </c>
      <c r="B23">
        <v>39614187</v>
      </c>
      <c r="C23">
        <v>39614176</v>
      </c>
      <c r="D23">
        <v>36799065</v>
      </c>
      <c r="E23">
        <v>17</v>
      </c>
      <c r="F23">
        <v>1</v>
      </c>
      <c r="G23">
        <v>1</v>
      </c>
      <c r="H23">
        <v>3</v>
      </c>
      <c r="I23" t="s">
        <v>438</v>
      </c>
      <c r="J23" t="s">
        <v>3</v>
      </c>
      <c r="K23" t="s">
        <v>439</v>
      </c>
      <c r="L23">
        <v>1374</v>
      </c>
      <c r="N23">
        <v>1013</v>
      </c>
      <c r="O23" t="s">
        <v>440</v>
      </c>
      <c r="P23" t="s">
        <v>440</v>
      </c>
      <c r="Q23">
        <v>1</v>
      </c>
      <c r="X23">
        <v>0.9</v>
      </c>
      <c r="Y23">
        <v>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18</v>
      </c>
      <c r="AG23">
        <v>0</v>
      </c>
      <c r="AH23">
        <v>2</v>
      </c>
      <c r="AI23">
        <v>39614187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ROW(Source!A26)</f>
        <v>26</v>
      </c>
      <c r="B24">
        <v>39610570</v>
      </c>
      <c r="C24">
        <v>39610569</v>
      </c>
      <c r="D24">
        <v>37070164</v>
      </c>
      <c r="E24">
        <v>1</v>
      </c>
      <c r="F24">
        <v>1</v>
      </c>
      <c r="G24">
        <v>1</v>
      </c>
      <c r="H24">
        <v>1</v>
      </c>
      <c r="I24" t="s">
        <v>455</v>
      </c>
      <c r="J24" t="s">
        <v>3</v>
      </c>
      <c r="K24" t="s">
        <v>456</v>
      </c>
      <c r="L24">
        <v>1191</v>
      </c>
      <c r="N24">
        <v>1013</v>
      </c>
      <c r="O24" t="s">
        <v>405</v>
      </c>
      <c r="P24" t="s">
        <v>405</v>
      </c>
      <c r="Q24">
        <v>1</v>
      </c>
      <c r="X24">
        <v>3.86</v>
      </c>
      <c r="Y24">
        <v>0</v>
      </c>
      <c r="Z24">
        <v>0</v>
      </c>
      <c r="AA24">
        <v>0</v>
      </c>
      <c r="AB24">
        <v>9.2899999999999991</v>
      </c>
      <c r="AC24">
        <v>0</v>
      </c>
      <c r="AD24">
        <v>1</v>
      </c>
      <c r="AE24">
        <v>1</v>
      </c>
      <c r="AF24" t="s">
        <v>19</v>
      </c>
      <c r="AG24">
        <v>1.1579999999999999</v>
      </c>
      <c r="AH24">
        <v>2</v>
      </c>
      <c r="AI24">
        <v>39610570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ROW(Source!A26)</f>
        <v>26</v>
      </c>
      <c r="B25">
        <v>39610571</v>
      </c>
      <c r="C25">
        <v>39610569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406</v>
      </c>
      <c r="J25" t="s">
        <v>3</v>
      </c>
      <c r="K25" t="s">
        <v>407</v>
      </c>
      <c r="L25">
        <v>1191</v>
      </c>
      <c r="N25">
        <v>1013</v>
      </c>
      <c r="O25" t="s">
        <v>405</v>
      </c>
      <c r="P25" t="s">
        <v>405</v>
      </c>
      <c r="Q25">
        <v>1</v>
      </c>
      <c r="X25">
        <v>0.02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19</v>
      </c>
      <c r="AG25">
        <v>6.0000000000000001E-3</v>
      </c>
      <c r="AH25">
        <v>2</v>
      </c>
      <c r="AI25">
        <v>39610571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ROW(Source!A26)</f>
        <v>26</v>
      </c>
      <c r="B26">
        <v>39610572</v>
      </c>
      <c r="C26">
        <v>39610569</v>
      </c>
      <c r="D26">
        <v>36882159</v>
      </c>
      <c r="E26">
        <v>1</v>
      </c>
      <c r="F26">
        <v>1</v>
      </c>
      <c r="G26">
        <v>1</v>
      </c>
      <c r="H26">
        <v>2</v>
      </c>
      <c r="I26" t="s">
        <v>408</v>
      </c>
      <c r="J26" t="s">
        <v>409</v>
      </c>
      <c r="K26" t="s">
        <v>410</v>
      </c>
      <c r="L26">
        <v>1368</v>
      </c>
      <c r="N26">
        <v>1011</v>
      </c>
      <c r="O26" t="s">
        <v>411</v>
      </c>
      <c r="P26" t="s">
        <v>411</v>
      </c>
      <c r="Q26">
        <v>1</v>
      </c>
      <c r="X26">
        <v>0.01</v>
      </c>
      <c r="Y26">
        <v>0</v>
      </c>
      <c r="Z26">
        <v>111.99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19</v>
      </c>
      <c r="AG26">
        <v>3.0000000000000001E-3</v>
      </c>
      <c r="AH26">
        <v>2</v>
      </c>
      <c r="AI26">
        <v>39610572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ROW(Source!A26)</f>
        <v>26</v>
      </c>
      <c r="B27">
        <v>39610573</v>
      </c>
      <c r="C27">
        <v>39610569</v>
      </c>
      <c r="D27">
        <v>36883554</v>
      </c>
      <c r="E27">
        <v>1</v>
      </c>
      <c r="F27">
        <v>1</v>
      </c>
      <c r="G27">
        <v>1</v>
      </c>
      <c r="H27">
        <v>2</v>
      </c>
      <c r="I27" t="s">
        <v>412</v>
      </c>
      <c r="J27" t="s">
        <v>413</v>
      </c>
      <c r="K27" t="s">
        <v>414</v>
      </c>
      <c r="L27">
        <v>1368</v>
      </c>
      <c r="N27">
        <v>1011</v>
      </c>
      <c r="O27" t="s">
        <v>411</v>
      </c>
      <c r="P27" t="s">
        <v>411</v>
      </c>
      <c r="Q27">
        <v>1</v>
      </c>
      <c r="X27">
        <v>0.01</v>
      </c>
      <c r="Y27">
        <v>0</v>
      </c>
      <c r="Z27">
        <v>65.709999999999994</v>
      </c>
      <c r="AA27">
        <v>11.6</v>
      </c>
      <c r="AB27">
        <v>0</v>
      </c>
      <c r="AC27">
        <v>0</v>
      </c>
      <c r="AD27">
        <v>1</v>
      </c>
      <c r="AE27">
        <v>0</v>
      </c>
      <c r="AF27" t="s">
        <v>19</v>
      </c>
      <c r="AG27">
        <v>3.0000000000000001E-3</v>
      </c>
      <c r="AH27">
        <v>2</v>
      </c>
      <c r="AI27">
        <v>39610573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ROW(Source!A26)</f>
        <v>26</v>
      </c>
      <c r="B28">
        <v>39610574</v>
      </c>
      <c r="C28">
        <v>39610569</v>
      </c>
      <c r="D28">
        <v>36883858</v>
      </c>
      <c r="E28">
        <v>1</v>
      </c>
      <c r="F28">
        <v>1</v>
      </c>
      <c r="G28">
        <v>1</v>
      </c>
      <c r="H28">
        <v>2</v>
      </c>
      <c r="I28" t="s">
        <v>415</v>
      </c>
      <c r="J28" t="s">
        <v>416</v>
      </c>
      <c r="K28" t="s">
        <v>417</v>
      </c>
      <c r="L28">
        <v>1368</v>
      </c>
      <c r="N28">
        <v>1011</v>
      </c>
      <c r="O28" t="s">
        <v>411</v>
      </c>
      <c r="P28" t="s">
        <v>411</v>
      </c>
      <c r="Q28">
        <v>1</v>
      </c>
      <c r="X28">
        <v>0.13</v>
      </c>
      <c r="Y28">
        <v>0</v>
      </c>
      <c r="Z28">
        <v>8.1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19</v>
      </c>
      <c r="AG28">
        <v>3.9E-2</v>
      </c>
      <c r="AH28">
        <v>2</v>
      </c>
      <c r="AI28">
        <v>39610574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ROW(Source!A26)</f>
        <v>26</v>
      </c>
      <c r="B29">
        <v>39610575</v>
      </c>
      <c r="C29">
        <v>39610569</v>
      </c>
      <c r="D29">
        <v>36884526</v>
      </c>
      <c r="E29">
        <v>1</v>
      </c>
      <c r="F29">
        <v>1</v>
      </c>
      <c r="G29">
        <v>1</v>
      </c>
      <c r="H29">
        <v>2</v>
      </c>
      <c r="I29" t="s">
        <v>457</v>
      </c>
      <c r="J29" t="s">
        <v>458</v>
      </c>
      <c r="K29" t="s">
        <v>459</v>
      </c>
      <c r="L29">
        <v>1368</v>
      </c>
      <c r="N29">
        <v>1011</v>
      </c>
      <c r="O29" t="s">
        <v>411</v>
      </c>
      <c r="P29" t="s">
        <v>411</v>
      </c>
      <c r="Q29">
        <v>1</v>
      </c>
      <c r="X29">
        <v>0.2</v>
      </c>
      <c r="Y29">
        <v>0</v>
      </c>
      <c r="Z29">
        <v>1.1100000000000001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19</v>
      </c>
      <c r="AG29">
        <v>0.06</v>
      </c>
      <c r="AH29">
        <v>2</v>
      </c>
      <c r="AI29">
        <v>39610575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ROW(Source!A26)</f>
        <v>26</v>
      </c>
      <c r="B30">
        <v>39610576</v>
      </c>
      <c r="C30">
        <v>39610569</v>
      </c>
      <c r="D30">
        <v>36800043</v>
      </c>
      <c r="E30">
        <v>1</v>
      </c>
      <c r="F30">
        <v>1</v>
      </c>
      <c r="G30">
        <v>1</v>
      </c>
      <c r="H30">
        <v>3</v>
      </c>
      <c r="I30" t="s">
        <v>460</v>
      </c>
      <c r="J30" t="s">
        <v>461</v>
      </c>
      <c r="K30" t="s">
        <v>462</v>
      </c>
      <c r="L30">
        <v>1346</v>
      </c>
      <c r="N30">
        <v>1009</v>
      </c>
      <c r="O30" t="s">
        <v>424</v>
      </c>
      <c r="P30" t="s">
        <v>424</v>
      </c>
      <c r="Q30">
        <v>1</v>
      </c>
      <c r="X30">
        <v>1.4999999999999999E-2</v>
      </c>
      <c r="Y30">
        <v>44.97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18</v>
      </c>
      <c r="AG30">
        <v>0</v>
      </c>
      <c r="AH30">
        <v>2</v>
      </c>
      <c r="AI30">
        <v>39610576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ROW(Source!A26)</f>
        <v>26</v>
      </c>
      <c r="B31">
        <v>39610577</v>
      </c>
      <c r="C31">
        <v>39610569</v>
      </c>
      <c r="D31">
        <v>36801775</v>
      </c>
      <c r="E31">
        <v>1</v>
      </c>
      <c r="F31">
        <v>1</v>
      </c>
      <c r="G31">
        <v>1</v>
      </c>
      <c r="H31">
        <v>3</v>
      </c>
      <c r="I31" t="s">
        <v>463</v>
      </c>
      <c r="J31" t="s">
        <v>464</v>
      </c>
      <c r="K31" t="s">
        <v>465</v>
      </c>
      <c r="L31">
        <v>1346</v>
      </c>
      <c r="N31">
        <v>1009</v>
      </c>
      <c r="O31" t="s">
        <v>424</v>
      </c>
      <c r="P31" t="s">
        <v>424</v>
      </c>
      <c r="Q31">
        <v>1</v>
      </c>
      <c r="X31">
        <v>5.0000000000000001E-3</v>
      </c>
      <c r="Y31">
        <v>11.5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18</v>
      </c>
      <c r="AG31">
        <v>0</v>
      </c>
      <c r="AH31">
        <v>2</v>
      </c>
      <c r="AI31">
        <v>39610577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ROW(Source!A26)</f>
        <v>26</v>
      </c>
      <c r="B32">
        <v>39610578</v>
      </c>
      <c r="C32">
        <v>39610569</v>
      </c>
      <c r="D32">
        <v>36802094</v>
      </c>
      <c r="E32">
        <v>1</v>
      </c>
      <c r="F32">
        <v>1</v>
      </c>
      <c r="G32">
        <v>1</v>
      </c>
      <c r="H32">
        <v>3</v>
      </c>
      <c r="I32" t="s">
        <v>466</v>
      </c>
      <c r="J32" t="s">
        <v>467</v>
      </c>
      <c r="K32" t="s">
        <v>468</v>
      </c>
      <c r="L32">
        <v>1346</v>
      </c>
      <c r="N32">
        <v>1009</v>
      </c>
      <c r="O32" t="s">
        <v>424</v>
      </c>
      <c r="P32" t="s">
        <v>424</v>
      </c>
      <c r="Q32">
        <v>1</v>
      </c>
      <c r="X32">
        <v>4.8000000000000001E-2</v>
      </c>
      <c r="Y32">
        <v>30.4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18</v>
      </c>
      <c r="AG32">
        <v>0</v>
      </c>
      <c r="AH32">
        <v>2</v>
      </c>
      <c r="AI32">
        <v>39610578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ROW(Source!A26)</f>
        <v>26</v>
      </c>
      <c r="B33">
        <v>39610579</v>
      </c>
      <c r="C33">
        <v>39610569</v>
      </c>
      <c r="D33">
        <v>36803258</v>
      </c>
      <c r="E33">
        <v>1</v>
      </c>
      <c r="F33">
        <v>1</v>
      </c>
      <c r="G33">
        <v>1</v>
      </c>
      <c r="H33">
        <v>3</v>
      </c>
      <c r="I33" t="s">
        <v>421</v>
      </c>
      <c r="J33" t="s">
        <v>422</v>
      </c>
      <c r="K33" t="s">
        <v>423</v>
      </c>
      <c r="L33">
        <v>1346</v>
      </c>
      <c r="N33">
        <v>1009</v>
      </c>
      <c r="O33" t="s">
        <v>424</v>
      </c>
      <c r="P33" t="s">
        <v>424</v>
      </c>
      <c r="Q33">
        <v>1</v>
      </c>
      <c r="X33">
        <v>0.08</v>
      </c>
      <c r="Y33">
        <v>10.57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18</v>
      </c>
      <c r="AG33">
        <v>0</v>
      </c>
      <c r="AH33">
        <v>2</v>
      </c>
      <c r="AI33">
        <v>39610579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ROW(Source!A26)</f>
        <v>26</v>
      </c>
      <c r="B34">
        <v>39610580</v>
      </c>
      <c r="C34">
        <v>39610569</v>
      </c>
      <c r="D34">
        <v>36804448</v>
      </c>
      <c r="E34">
        <v>1</v>
      </c>
      <c r="F34">
        <v>1</v>
      </c>
      <c r="G34">
        <v>1</v>
      </c>
      <c r="H34">
        <v>3</v>
      </c>
      <c r="I34" t="s">
        <v>425</v>
      </c>
      <c r="J34" t="s">
        <v>426</v>
      </c>
      <c r="K34" t="s">
        <v>427</v>
      </c>
      <c r="L34">
        <v>1346</v>
      </c>
      <c r="N34">
        <v>1009</v>
      </c>
      <c r="O34" t="s">
        <v>424</v>
      </c>
      <c r="P34" t="s">
        <v>424</v>
      </c>
      <c r="Q34">
        <v>1</v>
      </c>
      <c r="X34">
        <v>0.53</v>
      </c>
      <c r="Y34">
        <v>9.0399999999999991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18</v>
      </c>
      <c r="AG34">
        <v>0</v>
      </c>
      <c r="AH34">
        <v>2</v>
      </c>
      <c r="AI34">
        <v>39610580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ROW(Source!A26)</f>
        <v>26</v>
      </c>
      <c r="B35">
        <v>39610581</v>
      </c>
      <c r="C35">
        <v>39610569</v>
      </c>
      <c r="D35">
        <v>36804580</v>
      </c>
      <c r="E35">
        <v>1</v>
      </c>
      <c r="F35">
        <v>1</v>
      </c>
      <c r="G35">
        <v>1</v>
      </c>
      <c r="H35">
        <v>3</v>
      </c>
      <c r="I35" t="s">
        <v>469</v>
      </c>
      <c r="J35" t="s">
        <v>470</v>
      </c>
      <c r="K35" t="s">
        <v>471</v>
      </c>
      <c r="L35">
        <v>1355</v>
      </c>
      <c r="N35">
        <v>1010</v>
      </c>
      <c r="O35" t="s">
        <v>148</v>
      </c>
      <c r="P35" t="s">
        <v>148</v>
      </c>
      <c r="Q35">
        <v>100</v>
      </c>
      <c r="X35">
        <v>1.4E-2</v>
      </c>
      <c r="Y35">
        <v>86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18</v>
      </c>
      <c r="AG35">
        <v>0</v>
      </c>
      <c r="AH35">
        <v>2</v>
      </c>
      <c r="AI35">
        <v>39610581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ROW(Source!A26)</f>
        <v>26</v>
      </c>
      <c r="B36">
        <v>39610582</v>
      </c>
      <c r="C36">
        <v>39610569</v>
      </c>
      <c r="D36">
        <v>36805500</v>
      </c>
      <c r="E36">
        <v>1</v>
      </c>
      <c r="F36">
        <v>1</v>
      </c>
      <c r="G36">
        <v>1</v>
      </c>
      <c r="H36">
        <v>3</v>
      </c>
      <c r="I36" t="s">
        <v>472</v>
      </c>
      <c r="J36" t="s">
        <v>473</v>
      </c>
      <c r="K36" t="s">
        <v>474</v>
      </c>
      <c r="L36">
        <v>1346</v>
      </c>
      <c r="N36">
        <v>1009</v>
      </c>
      <c r="O36" t="s">
        <v>424</v>
      </c>
      <c r="P36" t="s">
        <v>424</v>
      </c>
      <c r="Q36">
        <v>1</v>
      </c>
      <c r="X36">
        <v>2E-3</v>
      </c>
      <c r="Y36">
        <v>133.05000000000001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18</v>
      </c>
      <c r="AG36">
        <v>0</v>
      </c>
      <c r="AH36">
        <v>2</v>
      </c>
      <c r="AI36">
        <v>39610582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ROW(Source!A26)</f>
        <v>26</v>
      </c>
      <c r="B37">
        <v>39610583</v>
      </c>
      <c r="C37">
        <v>39610569</v>
      </c>
      <c r="D37">
        <v>36823140</v>
      </c>
      <c r="E37">
        <v>1</v>
      </c>
      <c r="F37">
        <v>1</v>
      </c>
      <c r="G37">
        <v>1</v>
      </c>
      <c r="H37">
        <v>3</v>
      </c>
      <c r="I37" t="s">
        <v>475</v>
      </c>
      <c r="J37" t="s">
        <v>476</v>
      </c>
      <c r="K37" t="s">
        <v>477</v>
      </c>
      <c r="L37">
        <v>1348</v>
      </c>
      <c r="N37">
        <v>1009</v>
      </c>
      <c r="O37" t="s">
        <v>237</v>
      </c>
      <c r="P37" t="s">
        <v>237</v>
      </c>
      <c r="Q37">
        <v>1000</v>
      </c>
      <c r="X37">
        <v>4.0000000000000001E-3</v>
      </c>
      <c r="Y37">
        <v>11500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18</v>
      </c>
      <c r="AG37">
        <v>0</v>
      </c>
      <c r="AH37">
        <v>2</v>
      </c>
      <c r="AI37">
        <v>39610583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ROW(Source!A26)</f>
        <v>26</v>
      </c>
      <c r="B38">
        <v>39610584</v>
      </c>
      <c r="C38">
        <v>39610569</v>
      </c>
      <c r="D38">
        <v>36838317</v>
      </c>
      <c r="E38">
        <v>1</v>
      </c>
      <c r="F38">
        <v>1</v>
      </c>
      <c r="G38">
        <v>1</v>
      </c>
      <c r="H38">
        <v>3</v>
      </c>
      <c r="I38" t="s">
        <v>435</v>
      </c>
      <c r="J38" t="s">
        <v>436</v>
      </c>
      <c r="K38" t="s">
        <v>437</v>
      </c>
      <c r="L38">
        <v>1346</v>
      </c>
      <c r="N38">
        <v>1009</v>
      </c>
      <c r="O38" t="s">
        <v>424</v>
      </c>
      <c r="P38" t="s">
        <v>424</v>
      </c>
      <c r="Q38">
        <v>1</v>
      </c>
      <c r="X38">
        <v>4.7E-2</v>
      </c>
      <c r="Y38">
        <v>28.6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18</v>
      </c>
      <c r="AG38">
        <v>0</v>
      </c>
      <c r="AH38">
        <v>2</v>
      </c>
      <c r="AI38">
        <v>39610584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ROW(Source!A26)</f>
        <v>26</v>
      </c>
      <c r="B39">
        <v>39610585</v>
      </c>
      <c r="C39">
        <v>39610569</v>
      </c>
      <c r="D39">
        <v>36838470</v>
      </c>
      <c r="E39">
        <v>1</v>
      </c>
      <c r="F39">
        <v>1</v>
      </c>
      <c r="G39">
        <v>1</v>
      </c>
      <c r="H39">
        <v>3</v>
      </c>
      <c r="I39" t="s">
        <v>478</v>
      </c>
      <c r="J39" t="s">
        <v>479</v>
      </c>
      <c r="K39" t="s">
        <v>480</v>
      </c>
      <c r="L39">
        <v>1346</v>
      </c>
      <c r="N39">
        <v>1009</v>
      </c>
      <c r="O39" t="s">
        <v>424</v>
      </c>
      <c r="P39" t="s">
        <v>424</v>
      </c>
      <c r="Q39">
        <v>1</v>
      </c>
      <c r="X39">
        <v>1.4E-2</v>
      </c>
      <c r="Y39">
        <v>35.630000000000003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18</v>
      </c>
      <c r="AG39">
        <v>0</v>
      </c>
      <c r="AH39">
        <v>2</v>
      </c>
      <c r="AI39">
        <v>39610585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ROW(Source!A26)</f>
        <v>26</v>
      </c>
      <c r="B40">
        <v>39610586</v>
      </c>
      <c r="C40">
        <v>39610569</v>
      </c>
      <c r="D40">
        <v>36851945</v>
      </c>
      <c r="E40">
        <v>1</v>
      </c>
      <c r="F40">
        <v>1</v>
      </c>
      <c r="G40">
        <v>1</v>
      </c>
      <c r="H40">
        <v>3</v>
      </c>
      <c r="I40" t="s">
        <v>481</v>
      </c>
      <c r="J40" t="s">
        <v>482</v>
      </c>
      <c r="K40" t="s">
        <v>483</v>
      </c>
      <c r="L40">
        <v>1358</v>
      </c>
      <c r="N40">
        <v>1010</v>
      </c>
      <c r="O40" t="s">
        <v>484</v>
      </c>
      <c r="P40" t="s">
        <v>484</v>
      </c>
      <c r="Q40">
        <v>10</v>
      </c>
      <c r="X40">
        <v>0.1</v>
      </c>
      <c r="Y40">
        <v>39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18</v>
      </c>
      <c r="AG40">
        <v>0</v>
      </c>
      <c r="AH40">
        <v>2</v>
      </c>
      <c r="AI40">
        <v>39610586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ROW(Source!A26)</f>
        <v>26</v>
      </c>
      <c r="B41">
        <v>39610587</v>
      </c>
      <c r="C41">
        <v>39610569</v>
      </c>
      <c r="D41">
        <v>36870813</v>
      </c>
      <c r="E41">
        <v>1</v>
      </c>
      <c r="F41">
        <v>1</v>
      </c>
      <c r="G41">
        <v>1</v>
      </c>
      <c r="H41">
        <v>3</v>
      </c>
      <c r="I41" t="s">
        <v>485</v>
      </c>
      <c r="J41" t="s">
        <v>486</v>
      </c>
      <c r="K41" t="s">
        <v>487</v>
      </c>
      <c r="L41">
        <v>1355</v>
      </c>
      <c r="N41">
        <v>1010</v>
      </c>
      <c r="O41" t="s">
        <v>148</v>
      </c>
      <c r="P41" t="s">
        <v>148</v>
      </c>
      <c r="Q41">
        <v>100</v>
      </c>
      <c r="X41">
        <v>6.0999999999999999E-2</v>
      </c>
      <c r="Y41">
        <v>63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18</v>
      </c>
      <c r="AG41">
        <v>0</v>
      </c>
      <c r="AH41">
        <v>2</v>
      </c>
      <c r="AI41">
        <v>39610587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ROW(Source!A26)</f>
        <v>26</v>
      </c>
      <c r="B42">
        <v>39610588</v>
      </c>
      <c r="C42">
        <v>39610569</v>
      </c>
      <c r="D42">
        <v>36799065</v>
      </c>
      <c r="E42">
        <v>17</v>
      </c>
      <c r="F42">
        <v>1</v>
      </c>
      <c r="G42">
        <v>1</v>
      </c>
      <c r="H42">
        <v>3</v>
      </c>
      <c r="I42" t="s">
        <v>438</v>
      </c>
      <c r="J42" t="s">
        <v>3</v>
      </c>
      <c r="K42" t="s">
        <v>439</v>
      </c>
      <c r="L42">
        <v>1374</v>
      </c>
      <c r="N42">
        <v>1013</v>
      </c>
      <c r="O42" t="s">
        <v>440</v>
      </c>
      <c r="P42" t="s">
        <v>440</v>
      </c>
      <c r="Q42">
        <v>1</v>
      </c>
      <c r="X42">
        <v>0.72</v>
      </c>
      <c r="Y42">
        <v>1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18</v>
      </c>
      <c r="AG42">
        <v>0</v>
      </c>
      <c r="AH42">
        <v>2</v>
      </c>
      <c r="AI42">
        <v>39610588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ROW(Source!A27)</f>
        <v>27</v>
      </c>
      <c r="B43">
        <v>39610429</v>
      </c>
      <c r="C43">
        <v>39610428</v>
      </c>
      <c r="D43">
        <v>37064998</v>
      </c>
      <c r="E43">
        <v>1</v>
      </c>
      <c r="F43">
        <v>1</v>
      </c>
      <c r="G43">
        <v>1</v>
      </c>
      <c r="H43">
        <v>1</v>
      </c>
      <c r="I43" t="s">
        <v>488</v>
      </c>
      <c r="J43" t="s">
        <v>3</v>
      </c>
      <c r="K43" t="s">
        <v>489</v>
      </c>
      <c r="L43">
        <v>1191</v>
      </c>
      <c r="N43">
        <v>1013</v>
      </c>
      <c r="O43" t="s">
        <v>405</v>
      </c>
      <c r="P43" t="s">
        <v>405</v>
      </c>
      <c r="Q43">
        <v>1</v>
      </c>
      <c r="X43">
        <v>9.64</v>
      </c>
      <c r="Y43">
        <v>0</v>
      </c>
      <c r="Z43">
        <v>0</v>
      </c>
      <c r="AA43">
        <v>0</v>
      </c>
      <c r="AB43">
        <v>7.8</v>
      </c>
      <c r="AC43">
        <v>0</v>
      </c>
      <c r="AD43">
        <v>1</v>
      </c>
      <c r="AE43">
        <v>1</v>
      </c>
      <c r="AF43" t="s">
        <v>3</v>
      </c>
      <c r="AG43">
        <v>9.64</v>
      </c>
      <c r="AH43">
        <v>2</v>
      </c>
      <c r="AI43">
        <v>39610429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ROW(Source!A27)</f>
        <v>27</v>
      </c>
      <c r="B44">
        <v>39610430</v>
      </c>
      <c r="C44">
        <v>39610428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406</v>
      </c>
      <c r="J44" t="s">
        <v>3</v>
      </c>
      <c r="K44" t="s">
        <v>407</v>
      </c>
      <c r="L44">
        <v>1191</v>
      </c>
      <c r="N44">
        <v>1013</v>
      </c>
      <c r="O44" t="s">
        <v>405</v>
      </c>
      <c r="P44" t="s">
        <v>405</v>
      </c>
      <c r="Q44">
        <v>1</v>
      </c>
      <c r="X44">
        <v>0.01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3</v>
      </c>
      <c r="AG44">
        <v>0.01</v>
      </c>
      <c r="AH44">
        <v>2</v>
      </c>
      <c r="AI44">
        <v>39610430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ROW(Source!A27)</f>
        <v>27</v>
      </c>
      <c r="B45">
        <v>39610431</v>
      </c>
      <c r="C45">
        <v>39610428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490</v>
      </c>
      <c r="J45" t="s">
        <v>491</v>
      </c>
      <c r="K45" t="s">
        <v>492</v>
      </c>
      <c r="L45">
        <v>1368</v>
      </c>
      <c r="N45">
        <v>1011</v>
      </c>
      <c r="O45" t="s">
        <v>411</v>
      </c>
      <c r="P45" t="s">
        <v>411</v>
      </c>
      <c r="Q45">
        <v>1</v>
      </c>
      <c r="X45">
        <v>0.01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0.01</v>
      </c>
      <c r="AH45">
        <v>2</v>
      </c>
      <c r="AI45">
        <v>39610431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ROW(Source!A28)</f>
        <v>28</v>
      </c>
      <c r="B46">
        <v>39610457</v>
      </c>
      <c r="C46">
        <v>39610456</v>
      </c>
      <c r="D46">
        <v>37077359</v>
      </c>
      <c r="E46">
        <v>1</v>
      </c>
      <c r="F46">
        <v>1</v>
      </c>
      <c r="G46">
        <v>1</v>
      </c>
      <c r="H46">
        <v>1</v>
      </c>
      <c r="I46" t="s">
        <v>441</v>
      </c>
      <c r="J46" t="s">
        <v>3</v>
      </c>
      <c r="K46" t="s">
        <v>442</v>
      </c>
      <c r="L46">
        <v>1191</v>
      </c>
      <c r="N46">
        <v>1013</v>
      </c>
      <c r="O46" t="s">
        <v>405</v>
      </c>
      <c r="P46" t="s">
        <v>405</v>
      </c>
      <c r="Q46">
        <v>1</v>
      </c>
      <c r="X46">
        <v>0.86</v>
      </c>
      <c r="Y46">
        <v>0</v>
      </c>
      <c r="Z46">
        <v>0</v>
      </c>
      <c r="AA46">
        <v>0</v>
      </c>
      <c r="AB46">
        <v>10.5</v>
      </c>
      <c r="AC46">
        <v>0</v>
      </c>
      <c r="AD46">
        <v>1</v>
      </c>
      <c r="AE46">
        <v>1</v>
      </c>
      <c r="AF46" t="s">
        <v>19</v>
      </c>
      <c r="AG46">
        <v>0.25800000000000001</v>
      </c>
      <c r="AH46">
        <v>2</v>
      </c>
      <c r="AI46">
        <v>39610457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ROW(Source!A28)</f>
        <v>28</v>
      </c>
      <c r="B47">
        <v>39610458</v>
      </c>
      <c r="C47">
        <v>39610456</v>
      </c>
      <c r="D47">
        <v>37064876</v>
      </c>
      <c r="E47">
        <v>1</v>
      </c>
      <c r="F47">
        <v>1</v>
      </c>
      <c r="G47">
        <v>1</v>
      </c>
      <c r="H47">
        <v>1</v>
      </c>
      <c r="I47" t="s">
        <v>406</v>
      </c>
      <c r="J47" t="s">
        <v>3</v>
      </c>
      <c r="K47" t="s">
        <v>407</v>
      </c>
      <c r="L47">
        <v>1191</v>
      </c>
      <c r="N47">
        <v>1013</v>
      </c>
      <c r="O47" t="s">
        <v>405</v>
      </c>
      <c r="P47" t="s">
        <v>405</v>
      </c>
      <c r="Q47">
        <v>1</v>
      </c>
      <c r="X47">
        <v>0.2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19</v>
      </c>
      <c r="AG47">
        <v>0.06</v>
      </c>
      <c r="AH47">
        <v>2</v>
      </c>
      <c r="AI47">
        <v>39610458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ROW(Source!A28)</f>
        <v>28</v>
      </c>
      <c r="B48">
        <v>39610459</v>
      </c>
      <c r="C48">
        <v>39610456</v>
      </c>
      <c r="D48">
        <v>36882159</v>
      </c>
      <c r="E48">
        <v>1</v>
      </c>
      <c r="F48">
        <v>1</v>
      </c>
      <c r="G48">
        <v>1</v>
      </c>
      <c r="H48">
        <v>2</v>
      </c>
      <c r="I48" t="s">
        <v>408</v>
      </c>
      <c r="J48" t="s">
        <v>409</v>
      </c>
      <c r="K48" t="s">
        <v>410</v>
      </c>
      <c r="L48">
        <v>1368</v>
      </c>
      <c r="N48">
        <v>1011</v>
      </c>
      <c r="O48" t="s">
        <v>411</v>
      </c>
      <c r="P48" t="s">
        <v>411</v>
      </c>
      <c r="Q48">
        <v>1</v>
      </c>
      <c r="X48">
        <v>0.1</v>
      </c>
      <c r="Y48">
        <v>0</v>
      </c>
      <c r="Z48">
        <v>111.99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19</v>
      </c>
      <c r="AG48">
        <v>0.03</v>
      </c>
      <c r="AH48">
        <v>2</v>
      </c>
      <c r="AI48">
        <v>39610459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ROW(Source!A28)</f>
        <v>28</v>
      </c>
      <c r="B49">
        <v>39610460</v>
      </c>
      <c r="C49">
        <v>39610456</v>
      </c>
      <c r="D49">
        <v>36883554</v>
      </c>
      <c r="E49">
        <v>1</v>
      </c>
      <c r="F49">
        <v>1</v>
      </c>
      <c r="G49">
        <v>1</v>
      </c>
      <c r="H49">
        <v>2</v>
      </c>
      <c r="I49" t="s">
        <v>412</v>
      </c>
      <c r="J49" t="s">
        <v>413</v>
      </c>
      <c r="K49" t="s">
        <v>414</v>
      </c>
      <c r="L49">
        <v>1368</v>
      </c>
      <c r="N49">
        <v>1011</v>
      </c>
      <c r="O49" t="s">
        <v>411</v>
      </c>
      <c r="P49" t="s">
        <v>411</v>
      </c>
      <c r="Q49">
        <v>1</v>
      </c>
      <c r="X49">
        <v>0.1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19</v>
      </c>
      <c r="AG49">
        <v>0.03</v>
      </c>
      <c r="AH49">
        <v>2</v>
      </c>
      <c r="AI49">
        <v>39610460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ROW(Source!A28)</f>
        <v>28</v>
      </c>
      <c r="B50">
        <v>39610461</v>
      </c>
      <c r="C50">
        <v>39610456</v>
      </c>
      <c r="D50">
        <v>36802094</v>
      </c>
      <c r="E50">
        <v>1</v>
      </c>
      <c r="F50">
        <v>1</v>
      </c>
      <c r="G50">
        <v>1</v>
      </c>
      <c r="H50">
        <v>3</v>
      </c>
      <c r="I50" t="s">
        <v>466</v>
      </c>
      <c r="J50" t="s">
        <v>467</v>
      </c>
      <c r="K50" t="s">
        <v>468</v>
      </c>
      <c r="L50">
        <v>1346</v>
      </c>
      <c r="N50">
        <v>1009</v>
      </c>
      <c r="O50" t="s">
        <v>424</v>
      </c>
      <c r="P50" t="s">
        <v>424</v>
      </c>
      <c r="Q50">
        <v>1</v>
      </c>
      <c r="X50">
        <v>0.01</v>
      </c>
      <c r="Y50">
        <v>30.4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18</v>
      </c>
      <c r="AG50">
        <v>0</v>
      </c>
      <c r="AH50">
        <v>2</v>
      </c>
      <c r="AI50">
        <v>39610461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ROW(Source!A28)</f>
        <v>28</v>
      </c>
      <c r="B51">
        <v>39610462</v>
      </c>
      <c r="C51">
        <v>39610456</v>
      </c>
      <c r="D51">
        <v>36804448</v>
      </c>
      <c r="E51">
        <v>1</v>
      </c>
      <c r="F51">
        <v>1</v>
      </c>
      <c r="G51">
        <v>1</v>
      </c>
      <c r="H51">
        <v>3</v>
      </c>
      <c r="I51" t="s">
        <v>425</v>
      </c>
      <c r="J51" t="s">
        <v>426</v>
      </c>
      <c r="K51" t="s">
        <v>427</v>
      </c>
      <c r="L51">
        <v>1346</v>
      </c>
      <c r="N51">
        <v>1009</v>
      </c>
      <c r="O51" t="s">
        <v>424</v>
      </c>
      <c r="P51" t="s">
        <v>424</v>
      </c>
      <c r="Q51">
        <v>1</v>
      </c>
      <c r="X51">
        <v>0.3</v>
      </c>
      <c r="Y51">
        <v>9.0399999999999991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18</v>
      </c>
      <c r="AG51">
        <v>0</v>
      </c>
      <c r="AH51">
        <v>2</v>
      </c>
      <c r="AI51">
        <v>39610462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ROW(Source!A28)</f>
        <v>28</v>
      </c>
      <c r="B52">
        <v>39610463</v>
      </c>
      <c r="C52">
        <v>39610456</v>
      </c>
      <c r="D52">
        <v>36825981</v>
      </c>
      <c r="E52">
        <v>1</v>
      </c>
      <c r="F52">
        <v>1</v>
      </c>
      <c r="G52">
        <v>1</v>
      </c>
      <c r="H52">
        <v>3</v>
      </c>
      <c r="I52" t="s">
        <v>432</v>
      </c>
      <c r="J52" t="s">
        <v>433</v>
      </c>
      <c r="K52" t="s">
        <v>434</v>
      </c>
      <c r="L52">
        <v>1348</v>
      </c>
      <c r="N52">
        <v>1009</v>
      </c>
      <c r="O52" t="s">
        <v>237</v>
      </c>
      <c r="P52" t="s">
        <v>237</v>
      </c>
      <c r="Q52">
        <v>1000</v>
      </c>
      <c r="X52">
        <v>5.9999999999999995E-4</v>
      </c>
      <c r="Y52">
        <v>5000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18</v>
      </c>
      <c r="AG52">
        <v>0</v>
      </c>
      <c r="AH52">
        <v>2</v>
      </c>
      <c r="AI52">
        <v>39610463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ROW(Source!A28)</f>
        <v>28</v>
      </c>
      <c r="B53">
        <v>39610464</v>
      </c>
      <c r="C53">
        <v>39610456</v>
      </c>
      <c r="D53">
        <v>36799065</v>
      </c>
      <c r="E53">
        <v>17</v>
      </c>
      <c r="F53">
        <v>1</v>
      </c>
      <c r="G53">
        <v>1</v>
      </c>
      <c r="H53">
        <v>3</v>
      </c>
      <c r="I53" t="s">
        <v>438</v>
      </c>
      <c r="J53" t="s">
        <v>3</v>
      </c>
      <c r="K53" t="s">
        <v>439</v>
      </c>
      <c r="L53">
        <v>1374</v>
      </c>
      <c r="N53">
        <v>1013</v>
      </c>
      <c r="O53" t="s">
        <v>440</v>
      </c>
      <c r="P53" t="s">
        <v>440</v>
      </c>
      <c r="Q53">
        <v>1</v>
      </c>
      <c r="X53">
        <v>0.18</v>
      </c>
      <c r="Y53">
        <v>1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18</v>
      </c>
      <c r="AG53">
        <v>0</v>
      </c>
      <c r="AH53">
        <v>2</v>
      </c>
      <c r="AI53">
        <v>39610464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ROW(Source!A29)</f>
        <v>29</v>
      </c>
      <c r="B54">
        <v>39610467</v>
      </c>
      <c r="C54">
        <v>39610466</v>
      </c>
      <c r="D54">
        <v>37069968</v>
      </c>
      <c r="E54">
        <v>1</v>
      </c>
      <c r="F54">
        <v>1</v>
      </c>
      <c r="G54">
        <v>1</v>
      </c>
      <c r="H54">
        <v>1</v>
      </c>
      <c r="I54" t="s">
        <v>493</v>
      </c>
      <c r="J54" t="s">
        <v>3</v>
      </c>
      <c r="K54" t="s">
        <v>494</v>
      </c>
      <c r="L54">
        <v>1191</v>
      </c>
      <c r="N54">
        <v>1013</v>
      </c>
      <c r="O54" t="s">
        <v>405</v>
      </c>
      <c r="P54" t="s">
        <v>405</v>
      </c>
      <c r="Q54">
        <v>1</v>
      </c>
      <c r="X54">
        <v>189</v>
      </c>
      <c r="Y54">
        <v>0</v>
      </c>
      <c r="Z54">
        <v>0</v>
      </c>
      <c r="AA54">
        <v>0</v>
      </c>
      <c r="AB54">
        <v>8.3800000000000008</v>
      </c>
      <c r="AC54">
        <v>0</v>
      </c>
      <c r="AD54">
        <v>1</v>
      </c>
      <c r="AE54">
        <v>1</v>
      </c>
      <c r="AF54" t="s">
        <v>3</v>
      </c>
      <c r="AG54">
        <v>189</v>
      </c>
      <c r="AH54">
        <v>2</v>
      </c>
      <c r="AI54">
        <v>39610467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ROW(Source!A30)</f>
        <v>30</v>
      </c>
      <c r="B55">
        <v>39614023</v>
      </c>
      <c r="C55">
        <v>39614022</v>
      </c>
      <c r="D55">
        <v>37070090</v>
      </c>
      <c r="E55">
        <v>1</v>
      </c>
      <c r="F55">
        <v>1</v>
      </c>
      <c r="G55">
        <v>1</v>
      </c>
      <c r="H55">
        <v>1</v>
      </c>
      <c r="I55" t="s">
        <v>495</v>
      </c>
      <c r="J55" t="s">
        <v>3</v>
      </c>
      <c r="K55" t="s">
        <v>496</v>
      </c>
      <c r="L55">
        <v>1191</v>
      </c>
      <c r="N55">
        <v>1013</v>
      </c>
      <c r="O55" t="s">
        <v>405</v>
      </c>
      <c r="P55" t="s">
        <v>405</v>
      </c>
      <c r="Q55">
        <v>1</v>
      </c>
      <c r="X55">
        <v>27.61</v>
      </c>
      <c r="Y55">
        <v>0</v>
      </c>
      <c r="Z55">
        <v>0</v>
      </c>
      <c r="AA55">
        <v>0</v>
      </c>
      <c r="AB55">
        <v>8.9700000000000006</v>
      </c>
      <c r="AC55">
        <v>0</v>
      </c>
      <c r="AD55">
        <v>1</v>
      </c>
      <c r="AE55">
        <v>1</v>
      </c>
      <c r="AF55" t="s">
        <v>3</v>
      </c>
      <c r="AG55">
        <v>27.61</v>
      </c>
      <c r="AH55">
        <v>2</v>
      </c>
      <c r="AI55">
        <v>39614023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ROW(Source!A30)</f>
        <v>30</v>
      </c>
      <c r="B56">
        <v>39614024</v>
      </c>
      <c r="C56">
        <v>39614022</v>
      </c>
      <c r="D56">
        <v>36883883</v>
      </c>
      <c r="E56">
        <v>1</v>
      </c>
      <c r="F56">
        <v>1</v>
      </c>
      <c r="G56">
        <v>1</v>
      </c>
      <c r="H56">
        <v>2</v>
      </c>
      <c r="I56" t="s">
        <v>497</v>
      </c>
      <c r="J56" t="s">
        <v>498</v>
      </c>
      <c r="K56" t="s">
        <v>499</v>
      </c>
      <c r="L56">
        <v>1368</v>
      </c>
      <c r="N56">
        <v>1011</v>
      </c>
      <c r="O56" t="s">
        <v>411</v>
      </c>
      <c r="P56" t="s">
        <v>411</v>
      </c>
      <c r="Q56">
        <v>1</v>
      </c>
      <c r="X56">
        <v>11.43</v>
      </c>
      <c r="Y56">
        <v>0</v>
      </c>
      <c r="Z56">
        <v>32.5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11.43</v>
      </c>
      <c r="AH56">
        <v>2</v>
      </c>
      <c r="AI56">
        <v>39614024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ROW(Source!A30)</f>
        <v>30</v>
      </c>
      <c r="B57">
        <v>39614025</v>
      </c>
      <c r="C57">
        <v>39614022</v>
      </c>
      <c r="D57">
        <v>36884481</v>
      </c>
      <c r="E57">
        <v>1</v>
      </c>
      <c r="F57">
        <v>1</v>
      </c>
      <c r="G57">
        <v>1</v>
      </c>
      <c r="H57">
        <v>2</v>
      </c>
      <c r="I57" t="s">
        <v>500</v>
      </c>
      <c r="J57" t="s">
        <v>501</v>
      </c>
      <c r="K57" t="s">
        <v>502</v>
      </c>
      <c r="L57">
        <v>1368</v>
      </c>
      <c r="N57">
        <v>1011</v>
      </c>
      <c r="O57" t="s">
        <v>411</v>
      </c>
      <c r="P57" t="s">
        <v>411</v>
      </c>
      <c r="Q57">
        <v>1</v>
      </c>
      <c r="X57">
        <v>22.86</v>
      </c>
      <c r="Y57">
        <v>0</v>
      </c>
      <c r="Z57">
        <v>1.53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22.86</v>
      </c>
      <c r="AH57">
        <v>2</v>
      </c>
      <c r="AI57">
        <v>39614025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ROW(Source!A31)</f>
        <v>31</v>
      </c>
      <c r="B58">
        <v>39614027</v>
      </c>
      <c r="C58">
        <v>39614026</v>
      </c>
      <c r="D58">
        <v>37066837</v>
      </c>
      <c r="E58">
        <v>1</v>
      </c>
      <c r="F58">
        <v>1</v>
      </c>
      <c r="G58">
        <v>1</v>
      </c>
      <c r="H58">
        <v>1</v>
      </c>
      <c r="I58" t="s">
        <v>503</v>
      </c>
      <c r="J58" t="s">
        <v>3</v>
      </c>
      <c r="K58" t="s">
        <v>504</v>
      </c>
      <c r="L58">
        <v>1191</v>
      </c>
      <c r="N58">
        <v>1013</v>
      </c>
      <c r="O58" t="s">
        <v>405</v>
      </c>
      <c r="P58" t="s">
        <v>405</v>
      </c>
      <c r="Q58">
        <v>1</v>
      </c>
      <c r="X58">
        <v>7.08</v>
      </c>
      <c r="Y58">
        <v>0</v>
      </c>
      <c r="Z58">
        <v>0</v>
      </c>
      <c r="AA58">
        <v>0</v>
      </c>
      <c r="AB58">
        <v>8.31</v>
      </c>
      <c r="AC58">
        <v>0</v>
      </c>
      <c r="AD58">
        <v>1</v>
      </c>
      <c r="AE58">
        <v>1</v>
      </c>
      <c r="AF58" t="s">
        <v>68</v>
      </c>
      <c r="AG58">
        <v>8.1419999999999995</v>
      </c>
      <c r="AH58">
        <v>2</v>
      </c>
      <c r="AI58">
        <v>39614027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ROW(Source!A31)</f>
        <v>31</v>
      </c>
      <c r="B59">
        <v>39614028</v>
      </c>
      <c r="C59">
        <v>39614026</v>
      </c>
      <c r="D59">
        <v>37064876</v>
      </c>
      <c r="E59">
        <v>1</v>
      </c>
      <c r="F59">
        <v>1</v>
      </c>
      <c r="G59">
        <v>1</v>
      </c>
      <c r="H59">
        <v>1</v>
      </c>
      <c r="I59" t="s">
        <v>406</v>
      </c>
      <c r="J59" t="s">
        <v>3</v>
      </c>
      <c r="K59" t="s">
        <v>407</v>
      </c>
      <c r="L59">
        <v>1191</v>
      </c>
      <c r="N59">
        <v>1013</v>
      </c>
      <c r="O59" t="s">
        <v>405</v>
      </c>
      <c r="P59" t="s">
        <v>405</v>
      </c>
      <c r="Q59">
        <v>1</v>
      </c>
      <c r="X59">
        <v>0.36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67</v>
      </c>
      <c r="AG59">
        <v>0.44999999999999996</v>
      </c>
      <c r="AH59">
        <v>2</v>
      </c>
      <c r="AI59">
        <v>39614028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ROW(Source!A31)</f>
        <v>31</v>
      </c>
      <c r="B60">
        <v>39614029</v>
      </c>
      <c r="C60">
        <v>39614026</v>
      </c>
      <c r="D60">
        <v>36882057</v>
      </c>
      <c r="E60">
        <v>1</v>
      </c>
      <c r="F60">
        <v>1</v>
      </c>
      <c r="G60">
        <v>1</v>
      </c>
      <c r="H60">
        <v>2</v>
      </c>
      <c r="I60" t="s">
        <v>505</v>
      </c>
      <c r="J60" t="s">
        <v>506</v>
      </c>
      <c r="K60" t="s">
        <v>507</v>
      </c>
      <c r="L60">
        <v>1368</v>
      </c>
      <c r="N60">
        <v>1011</v>
      </c>
      <c r="O60" t="s">
        <v>411</v>
      </c>
      <c r="P60" t="s">
        <v>411</v>
      </c>
      <c r="Q60">
        <v>1</v>
      </c>
      <c r="X60">
        <v>0.36</v>
      </c>
      <c r="Y60">
        <v>0</v>
      </c>
      <c r="Z60">
        <v>86.4</v>
      </c>
      <c r="AA60">
        <v>13.5</v>
      </c>
      <c r="AB60">
        <v>0</v>
      </c>
      <c r="AC60">
        <v>0</v>
      </c>
      <c r="AD60">
        <v>1</v>
      </c>
      <c r="AE60">
        <v>0</v>
      </c>
      <c r="AF60" t="s">
        <v>67</v>
      </c>
      <c r="AG60">
        <v>0.44999999999999996</v>
      </c>
      <c r="AH60">
        <v>2</v>
      </c>
      <c r="AI60">
        <v>39614029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ROW(Source!A31)</f>
        <v>31</v>
      </c>
      <c r="B61">
        <v>39614030</v>
      </c>
      <c r="C61">
        <v>39614026</v>
      </c>
      <c r="D61">
        <v>36801792</v>
      </c>
      <c r="E61">
        <v>1</v>
      </c>
      <c r="F61">
        <v>1</v>
      </c>
      <c r="G61">
        <v>1</v>
      </c>
      <c r="H61">
        <v>3</v>
      </c>
      <c r="I61" t="s">
        <v>508</v>
      </c>
      <c r="J61" t="s">
        <v>509</v>
      </c>
      <c r="K61" t="s">
        <v>510</v>
      </c>
      <c r="L61">
        <v>1339</v>
      </c>
      <c r="N61">
        <v>1007</v>
      </c>
      <c r="O61" t="s">
        <v>58</v>
      </c>
      <c r="P61" t="s">
        <v>58</v>
      </c>
      <c r="Q61">
        <v>1</v>
      </c>
      <c r="X61">
        <v>0.46</v>
      </c>
      <c r="Y61">
        <v>2.44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0.46</v>
      </c>
      <c r="AH61">
        <v>2</v>
      </c>
      <c r="AI61">
        <v>39614030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ROW(Source!A31)</f>
        <v>31</v>
      </c>
      <c r="B62">
        <v>39614031</v>
      </c>
      <c r="C62">
        <v>39614026</v>
      </c>
      <c r="D62">
        <v>36807340</v>
      </c>
      <c r="E62">
        <v>1</v>
      </c>
      <c r="F62">
        <v>1</v>
      </c>
      <c r="G62">
        <v>1</v>
      </c>
      <c r="H62">
        <v>3</v>
      </c>
      <c r="I62" t="s">
        <v>511</v>
      </c>
      <c r="J62" t="s">
        <v>512</v>
      </c>
      <c r="K62" t="s">
        <v>513</v>
      </c>
      <c r="L62">
        <v>1339</v>
      </c>
      <c r="N62">
        <v>1007</v>
      </c>
      <c r="O62" t="s">
        <v>58</v>
      </c>
      <c r="P62" t="s">
        <v>58</v>
      </c>
      <c r="Q62">
        <v>1</v>
      </c>
      <c r="X62">
        <v>0.221</v>
      </c>
      <c r="Y62">
        <v>485.9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0.221</v>
      </c>
      <c r="AH62">
        <v>2</v>
      </c>
      <c r="AI62">
        <v>39614031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ROW(Source!A31)</f>
        <v>31</v>
      </c>
      <c r="B63">
        <v>39614032</v>
      </c>
      <c r="C63">
        <v>39614026</v>
      </c>
      <c r="D63">
        <v>36796734</v>
      </c>
      <c r="E63">
        <v>17</v>
      </c>
      <c r="F63">
        <v>1</v>
      </c>
      <c r="G63">
        <v>1</v>
      </c>
      <c r="H63">
        <v>3</v>
      </c>
      <c r="I63" t="s">
        <v>73</v>
      </c>
      <c r="J63" t="s">
        <v>3</v>
      </c>
      <c r="K63" t="s">
        <v>74</v>
      </c>
      <c r="L63">
        <v>1356</v>
      </c>
      <c r="N63">
        <v>1010</v>
      </c>
      <c r="O63" t="s">
        <v>75</v>
      </c>
      <c r="P63" t="s">
        <v>75</v>
      </c>
      <c r="Q63">
        <v>1000</v>
      </c>
      <c r="X63">
        <v>0.4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3</v>
      </c>
      <c r="AG63">
        <v>0.4</v>
      </c>
      <c r="AH63">
        <v>2</v>
      </c>
      <c r="AI63">
        <v>39614032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ROW(Source!A31)</f>
        <v>31</v>
      </c>
      <c r="B64">
        <v>39614033</v>
      </c>
      <c r="C64">
        <v>39614026</v>
      </c>
      <c r="D64">
        <v>36824289</v>
      </c>
      <c r="E64">
        <v>1</v>
      </c>
      <c r="F64">
        <v>1</v>
      </c>
      <c r="G64">
        <v>1</v>
      </c>
      <c r="H64">
        <v>3</v>
      </c>
      <c r="I64" t="s">
        <v>514</v>
      </c>
      <c r="J64" t="s">
        <v>515</v>
      </c>
      <c r="K64" t="s">
        <v>516</v>
      </c>
      <c r="L64">
        <v>1348</v>
      </c>
      <c r="N64">
        <v>1009</v>
      </c>
      <c r="O64" t="s">
        <v>237</v>
      </c>
      <c r="P64" t="s">
        <v>237</v>
      </c>
      <c r="Q64">
        <v>1000</v>
      </c>
      <c r="X64">
        <v>2.3E-3</v>
      </c>
      <c r="Y64">
        <v>5989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2.3E-3</v>
      </c>
      <c r="AH64">
        <v>2</v>
      </c>
      <c r="AI64">
        <v>39614033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ROW(Source!A33)</f>
        <v>33</v>
      </c>
      <c r="B65">
        <v>39614202</v>
      </c>
      <c r="C65">
        <v>39614201</v>
      </c>
      <c r="D65">
        <v>37064878</v>
      </c>
      <c r="E65">
        <v>1</v>
      </c>
      <c r="F65">
        <v>1</v>
      </c>
      <c r="G65">
        <v>1</v>
      </c>
      <c r="H65">
        <v>1</v>
      </c>
      <c r="I65" t="s">
        <v>517</v>
      </c>
      <c r="J65" t="s">
        <v>3</v>
      </c>
      <c r="K65" t="s">
        <v>518</v>
      </c>
      <c r="L65">
        <v>1191</v>
      </c>
      <c r="N65">
        <v>1013</v>
      </c>
      <c r="O65" t="s">
        <v>405</v>
      </c>
      <c r="P65" t="s">
        <v>405</v>
      </c>
      <c r="Q65">
        <v>1</v>
      </c>
      <c r="X65">
        <v>107.63</v>
      </c>
      <c r="Y65">
        <v>0</v>
      </c>
      <c r="Z65">
        <v>0</v>
      </c>
      <c r="AA65">
        <v>0</v>
      </c>
      <c r="AB65">
        <v>9.4</v>
      </c>
      <c r="AC65">
        <v>0</v>
      </c>
      <c r="AD65">
        <v>1</v>
      </c>
      <c r="AE65">
        <v>1</v>
      </c>
      <c r="AF65" t="s">
        <v>68</v>
      </c>
      <c r="AG65">
        <v>123.77449999999999</v>
      </c>
      <c r="AH65">
        <v>2</v>
      </c>
      <c r="AI65">
        <v>39614202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ROW(Source!A33)</f>
        <v>33</v>
      </c>
      <c r="B66">
        <v>39614203</v>
      </c>
      <c r="C66">
        <v>39614201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406</v>
      </c>
      <c r="J66" t="s">
        <v>3</v>
      </c>
      <c r="K66" t="s">
        <v>407</v>
      </c>
      <c r="L66">
        <v>1191</v>
      </c>
      <c r="N66">
        <v>1013</v>
      </c>
      <c r="O66" t="s">
        <v>405</v>
      </c>
      <c r="P66" t="s">
        <v>405</v>
      </c>
      <c r="Q66">
        <v>1</v>
      </c>
      <c r="X66">
        <v>53.17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67</v>
      </c>
      <c r="AG66">
        <v>66.462500000000006</v>
      </c>
      <c r="AH66">
        <v>2</v>
      </c>
      <c r="AI66">
        <v>39614203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ROW(Source!A33)</f>
        <v>33</v>
      </c>
      <c r="B67">
        <v>39614204</v>
      </c>
      <c r="C67">
        <v>39614201</v>
      </c>
      <c r="D67">
        <v>36882180</v>
      </c>
      <c r="E67">
        <v>1</v>
      </c>
      <c r="F67">
        <v>1</v>
      </c>
      <c r="G67">
        <v>1</v>
      </c>
      <c r="H67">
        <v>2</v>
      </c>
      <c r="I67" t="s">
        <v>519</v>
      </c>
      <c r="J67" t="s">
        <v>520</v>
      </c>
      <c r="K67" t="s">
        <v>521</v>
      </c>
      <c r="L67">
        <v>1368</v>
      </c>
      <c r="N67">
        <v>1011</v>
      </c>
      <c r="O67" t="s">
        <v>411</v>
      </c>
      <c r="P67" t="s">
        <v>411</v>
      </c>
      <c r="Q67">
        <v>1</v>
      </c>
      <c r="X67">
        <v>53.17</v>
      </c>
      <c r="Y67">
        <v>0</v>
      </c>
      <c r="Z67">
        <v>96.89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67</v>
      </c>
      <c r="AG67">
        <v>66.462500000000006</v>
      </c>
      <c r="AH67">
        <v>2</v>
      </c>
      <c r="AI67">
        <v>39614204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ROW(Source!A33)</f>
        <v>33</v>
      </c>
      <c r="B68">
        <v>39614205</v>
      </c>
      <c r="C68">
        <v>39614201</v>
      </c>
      <c r="D68">
        <v>36807340</v>
      </c>
      <c r="E68">
        <v>1</v>
      </c>
      <c r="F68">
        <v>1</v>
      </c>
      <c r="G68">
        <v>1</v>
      </c>
      <c r="H68">
        <v>3</v>
      </c>
      <c r="I68" t="s">
        <v>511</v>
      </c>
      <c r="J68" t="s">
        <v>512</v>
      </c>
      <c r="K68" t="s">
        <v>513</v>
      </c>
      <c r="L68">
        <v>1339</v>
      </c>
      <c r="N68">
        <v>1007</v>
      </c>
      <c r="O68" t="s">
        <v>58</v>
      </c>
      <c r="P68" t="s">
        <v>58</v>
      </c>
      <c r="Q68">
        <v>1</v>
      </c>
      <c r="X68">
        <v>0.26</v>
      </c>
      <c r="Y68">
        <v>485.9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0.26</v>
      </c>
      <c r="AH68">
        <v>2</v>
      </c>
      <c r="AI68">
        <v>39614205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ROW(Source!A33)</f>
        <v>33</v>
      </c>
      <c r="B69">
        <v>39614206</v>
      </c>
      <c r="C69">
        <v>39614201</v>
      </c>
      <c r="D69">
        <v>36796591</v>
      </c>
      <c r="E69">
        <v>17</v>
      </c>
      <c r="F69">
        <v>1</v>
      </c>
      <c r="G69">
        <v>1</v>
      </c>
      <c r="H69">
        <v>3</v>
      </c>
      <c r="I69" t="s">
        <v>89</v>
      </c>
      <c r="J69" t="s">
        <v>3</v>
      </c>
      <c r="K69" t="s">
        <v>90</v>
      </c>
      <c r="L69">
        <v>1354</v>
      </c>
      <c r="N69">
        <v>1010</v>
      </c>
      <c r="O69" t="s">
        <v>86</v>
      </c>
      <c r="P69" t="s">
        <v>86</v>
      </c>
      <c r="Q69">
        <v>1</v>
      </c>
      <c r="X69">
        <v>100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 t="s">
        <v>3</v>
      </c>
      <c r="AG69">
        <v>100</v>
      </c>
      <c r="AH69">
        <v>2</v>
      </c>
      <c r="AI69">
        <v>39614206</v>
      </c>
      <c r="AJ69">
        <v>70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ROW(Source!A36)</f>
        <v>36</v>
      </c>
      <c r="B70">
        <v>39614036</v>
      </c>
      <c r="C70">
        <v>39614035</v>
      </c>
      <c r="D70">
        <v>37066739</v>
      </c>
      <c r="E70">
        <v>1</v>
      </c>
      <c r="F70">
        <v>1</v>
      </c>
      <c r="G70">
        <v>1</v>
      </c>
      <c r="H70">
        <v>1</v>
      </c>
      <c r="I70" t="s">
        <v>522</v>
      </c>
      <c r="J70" t="s">
        <v>3</v>
      </c>
      <c r="K70" t="s">
        <v>523</v>
      </c>
      <c r="L70">
        <v>1191</v>
      </c>
      <c r="N70">
        <v>1013</v>
      </c>
      <c r="O70" t="s">
        <v>405</v>
      </c>
      <c r="P70" t="s">
        <v>405</v>
      </c>
      <c r="Q70">
        <v>1</v>
      </c>
      <c r="X70">
        <v>441.28</v>
      </c>
      <c r="Y70">
        <v>0</v>
      </c>
      <c r="Z70">
        <v>0</v>
      </c>
      <c r="AA70">
        <v>0</v>
      </c>
      <c r="AB70">
        <v>8.4600000000000009</v>
      </c>
      <c r="AC70">
        <v>0</v>
      </c>
      <c r="AD70">
        <v>1</v>
      </c>
      <c r="AE70">
        <v>1</v>
      </c>
      <c r="AF70" t="s">
        <v>68</v>
      </c>
      <c r="AG70">
        <v>507.47199999999992</v>
      </c>
      <c r="AH70">
        <v>2</v>
      </c>
      <c r="AI70">
        <v>39614036</v>
      </c>
      <c r="AJ70">
        <v>71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ROW(Source!A36)</f>
        <v>36</v>
      </c>
      <c r="B71">
        <v>39614037</v>
      </c>
      <c r="C71">
        <v>39614035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406</v>
      </c>
      <c r="J71" t="s">
        <v>3</v>
      </c>
      <c r="K71" t="s">
        <v>407</v>
      </c>
      <c r="L71">
        <v>1191</v>
      </c>
      <c r="N71">
        <v>1013</v>
      </c>
      <c r="O71" t="s">
        <v>405</v>
      </c>
      <c r="P71" t="s">
        <v>405</v>
      </c>
      <c r="Q71">
        <v>1</v>
      </c>
      <c r="X71">
        <v>36.11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67</v>
      </c>
      <c r="AG71">
        <v>45.137500000000003</v>
      </c>
      <c r="AH71">
        <v>2</v>
      </c>
      <c r="AI71">
        <v>39614037</v>
      </c>
      <c r="AJ71">
        <v>72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ROW(Source!A36)</f>
        <v>36</v>
      </c>
      <c r="B72">
        <v>39614038</v>
      </c>
      <c r="C72">
        <v>39614035</v>
      </c>
      <c r="D72">
        <v>36882159</v>
      </c>
      <c r="E72">
        <v>1</v>
      </c>
      <c r="F72">
        <v>1</v>
      </c>
      <c r="G72">
        <v>1</v>
      </c>
      <c r="H72">
        <v>2</v>
      </c>
      <c r="I72" t="s">
        <v>408</v>
      </c>
      <c r="J72" t="s">
        <v>409</v>
      </c>
      <c r="K72" t="s">
        <v>410</v>
      </c>
      <c r="L72">
        <v>1368</v>
      </c>
      <c r="N72">
        <v>1011</v>
      </c>
      <c r="O72" t="s">
        <v>411</v>
      </c>
      <c r="P72" t="s">
        <v>411</v>
      </c>
      <c r="Q72">
        <v>1</v>
      </c>
      <c r="X72">
        <v>1.05</v>
      </c>
      <c r="Y72">
        <v>0</v>
      </c>
      <c r="Z72">
        <v>111.99</v>
      </c>
      <c r="AA72">
        <v>13.5</v>
      </c>
      <c r="AB72">
        <v>0</v>
      </c>
      <c r="AC72">
        <v>0</v>
      </c>
      <c r="AD72">
        <v>1</v>
      </c>
      <c r="AE72">
        <v>0</v>
      </c>
      <c r="AF72" t="s">
        <v>67</v>
      </c>
      <c r="AG72">
        <v>1.3125</v>
      </c>
      <c r="AH72">
        <v>2</v>
      </c>
      <c r="AI72">
        <v>39614038</v>
      </c>
      <c r="AJ72">
        <v>73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ROW(Source!A36)</f>
        <v>36</v>
      </c>
      <c r="B73">
        <v>39614039</v>
      </c>
      <c r="C73">
        <v>39614035</v>
      </c>
      <c r="D73">
        <v>36882180</v>
      </c>
      <c r="E73">
        <v>1</v>
      </c>
      <c r="F73">
        <v>1</v>
      </c>
      <c r="G73">
        <v>1</v>
      </c>
      <c r="H73">
        <v>2</v>
      </c>
      <c r="I73" t="s">
        <v>519</v>
      </c>
      <c r="J73" t="s">
        <v>520</v>
      </c>
      <c r="K73" t="s">
        <v>521</v>
      </c>
      <c r="L73">
        <v>1368</v>
      </c>
      <c r="N73">
        <v>1011</v>
      </c>
      <c r="O73" t="s">
        <v>411</v>
      </c>
      <c r="P73" t="s">
        <v>411</v>
      </c>
      <c r="Q73">
        <v>1</v>
      </c>
      <c r="X73">
        <v>33.26</v>
      </c>
      <c r="Y73">
        <v>0</v>
      </c>
      <c r="Z73">
        <v>96.89</v>
      </c>
      <c r="AA73">
        <v>13.5</v>
      </c>
      <c r="AB73">
        <v>0</v>
      </c>
      <c r="AC73">
        <v>0</v>
      </c>
      <c r="AD73">
        <v>1</v>
      </c>
      <c r="AE73">
        <v>0</v>
      </c>
      <c r="AF73" t="s">
        <v>67</v>
      </c>
      <c r="AG73">
        <v>41.574999999999996</v>
      </c>
      <c r="AH73">
        <v>2</v>
      </c>
      <c r="AI73">
        <v>39614039</v>
      </c>
      <c r="AJ73">
        <v>74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ROW(Source!A36)</f>
        <v>36</v>
      </c>
      <c r="B74">
        <v>39614040</v>
      </c>
      <c r="C74">
        <v>39614035</v>
      </c>
      <c r="D74">
        <v>36882383</v>
      </c>
      <c r="E74">
        <v>1</v>
      </c>
      <c r="F74">
        <v>1</v>
      </c>
      <c r="G74">
        <v>1</v>
      </c>
      <c r="H74">
        <v>2</v>
      </c>
      <c r="I74" t="s">
        <v>524</v>
      </c>
      <c r="J74" t="s">
        <v>525</v>
      </c>
      <c r="K74" t="s">
        <v>526</v>
      </c>
      <c r="L74">
        <v>1368</v>
      </c>
      <c r="N74">
        <v>1011</v>
      </c>
      <c r="O74" t="s">
        <v>411</v>
      </c>
      <c r="P74" t="s">
        <v>411</v>
      </c>
      <c r="Q74">
        <v>1</v>
      </c>
      <c r="X74">
        <v>0.27</v>
      </c>
      <c r="Y74">
        <v>0</v>
      </c>
      <c r="Z74">
        <v>89.99</v>
      </c>
      <c r="AA74">
        <v>10.06</v>
      </c>
      <c r="AB74">
        <v>0</v>
      </c>
      <c r="AC74">
        <v>0</v>
      </c>
      <c r="AD74">
        <v>1</v>
      </c>
      <c r="AE74">
        <v>0</v>
      </c>
      <c r="AF74" t="s">
        <v>67</v>
      </c>
      <c r="AG74">
        <v>0.33750000000000002</v>
      </c>
      <c r="AH74">
        <v>2</v>
      </c>
      <c r="AI74">
        <v>39614040</v>
      </c>
      <c r="AJ74">
        <v>75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ROW(Source!A36)</f>
        <v>36</v>
      </c>
      <c r="B75">
        <v>39614041</v>
      </c>
      <c r="C75">
        <v>39614035</v>
      </c>
      <c r="D75">
        <v>36882567</v>
      </c>
      <c r="E75">
        <v>1</v>
      </c>
      <c r="F75">
        <v>1</v>
      </c>
      <c r="G75">
        <v>1</v>
      </c>
      <c r="H75">
        <v>2</v>
      </c>
      <c r="I75" t="s">
        <v>527</v>
      </c>
      <c r="J75" t="s">
        <v>528</v>
      </c>
      <c r="K75" t="s">
        <v>529</v>
      </c>
      <c r="L75">
        <v>1368</v>
      </c>
      <c r="N75">
        <v>1011</v>
      </c>
      <c r="O75" t="s">
        <v>411</v>
      </c>
      <c r="P75" t="s">
        <v>411</v>
      </c>
      <c r="Q75">
        <v>1</v>
      </c>
      <c r="X75">
        <v>23.52</v>
      </c>
      <c r="Y75">
        <v>0</v>
      </c>
      <c r="Z75">
        <v>1.9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67</v>
      </c>
      <c r="AG75">
        <v>29.4</v>
      </c>
      <c r="AH75">
        <v>2</v>
      </c>
      <c r="AI75">
        <v>39614041</v>
      </c>
      <c r="AJ75">
        <v>76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ROW(Source!A36)</f>
        <v>36</v>
      </c>
      <c r="B76">
        <v>39614042</v>
      </c>
      <c r="C76">
        <v>39614035</v>
      </c>
      <c r="D76">
        <v>36883554</v>
      </c>
      <c r="E76">
        <v>1</v>
      </c>
      <c r="F76">
        <v>1</v>
      </c>
      <c r="G76">
        <v>1</v>
      </c>
      <c r="H76">
        <v>2</v>
      </c>
      <c r="I76" t="s">
        <v>412</v>
      </c>
      <c r="J76" t="s">
        <v>413</v>
      </c>
      <c r="K76" t="s">
        <v>414</v>
      </c>
      <c r="L76">
        <v>1368</v>
      </c>
      <c r="N76">
        <v>1011</v>
      </c>
      <c r="O76" t="s">
        <v>411</v>
      </c>
      <c r="P76" t="s">
        <v>411</v>
      </c>
      <c r="Q76">
        <v>1</v>
      </c>
      <c r="X76">
        <v>1.53</v>
      </c>
      <c r="Y76">
        <v>0</v>
      </c>
      <c r="Z76">
        <v>65.709999999999994</v>
      </c>
      <c r="AA76">
        <v>11.6</v>
      </c>
      <c r="AB76">
        <v>0</v>
      </c>
      <c r="AC76">
        <v>0</v>
      </c>
      <c r="AD76">
        <v>1</v>
      </c>
      <c r="AE76">
        <v>0</v>
      </c>
      <c r="AF76" t="s">
        <v>67</v>
      </c>
      <c r="AG76">
        <v>1.9125000000000001</v>
      </c>
      <c r="AH76">
        <v>2</v>
      </c>
      <c r="AI76">
        <v>39614042</v>
      </c>
      <c r="AJ76">
        <v>77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ROW(Source!A36)</f>
        <v>36</v>
      </c>
      <c r="B77">
        <v>39614043</v>
      </c>
      <c r="C77">
        <v>39614035</v>
      </c>
      <c r="D77">
        <v>36801792</v>
      </c>
      <c r="E77">
        <v>1</v>
      </c>
      <c r="F77">
        <v>1</v>
      </c>
      <c r="G77">
        <v>1</v>
      </c>
      <c r="H77">
        <v>3</v>
      </c>
      <c r="I77" t="s">
        <v>508</v>
      </c>
      <c r="J77" t="s">
        <v>509</v>
      </c>
      <c r="K77" t="s">
        <v>510</v>
      </c>
      <c r="L77">
        <v>1339</v>
      </c>
      <c r="N77">
        <v>1007</v>
      </c>
      <c r="O77" t="s">
        <v>58</v>
      </c>
      <c r="P77" t="s">
        <v>58</v>
      </c>
      <c r="Q77">
        <v>1</v>
      </c>
      <c r="X77">
        <v>1.75</v>
      </c>
      <c r="Y77">
        <v>2.44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1.75</v>
      </c>
      <c r="AH77">
        <v>2</v>
      </c>
      <c r="AI77">
        <v>39614043</v>
      </c>
      <c r="AJ77">
        <v>78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ROW(Source!A36)</f>
        <v>36</v>
      </c>
      <c r="B78">
        <v>39614044</v>
      </c>
      <c r="C78">
        <v>39614035</v>
      </c>
      <c r="D78">
        <v>36802304</v>
      </c>
      <c r="E78">
        <v>1</v>
      </c>
      <c r="F78">
        <v>1</v>
      </c>
      <c r="G78">
        <v>1</v>
      </c>
      <c r="H78">
        <v>3</v>
      </c>
      <c r="I78" t="s">
        <v>530</v>
      </c>
      <c r="J78" t="s">
        <v>531</v>
      </c>
      <c r="K78" t="s">
        <v>532</v>
      </c>
      <c r="L78">
        <v>1327</v>
      </c>
      <c r="N78">
        <v>1005</v>
      </c>
      <c r="O78" t="s">
        <v>533</v>
      </c>
      <c r="P78" t="s">
        <v>533</v>
      </c>
      <c r="Q78">
        <v>1</v>
      </c>
      <c r="X78">
        <v>5.6</v>
      </c>
      <c r="Y78">
        <v>3.62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5.6</v>
      </c>
      <c r="AH78">
        <v>2</v>
      </c>
      <c r="AI78">
        <v>39614044</v>
      </c>
      <c r="AJ78">
        <v>79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ROW(Source!A36)</f>
        <v>36</v>
      </c>
      <c r="B79">
        <v>39614045</v>
      </c>
      <c r="C79">
        <v>39614035</v>
      </c>
      <c r="D79">
        <v>36804545</v>
      </c>
      <c r="E79">
        <v>1</v>
      </c>
      <c r="F79">
        <v>1</v>
      </c>
      <c r="G79">
        <v>1</v>
      </c>
      <c r="H79">
        <v>3</v>
      </c>
      <c r="I79" t="s">
        <v>534</v>
      </c>
      <c r="J79" t="s">
        <v>535</v>
      </c>
      <c r="K79" t="s">
        <v>536</v>
      </c>
      <c r="L79">
        <v>1348</v>
      </c>
      <c r="N79">
        <v>1009</v>
      </c>
      <c r="O79" t="s">
        <v>237</v>
      </c>
      <c r="P79" t="s">
        <v>237</v>
      </c>
      <c r="Q79">
        <v>1000</v>
      </c>
      <c r="X79">
        <v>3.6999999999999998E-2</v>
      </c>
      <c r="Y79">
        <v>11978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3.6999999999999998E-2</v>
      </c>
      <c r="AH79">
        <v>2</v>
      </c>
      <c r="AI79">
        <v>39614045</v>
      </c>
      <c r="AJ79">
        <v>80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ROW(Source!A36)</f>
        <v>36</v>
      </c>
      <c r="B80">
        <v>39614046</v>
      </c>
      <c r="C80">
        <v>39614035</v>
      </c>
      <c r="D80">
        <v>36806520</v>
      </c>
      <c r="E80">
        <v>1</v>
      </c>
      <c r="F80">
        <v>1</v>
      </c>
      <c r="G80">
        <v>1</v>
      </c>
      <c r="H80">
        <v>3</v>
      </c>
      <c r="I80" t="s">
        <v>537</v>
      </c>
      <c r="J80" t="s">
        <v>538</v>
      </c>
      <c r="K80" t="s">
        <v>539</v>
      </c>
      <c r="L80">
        <v>1348</v>
      </c>
      <c r="N80">
        <v>1009</v>
      </c>
      <c r="O80" t="s">
        <v>237</v>
      </c>
      <c r="P80" t="s">
        <v>237</v>
      </c>
      <c r="Q80">
        <v>1000</v>
      </c>
      <c r="X80">
        <v>0.05</v>
      </c>
      <c r="Y80">
        <v>734.5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0.05</v>
      </c>
      <c r="AH80">
        <v>2</v>
      </c>
      <c r="AI80">
        <v>39614046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ROW(Source!A36)</f>
        <v>36</v>
      </c>
      <c r="B81">
        <v>39614047</v>
      </c>
      <c r="C81">
        <v>39614035</v>
      </c>
      <c r="D81">
        <v>36796108</v>
      </c>
      <c r="E81">
        <v>17</v>
      </c>
      <c r="F81">
        <v>1</v>
      </c>
      <c r="G81">
        <v>1</v>
      </c>
      <c r="H81">
        <v>3</v>
      </c>
      <c r="I81" t="s">
        <v>628</v>
      </c>
      <c r="J81" t="s">
        <v>3</v>
      </c>
      <c r="K81" t="s">
        <v>629</v>
      </c>
      <c r="L81">
        <v>1339</v>
      </c>
      <c r="N81">
        <v>1007</v>
      </c>
      <c r="O81" t="s">
        <v>58</v>
      </c>
      <c r="P81" t="s">
        <v>58</v>
      </c>
      <c r="Q81">
        <v>1</v>
      </c>
      <c r="X81">
        <v>102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102</v>
      </c>
      <c r="AH81">
        <v>3</v>
      </c>
      <c r="AI81">
        <v>-1</v>
      </c>
      <c r="AJ81" t="s">
        <v>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ROW(Source!A36)</f>
        <v>36</v>
      </c>
      <c r="B82">
        <v>39614048</v>
      </c>
      <c r="C82">
        <v>39614035</v>
      </c>
      <c r="D82">
        <v>36825646</v>
      </c>
      <c r="E82">
        <v>1</v>
      </c>
      <c r="F82">
        <v>1</v>
      </c>
      <c r="G82">
        <v>1</v>
      </c>
      <c r="H82">
        <v>3</v>
      </c>
      <c r="I82" t="s">
        <v>540</v>
      </c>
      <c r="J82" t="s">
        <v>541</v>
      </c>
      <c r="K82" t="s">
        <v>542</v>
      </c>
      <c r="L82">
        <v>1348</v>
      </c>
      <c r="N82">
        <v>1009</v>
      </c>
      <c r="O82" t="s">
        <v>237</v>
      </c>
      <c r="P82" t="s">
        <v>237</v>
      </c>
      <c r="Q82">
        <v>1000</v>
      </c>
      <c r="X82">
        <v>0.04</v>
      </c>
      <c r="Y82">
        <v>4455.2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0.04</v>
      </c>
      <c r="AH82">
        <v>2</v>
      </c>
      <c r="AI82">
        <v>39614048</v>
      </c>
      <c r="AJ82">
        <v>83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ROW(Source!A36)</f>
        <v>36</v>
      </c>
      <c r="B83">
        <v>39614049</v>
      </c>
      <c r="C83">
        <v>39614035</v>
      </c>
      <c r="D83">
        <v>36830220</v>
      </c>
      <c r="E83">
        <v>1</v>
      </c>
      <c r="F83">
        <v>1</v>
      </c>
      <c r="G83">
        <v>1</v>
      </c>
      <c r="H83">
        <v>3</v>
      </c>
      <c r="I83" t="s">
        <v>543</v>
      </c>
      <c r="J83" t="s">
        <v>544</v>
      </c>
      <c r="K83" t="s">
        <v>545</v>
      </c>
      <c r="L83">
        <v>1339</v>
      </c>
      <c r="N83">
        <v>1007</v>
      </c>
      <c r="O83" t="s">
        <v>58</v>
      </c>
      <c r="P83" t="s">
        <v>58</v>
      </c>
      <c r="Q83">
        <v>1</v>
      </c>
      <c r="X83">
        <v>0.69</v>
      </c>
      <c r="Y83">
        <v>558.33000000000004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0.69</v>
      </c>
      <c r="AH83">
        <v>2</v>
      </c>
      <c r="AI83">
        <v>39614049</v>
      </c>
      <c r="AJ83">
        <v>84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ROW(Source!A36)</f>
        <v>36</v>
      </c>
      <c r="B84">
        <v>39614050</v>
      </c>
      <c r="C84">
        <v>39614035</v>
      </c>
      <c r="D84">
        <v>36830315</v>
      </c>
      <c r="E84">
        <v>1</v>
      </c>
      <c r="F84">
        <v>1</v>
      </c>
      <c r="G84">
        <v>1</v>
      </c>
      <c r="H84">
        <v>3</v>
      </c>
      <c r="I84" t="s">
        <v>546</v>
      </c>
      <c r="J84" t="s">
        <v>547</v>
      </c>
      <c r="K84" t="s">
        <v>548</v>
      </c>
      <c r="L84">
        <v>1339</v>
      </c>
      <c r="N84">
        <v>1007</v>
      </c>
      <c r="O84" t="s">
        <v>58</v>
      </c>
      <c r="P84" t="s">
        <v>58</v>
      </c>
      <c r="Q84">
        <v>1</v>
      </c>
      <c r="X84">
        <v>0.08</v>
      </c>
      <c r="Y84">
        <v>1287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0.08</v>
      </c>
      <c r="AH84">
        <v>2</v>
      </c>
      <c r="AI84">
        <v>39614050</v>
      </c>
      <c r="AJ84">
        <v>85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ROW(Source!A36)</f>
        <v>36</v>
      </c>
      <c r="B85">
        <v>39614051</v>
      </c>
      <c r="C85">
        <v>39614035</v>
      </c>
      <c r="D85">
        <v>36830501</v>
      </c>
      <c r="E85">
        <v>1</v>
      </c>
      <c r="F85">
        <v>1</v>
      </c>
      <c r="G85">
        <v>1</v>
      </c>
      <c r="H85">
        <v>3</v>
      </c>
      <c r="I85" t="s">
        <v>549</v>
      </c>
      <c r="J85" t="s">
        <v>550</v>
      </c>
      <c r="K85" t="s">
        <v>551</v>
      </c>
      <c r="L85">
        <v>1339</v>
      </c>
      <c r="N85">
        <v>1007</v>
      </c>
      <c r="O85" t="s">
        <v>58</v>
      </c>
      <c r="P85" t="s">
        <v>58</v>
      </c>
      <c r="Q85">
        <v>1</v>
      </c>
      <c r="X85">
        <v>0.2</v>
      </c>
      <c r="Y85">
        <v>1100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0.2</v>
      </c>
      <c r="AH85">
        <v>2</v>
      </c>
      <c r="AI85">
        <v>39614051</v>
      </c>
      <c r="AJ85">
        <v>86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ROW(Source!A36)</f>
        <v>36</v>
      </c>
      <c r="B86">
        <v>39614052</v>
      </c>
      <c r="C86">
        <v>39614035</v>
      </c>
      <c r="D86">
        <v>36830509</v>
      </c>
      <c r="E86">
        <v>1</v>
      </c>
      <c r="F86">
        <v>1</v>
      </c>
      <c r="G86">
        <v>1</v>
      </c>
      <c r="H86">
        <v>3</v>
      </c>
      <c r="I86" t="s">
        <v>552</v>
      </c>
      <c r="J86" t="s">
        <v>553</v>
      </c>
      <c r="K86" t="s">
        <v>554</v>
      </c>
      <c r="L86">
        <v>1339</v>
      </c>
      <c r="N86">
        <v>1007</v>
      </c>
      <c r="O86" t="s">
        <v>58</v>
      </c>
      <c r="P86" t="s">
        <v>58</v>
      </c>
      <c r="Q86">
        <v>1</v>
      </c>
      <c r="X86">
        <v>0.69</v>
      </c>
      <c r="Y86">
        <v>1056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0.69</v>
      </c>
      <c r="AH86">
        <v>2</v>
      </c>
      <c r="AI86">
        <v>39614052</v>
      </c>
      <c r="AJ86">
        <v>87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ROW(Source!A36)</f>
        <v>36</v>
      </c>
      <c r="B87">
        <v>39614053</v>
      </c>
      <c r="C87">
        <v>39614035</v>
      </c>
      <c r="D87">
        <v>36831733</v>
      </c>
      <c r="E87">
        <v>1</v>
      </c>
      <c r="F87">
        <v>1</v>
      </c>
      <c r="G87">
        <v>1</v>
      </c>
      <c r="H87">
        <v>3</v>
      </c>
      <c r="I87" t="s">
        <v>555</v>
      </c>
      <c r="J87" t="s">
        <v>556</v>
      </c>
      <c r="K87" t="s">
        <v>557</v>
      </c>
      <c r="L87">
        <v>1327</v>
      </c>
      <c r="N87">
        <v>1005</v>
      </c>
      <c r="O87" t="s">
        <v>533</v>
      </c>
      <c r="P87" t="s">
        <v>533</v>
      </c>
      <c r="Q87">
        <v>1</v>
      </c>
      <c r="X87">
        <v>49.5</v>
      </c>
      <c r="Y87">
        <v>35.53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49.5</v>
      </c>
      <c r="AH87">
        <v>2</v>
      </c>
      <c r="AI87">
        <v>39614053</v>
      </c>
      <c r="AJ87">
        <v>88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ROW(Source!A38)</f>
        <v>38</v>
      </c>
      <c r="B88">
        <v>39610469</v>
      </c>
      <c r="C88">
        <v>39610468</v>
      </c>
      <c r="D88">
        <v>37080781</v>
      </c>
      <c r="E88">
        <v>1</v>
      </c>
      <c r="F88">
        <v>1</v>
      </c>
      <c r="G88">
        <v>1</v>
      </c>
      <c r="H88">
        <v>1</v>
      </c>
      <c r="I88" t="s">
        <v>558</v>
      </c>
      <c r="J88" t="s">
        <v>3</v>
      </c>
      <c r="K88" t="s">
        <v>559</v>
      </c>
      <c r="L88">
        <v>1191</v>
      </c>
      <c r="N88">
        <v>1013</v>
      </c>
      <c r="O88" t="s">
        <v>405</v>
      </c>
      <c r="P88" t="s">
        <v>405</v>
      </c>
      <c r="Q88">
        <v>1</v>
      </c>
      <c r="X88">
        <v>1.1200000000000001</v>
      </c>
      <c r="Y88">
        <v>0</v>
      </c>
      <c r="Z88">
        <v>0</v>
      </c>
      <c r="AA88">
        <v>0</v>
      </c>
      <c r="AB88">
        <v>9.92</v>
      </c>
      <c r="AC88">
        <v>0</v>
      </c>
      <c r="AD88">
        <v>1</v>
      </c>
      <c r="AE88">
        <v>1</v>
      </c>
      <c r="AF88" t="s">
        <v>3</v>
      </c>
      <c r="AG88">
        <v>1.1200000000000001</v>
      </c>
      <c r="AH88">
        <v>2</v>
      </c>
      <c r="AI88">
        <v>39610469</v>
      </c>
      <c r="AJ88">
        <v>89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ROW(Source!A38)</f>
        <v>38</v>
      </c>
      <c r="B89">
        <v>39610470</v>
      </c>
      <c r="C89">
        <v>39610468</v>
      </c>
      <c r="D89">
        <v>36804448</v>
      </c>
      <c r="E89">
        <v>1</v>
      </c>
      <c r="F89">
        <v>1</v>
      </c>
      <c r="G89">
        <v>1</v>
      </c>
      <c r="H89">
        <v>3</v>
      </c>
      <c r="I89" t="s">
        <v>425</v>
      </c>
      <c r="J89" t="s">
        <v>426</v>
      </c>
      <c r="K89" t="s">
        <v>427</v>
      </c>
      <c r="L89">
        <v>1346</v>
      </c>
      <c r="N89">
        <v>1009</v>
      </c>
      <c r="O89" t="s">
        <v>424</v>
      </c>
      <c r="P89" t="s">
        <v>424</v>
      </c>
      <c r="Q89">
        <v>1</v>
      </c>
      <c r="X89">
        <v>0.02</v>
      </c>
      <c r="Y89">
        <v>9.0399999999999991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0.02</v>
      </c>
      <c r="AH89">
        <v>2</v>
      </c>
      <c r="AI89">
        <v>39610470</v>
      </c>
      <c r="AJ89">
        <v>90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ROW(Source!A38)</f>
        <v>38</v>
      </c>
      <c r="B90">
        <v>39610471</v>
      </c>
      <c r="C90">
        <v>39610468</v>
      </c>
      <c r="D90">
        <v>36799065</v>
      </c>
      <c r="E90">
        <v>17</v>
      </c>
      <c r="F90">
        <v>1</v>
      </c>
      <c r="G90">
        <v>1</v>
      </c>
      <c r="H90">
        <v>3</v>
      </c>
      <c r="I90" t="s">
        <v>438</v>
      </c>
      <c r="J90" t="s">
        <v>3</v>
      </c>
      <c r="K90" t="s">
        <v>439</v>
      </c>
      <c r="L90">
        <v>1374</v>
      </c>
      <c r="N90">
        <v>1013</v>
      </c>
      <c r="O90" t="s">
        <v>440</v>
      </c>
      <c r="P90" t="s">
        <v>440</v>
      </c>
      <c r="Q90">
        <v>1</v>
      </c>
      <c r="X90">
        <v>0.22</v>
      </c>
      <c r="Y90">
        <v>1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0.22</v>
      </c>
      <c r="AH90">
        <v>2</v>
      </c>
      <c r="AI90">
        <v>39610471</v>
      </c>
      <c r="AJ90">
        <v>95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ROW(Source!A43)</f>
        <v>43</v>
      </c>
      <c r="B91">
        <v>39610473</v>
      </c>
      <c r="C91">
        <v>39610472</v>
      </c>
      <c r="D91">
        <v>37070202</v>
      </c>
      <c r="E91">
        <v>1</v>
      </c>
      <c r="F91">
        <v>1</v>
      </c>
      <c r="G91">
        <v>1</v>
      </c>
      <c r="H91">
        <v>1</v>
      </c>
      <c r="I91" t="s">
        <v>560</v>
      </c>
      <c r="J91" t="s">
        <v>3</v>
      </c>
      <c r="K91" t="s">
        <v>561</v>
      </c>
      <c r="L91">
        <v>1191</v>
      </c>
      <c r="N91">
        <v>1013</v>
      </c>
      <c r="O91" t="s">
        <v>405</v>
      </c>
      <c r="P91" t="s">
        <v>405</v>
      </c>
      <c r="Q91">
        <v>1</v>
      </c>
      <c r="X91">
        <v>1.56</v>
      </c>
      <c r="Y91">
        <v>0</v>
      </c>
      <c r="Z91">
        <v>0</v>
      </c>
      <c r="AA91">
        <v>0</v>
      </c>
      <c r="AB91">
        <v>9.51</v>
      </c>
      <c r="AC91">
        <v>0</v>
      </c>
      <c r="AD91">
        <v>1</v>
      </c>
      <c r="AE91">
        <v>1</v>
      </c>
      <c r="AF91" t="s">
        <v>3</v>
      </c>
      <c r="AG91">
        <v>1.56</v>
      </c>
      <c r="AH91">
        <v>2</v>
      </c>
      <c r="AI91">
        <v>39610473</v>
      </c>
      <c r="AJ91">
        <v>96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ROW(Source!A43)</f>
        <v>43</v>
      </c>
      <c r="B92">
        <v>39610474</v>
      </c>
      <c r="C92">
        <v>39610472</v>
      </c>
      <c r="D92">
        <v>36883858</v>
      </c>
      <c r="E92">
        <v>1</v>
      </c>
      <c r="F92">
        <v>1</v>
      </c>
      <c r="G92">
        <v>1</v>
      </c>
      <c r="H92">
        <v>2</v>
      </c>
      <c r="I92" t="s">
        <v>415</v>
      </c>
      <c r="J92" t="s">
        <v>416</v>
      </c>
      <c r="K92" t="s">
        <v>417</v>
      </c>
      <c r="L92">
        <v>1368</v>
      </c>
      <c r="N92">
        <v>1011</v>
      </c>
      <c r="O92" t="s">
        <v>411</v>
      </c>
      <c r="P92" t="s">
        <v>411</v>
      </c>
      <c r="Q92">
        <v>1</v>
      </c>
      <c r="X92">
        <v>0.13</v>
      </c>
      <c r="Y92">
        <v>0</v>
      </c>
      <c r="Z92">
        <v>8.1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0.13</v>
      </c>
      <c r="AH92">
        <v>2</v>
      </c>
      <c r="AI92">
        <v>39610474</v>
      </c>
      <c r="AJ92">
        <v>97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ROW(Source!A43)</f>
        <v>43</v>
      </c>
      <c r="B93">
        <v>39610475</v>
      </c>
      <c r="C93">
        <v>39610472</v>
      </c>
      <c r="D93">
        <v>36800043</v>
      </c>
      <c r="E93">
        <v>1</v>
      </c>
      <c r="F93">
        <v>1</v>
      </c>
      <c r="G93">
        <v>1</v>
      </c>
      <c r="H93">
        <v>3</v>
      </c>
      <c r="I93" t="s">
        <v>460</v>
      </c>
      <c r="J93" t="s">
        <v>461</v>
      </c>
      <c r="K93" t="s">
        <v>462</v>
      </c>
      <c r="L93">
        <v>1346</v>
      </c>
      <c r="N93">
        <v>1009</v>
      </c>
      <c r="O93" t="s">
        <v>424</v>
      </c>
      <c r="P93" t="s">
        <v>424</v>
      </c>
      <c r="Q93">
        <v>1</v>
      </c>
      <c r="X93">
        <v>6.0000000000000001E-3</v>
      </c>
      <c r="Y93">
        <v>44.97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6.0000000000000001E-3</v>
      </c>
      <c r="AH93">
        <v>2</v>
      </c>
      <c r="AI93">
        <v>39610475</v>
      </c>
      <c r="AJ93">
        <v>98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ROW(Source!A43)</f>
        <v>43</v>
      </c>
      <c r="B94">
        <v>39610476</v>
      </c>
      <c r="C94">
        <v>39610472</v>
      </c>
      <c r="D94">
        <v>36801775</v>
      </c>
      <c r="E94">
        <v>1</v>
      </c>
      <c r="F94">
        <v>1</v>
      </c>
      <c r="G94">
        <v>1</v>
      </c>
      <c r="H94">
        <v>3</v>
      </c>
      <c r="I94" t="s">
        <v>463</v>
      </c>
      <c r="J94" t="s">
        <v>464</v>
      </c>
      <c r="K94" t="s">
        <v>465</v>
      </c>
      <c r="L94">
        <v>1346</v>
      </c>
      <c r="N94">
        <v>1009</v>
      </c>
      <c r="O94" t="s">
        <v>424</v>
      </c>
      <c r="P94" t="s">
        <v>424</v>
      </c>
      <c r="Q94">
        <v>1</v>
      </c>
      <c r="X94">
        <v>1E-3</v>
      </c>
      <c r="Y94">
        <v>11.5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1E-3</v>
      </c>
      <c r="AH94">
        <v>2</v>
      </c>
      <c r="AI94">
        <v>39610476</v>
      </c>
      <c r="AJ94">
        <v>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ROW(Source!A43)</f>
        <v>43</v>
      </c>
      <c r="B95">
        <v>39610477</v>
      </c>
      <c r="C95">
        <v>39610472</v>
      </c>
      <c r="D95">
        <v>36802094</v>
      </c>
      <c r="E95">
        <v>1</v>
      </c>
      <c r="F95">
        <v>1</v>
      </c>
      <c r="G95">
        <v>1</v>
      </c>
      <c r="H95">
        <v>3</v>
      </c>
      <c r="I95" t="s">
        <v>466</v>
      </c>
      <c r="J95" t="s">
        <v>467</v>
      </c>
      <c r="K95" t="s">
        <v>468</v>
      </c>
      <c r="L95">
        <v>1346</v>
      </c>
      <c r="N95">
        <v>1009</v>
      </c>
      <c r="O95" t="s">
        <v>424</v>
      </c>
      <c r="P95" t="s">
        <v>424</v>
      </c>
      <c r="Q95">
        <v>1</v>
      </c>
      <c r="X95">
        <v>1.2E-2</v>
      </c>
      <c r="Y95">
        <v>30.4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1.2E-2</v>
      </c>
      <c r="AH95">
        <v>2</v>
      </c>
      <c r="AI95">
        <v>39610477</v>
      </c>
      <c r="AJ95">
        <v>100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ROW(Source!A43)</f>
        <v>43</v>
      </c>
      <c r="B96">
        <v>39610478</v>
      </c>
      <c r="C96">
        <v>39610472</v>
      </c>
      <c r="D96">
        <v>36803258</v>
      </c>
      <c r="E96">
        <v>1</v>
      </c>
      <c r="F96">
        <v>1</v>
      </c>
      <c r="G96">
        <v>1</v>
      </c>
      <c r="H96">
        <v>3</v>
      </c>
      <c r="I96" t="s">
        <v>421</v>
      </c>
      <c r="J96" t="s">
        <v>422</v>
      </c>
      <c r="K96" t="s">
        <v>423</v>
      </c>
      <c r="L96">
        <v>1346</v>
      </c>
      <c r="N96">
        <v>1009</v>
      </c>
      <c r="O96" t="s">
        <v>424</v>
      </c>
      <c r="P96" t="s">
        <v>424</v>
      </c>
      <c r="Q96">
        <v>1</v>
      </c>
      <c r="X96">
        <v>7.0000000000000007E-2</v>
      </c>
      <c r="Y96">
        <v>10.57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7.0000000000000007E-2</v>
      </c>
      <c r="AH96">
        <v>2</v>
      </c>
      <c r="AI96">
        <v>39610478</v>
      </c>
      <c r="AJ96">
        <v>101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ROW(Source!A43)</f>
        <v>43</v>
      </c>
      <c r="B97">
        <v>39610479</v>
      </c>
      <c r="C97">
        <v>39610472</v>
      </c>
      <c r="D97">
        <v>36804448</v>
      </c>
      <c r="E97">
        <v>1</v>
      </c>
      <c r="F97">
        <v>1</v>
      </c>
      <c r="G97">
        <v>1</v>
      </c>
      <c r="H97">
        <v>3</v>
      </c>
      <c r="I97" t="s">
        <v>425</v>
      </c>
      <c r="J97" t="s">
        <v>426</v>
      </c>
      <c r="K97" t="s">
        <v>427</v>
      </c>
      <c r="L97">
        <v>1346</v>
      </c>
      <c r="N97">
        <v>1009</v>
      </c>
      <c r="O97" t="s">
        <v>424</v>
      </c>
      <c r="P97" t="s">
        <v>424</v>
      </c>
      <c r="Q97">
        <v>1</v>
      </c>
      <c r="X97">
        <v>4.9000000000000002E-2</v>
      </c>
      <c r="Y97">
        <v>9.0399999999999991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4.9000000000000002E-2</v>
      </c>
      <c r="AH97">
        <v>2</v>
      </c>
      <c r="AI97">
        <v>39610479</v>
      </c>
      <c r="AJ97">
        <v>102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ROW(Source!A43)</f>
        <v>43</v>
      </c>
      <c r="B98">
        <v>39610480</v>
      </c>
      <c r="C98">
        <v>39610472</v>
      </c>
      <c r="D98">
        <v>36804580</v>
      </c>
      <c r="E98">
        <v>1</v>
      </c>
      <c r="F98">
        <v>1</v>
      </c>
      <c r="G98">
        <v>1</v>
      </c>
      <c r="H98">
        <v>3</v>
      </c>
      <c r="I98" t="s">
        <v>469</v>
      </c>
      <c r="J98" t="s">
        <v>470</v>
      </c>
      <c r="K98" t="s">
        <v>471</v>
      </c>
      <c r="L98">
        <v>1355</v>
      </c>
      <c r="N98">
        <v>1010</v>
      </c>
      <c r="O98" t="s">
        <v>148</v>
      </c>
      <c r="P98" t="s">
        <v>148</v>
      </c>
      <c r="Q98">
        <v>100</v>
      </c>
      <c r="X98">
        <v>1.4E-2</v>
      </c>
      <c r="Y98">
        <v>86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1.4E-2</v>
      </c>
      <c r="AH98">
        <v>2</v>
      </c>
      <c r="AI98">
        <v>39610480</v>
      </c>
      <c r="AJ98">
        <v>103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ROW(Source!A43)</f>
        <v>43</v>
      </c>
      <c r="B99">
        <v>39610481</v>
      </c>
      <c r="C99">
        <v>39610472</v>
      </c>
      <c r="D99">
        <v>36805500</v>
      </c>
      <c r="E99">
        <v>1</v>
      </c>
      <c r="F99">
        <v>1</v>
      </c>
      <c r="G99">
        <v>1</v>
      </c>
      <c r="H99">
        <v>3</v>
      </c>
      <c r="I99" t="s">
        <v>472</v>
      </c>
      <c r="J99" t="s">
        <v>473</v>
      </c>
      <c r="K99" t="s">
        <v>474</v>
      </c>
      <c r="L99">
        <v>1346</v>
      </c>
      <c r="N99">
        <v>1009</v>
      </c>
      <c r="O99" t="s">
        <v>424</v>
      </c>
      <c r="P99" t="s">
        <v>424</v>
      </c>
      <c r="Q99">
        <v>1</v>
      </c>
      <c r="X99">
        <v>1E-3</v>
      </c>
      <c r="Y99">
        <v>133.05000000000001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1E-3</v>
      </c>
      <c r="AH99">
        <v>2</v>
      </c>
      <c r="AI99">
        <v>39610481</v>
      </c>
      <c r="AJ99">
        <v>104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ROW(Source!A43)</f>
        <v>43</v>
      </c>
      <c r="B100">
        <v>39610482</v>
      </c>
      <c r="C100">
        <v>39610472</v>
      </c>
      <c r="D100">
        <v>36823140</v>
      </c>
      <c r="E100">
        <v>1</v>
      </c>
      <c r="F100">
        <v>1</v>
      </c>
      <c r="G100">
        <v>1</v>
      </c>
      <c r="H100">
        <v>3</v>
      </c>
      <c r="I100" t="s">
        <v>475</v>
      </c>
      <c r="J100" t="s">
        <v>476</v>
      </c>
      <c r="K100" t="s">
        <v>477</v>
      </c>
      <c r="L100">
        <v>1348</v>
      </c>
      <c r="N100">
        <v>1009</v>
      </c>
      <c r="O100" t="s">
        <v>237</v>
      </c>
      <c r="P100" t="s">
        <v>237</v>
      </c>
      <c r="Q100">
        <v>1000</v>
      </c>
      <c r="X100">
        <v>1E-3</v>
      </c>
      <c r="Y100">
        <v>11500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1E-3</v>
      </c>
      <c r="AH100">
        <v>2</v>
      </c>
      <c r="AI100">
        <v>39610482</v>
      </c>
      <c r="AJ100">
        <v>105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ROW(Source!A43)</f>
        <v>43</v>
      </c>
      <c r="B101">
        <v>39610483</v>
      </c>
      <c r="C101">
        <v>39610472</v>
      </c>
      <c r="D101">
        <v>36838317</v>
      </c>
      <c r="E101">
        <v>1</v>
      </c>
      <c r="F101">
        <v>1</v>
      </c>
      <c r="G101">
        <v>1</v>
      </c>
      <c r="H101">
        <v>3</v>
      </c>
      <c r="I101" t="s">
        <v>435</v>
      </c>
      <c r="J101" t="s">
        <v>436</v>
      </c>
      <c r="K101" t="s">
        <v>437</v>
      </c>
      <c r="L101">
        <v>1346</v>
      </c>
      <c r="N101">
        <v>1009</v>
      </c>
      <c r="O101" t="s">
        <v>424</v>
      </c>
      <c r="P101" t="s">
        <v>424</v>
      </c>
      <c r="Q101">
        <v>1</v>
      </c>
      <c r="X101">
        <v>3.5999999999999997E-2</v>
      </c>
      <c r="Y101">
        <v>28.6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</v>
      </c>
      <c r="AG101">
        <v>3.5999999999999997E-2</v>
      </c>
      <c r="AH101">
        <v>2</v>
      </c>
      <c r="AI101">
        <v>39610483</v>
      </c>
      <c r="AJ101">
        <v>106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ROW(Source!A43)</f>
        <v>43</v>
      </c>
      <c r="B102">
        <v>39610484</v>
      </c>
      <c r="C102">
        <v>39610472</v>
      </c>
      <c r="D102">
        <v>36838470</v>
      </c>
      <c r="E102">
        <v>1</v>
      </c>
      <c r="F102">
        <v>1</v>
      </c>
      <c r="G102">
        <v>1</v>
      </c>
      <c r="H102">
        <v>3</v>
      </c>
      <c r="I102" t="s">
        <v>478</v>
      </c>
      <c r="J102" t="s">
        <v>479</v>
      </c>
      <c r="K102" t="s">
        <v>480</v>
      </c>
      <c r="L102">
        <v>1346</v>
      </c>
      <c r="N102">
        <v>1009</v>
      </c>
      <c r="O102" t="s">
        <v>424</v>
      </c>
      <c r="P102" t="s">
        <v>424</v>
      </c>
      <c r="Q102">
        <v>1</v>
      </c>
      <c r="X102">
        <v>6.0000000000000001E-3</v>
      </c>
      <c r="Y102">
        <v>35.630000000000003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6.0000000000000001E-3</v>
      </c>
      <c r="AH102">
        <v>2</v>
      </c>
      <c r="AI102">
        <v>39610484</v>
      </c>
      <c r="AJ102">
        <v>107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ROW(Source!A43)</f>
        <v>43</v>
      </c>
      <c r="B103">
        <v>39610485</v>
      </c>
      <c r="C103">
        <v>39610472</v>
      </c>
      <c r="D103">
        <v>36851945</v>
      </c>
      <c r="E103">
        <v>1</v>
      </c>
      <c r="F103">
        <v>1</v>
      </c>
      <c r="G103">
        <v>1</v>
      </c>
      <c r="H103">
        <v>3</v>
      </c>
      <c r="I103" t="s">
        <v>481</v>
      </c>
      <c r="J103" t="s">
        <v>482</v>
      </c>
      <c r="K103" t="s">
        <v>483</v>
      </c>
      <c r="L103">
        <v>1358</v>
      </c>
      <c r="N103">
        <v>1010</v>
      </c>
      <c r="O103" t="s">
        <v>484</v>
      </c>
      <c r="P103" t="s">
        <v>484</v>
      </c>
      <c r="Q103">
        <v>10</v>
      </c>
      <c r="X103">
        <v>0.1</v>
      </c>
      <c r="Y103">
        <v>39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0.1</v>
      </c>
      <c r="AH103">
        <v>2</v>
      </c>
      <c r="AI103">
        <v>39610485</v>
      </c>
      <c r="AJ103">
        <v>108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ROW(Source!A43)</f>
        <v>43</v>
      </c>
      <c r="B104">
        <v>39610486</v>
      </c>
      <c r="C104">
        <v>39610472</v>
      </c>
      <c r="D104">
        <v>36799065</v>
      </c>
      <c r="E104">
        <v>17</v>
      </c>
      <c r="F104">
        <v>1</v>
      </c>
      <c r="G104">
        <v>1</v>
      </c>
      <c r="H104">
        <v>3</v>
      </c>
      <c r="I104" t="s">
        <v>438</v>
      </c>
      <c r="J104" t="s">
        <v>3</v>
      </c>
      <c r="K104" t="s">
        <v>439</v>
      </c>
      <c r="L104">
        <v>1374</v>
      </c>
      <c r="N104">
        <v>1013</v>
      </c>
      <c r="O104" t="s">
        <v>440</v>
      </c>
      <c r="P104" t="s">
        <v>440</v>
      </c>
      <c r="Q104">
        <v>1</v>
      </c>
      <c r="X104">
        <v>0.3</v>
      </c>
      <c r="Y104">
        <v>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0.3</v>
      </c>
      <c r="AH104">
        <v>2</v>
      </c>
      <c r="AI104">
        <v>39610486</v>
      </c>
      <c r="AJ104">
        <v>111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ROW(Source!A46)</f>
        <v>46</v>
      </c>
      <c r="B105">
        <v>39610763</v>
      </c>
      <c r="C105">
        <v>39610762</v>
      </c>
      <c r="D105">
        <v>37064878</v>
      </c>
      <c r="E105">
        <v>1</v>
      </c>
      <c r="F105">
        <v>1</v>
      </c>
      <c r="G105">
        <v>1</v>
      </c>
      <c r="H105">
        <v>1</v>
      </c>
      <c r="I105" t="s">
        <v>517</v>
      </c>
      <c r="J105" t="s">
        <v>3</v>
      </c>
      <c r="K105" t="s">
        <v>518</v>
      </c>
      <c r="L105">
        <v>1191</v>
      </c>
      <c r="N105">
        <v>1013</v>
      </c>
      <c r="O105" t="s">
        <v>405</v>
      </c>
      <c r="P105" t="s">
        <v>405</v>
      </c>
      <c r="Q105">
        <v>1</v>
      </c>
      <c r="X105">
        <v>2.31</v>
      </c>
      <c r="Y105">
        <v>0</v>
      </c>
      <c r="Z105">
        <v>0</v>
      </c>
      <c r="AA105">
        <v>0</v>
      </c>
      <c r="AB105">
        <v>9.4</v>
      </c>
      <c r="AC105">
        <v>0</v>
      </c>
      <c r="AD105">
        <v>1</v>
      </c>
      <c r="AE105">
        <v>1</v>
      </c>
      <c r="AF105" t="s">
        <v>3</v>
      </c>
      <c r="AG105">
        <v>2.31</v>
      </c>
      <c r="AH105">
        <v>2</v>
      </c>
      <c r="AI105">
        <v>39610763</v>
      </c>
      <c r="AJ105">
        <v>112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ROW(Source!A46)</f>
        <v>46</v>
      </c>
      <c r="B106">
        <v>39610764</v>
      </c>
      <c r="C106">
        <v>39610762</v>
      </c>
      <c r="D106">
        <v>37064876</v>
      </c>
      <c r="E106">
        <v>1</v>
      </c>
      <c r="F106">
        <v>1</v>
      </c>
      <c r="G106">
        <v>1</v>
      </c>
      <c r="H106">
        <v>1</v>
      </c>
      <c r="I106" t="s">
        <v>406</v>
      </c>
      <c r="J106" t="s">
        <v>3</v>
      </c>
      <c r="K106" t="s">
        <v>407</v>
      </c>
      <c r="L106">
        <v>1191</v>
      </c>
      <c r="N106">
        <v>1013</v>
      </c>
      <c r="O106" t="s">
        <v>405</v>
      </c>
      <c r="P106" t="s">
        <v>405</v>
      </c>
      <c r="Q106">
        <v>1</v>
      </c>
      <c r="X106">
        <v>0.04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3</v>
      </c>
      <c r="AG106">
        <v>0.04</v>
      </c>
      <c r="AH106">
        <v>2</v>
      </c>
      <c r="AI106">
        <v>39610764</v>
      </c>
      <c r="AJ106">
        <v>113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ROW(Source!A46)</f>
        <v>46</v>
      </c>
      <c r="B107">
        <v>39610765</v>
      </c>
      <c r="C107">
        <v>39610762</v>
      </c>
      <c r="D107">
        <v>36882159</v>
      </c>
      <c r="E107">
        <v>1</v>
      </c>
      <c r="F107">
        <v>1</v>
      </c>
      <c r="G107">
        <v>1</v>
      </c>
      <c r="H107">
        <v>2</v>
      </c>
      <c r="I107" t="s">
        <v>408</v>
      </c>
      <c r="J107" t="s">
        <v>409</v>
      </c>
      <c r="K107" t="s">
        <v>410</v>
      </c>
      <c r="L107">
        <v>1368</v>
      </c>
      <c r="N107">
        <v>1011</v>
      </c>
      <c r="O107" t="s">
        <v>411</v>
      </c>
      <c r="P107" t="s">
        <v>411</v>
      </c>
      <c r="Q107">
        <v>1</v>
      </c>
      <c r="X107">
        <v>0.02</v>
      </c>
      <c r="Y107">
        <v>0</v>
      </c>
      <c r="Z107">
        <v>111.99</v>
      </c>
      <c r="AA107">
        <v>13.5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0.02</v>
      </c>
      <c r="AH107">
        <v>2</v>
      </c>
      <c r="AI107">
        <v>39610765</v>
      </c>
      <c r="AJ107">
        <v>114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ROW(Source!A46)</f>
        <v>46</v>
      </c>
      <c r="B108">
        <v>39610766</v>
      </c>
      <c r="C108">
        <v>39610762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412</v>
      </c>
      <c r="J108" t="s">
        <v>413</v>
      </c>
      <c r="K108" t="s">
        <v>414</v>
      </c>
      <c r="L108">
        <v>1368</v>
      </c>
      <c r="N108">
        <v>1011</v>
      </c>
      <c r="O108" t="s">
        <v>411</v>
      </c>
      <c r="P108" t="s">
        <v>411</v>
      </c>
      <c r="Q108">
        <v>1</v>
      </c>
      <c r="X108">
        <v>0.02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0.02</v>
      </c>
      <c r="AH108">
        <v>2</v>
      </c>
      <c r="AI108">
        <v>39610766</v>
      </c>
      <c r="AJ108">
        <v>115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ROW(Source!A46)</f>
        <v>46</v>
      </c>
      <c r="B109">
        <v>39610767</v>
      </c>
      <c r="C109">
        <v>39610762</v>
      </c>
      <c r="D109">
        <v>36838317</v>
      </c>
      <c r="E109">
        <v>1</v>
      </c>
      <c r="F109">
        <v>1</v>
      </c>
      <c r="G109">
        <v>1</v>
      </c>
      <c r="H109">
        <v>3</v>
      </c>
      <c r="I109" t="s">
        <v>435</v>
      </c>
      <c r="J109" t="s">
        <v>436</v>
      </c>
      <c r="K109" t="s">
        <v>437</v>
      </c>
      <c r="L109">
        <v>1346</v>
      </c>
      <c r="N109">
        <v>1009</v>
      </c>
      <c r="O109" t="s">
        <v>424</v>
      </c>
      <c r="P109" t="s">
        <v>424</v>
      </c>
      <c r="Q109">
        <v>1</v>
      </c>
      <c r="X109">
        <v>4.0000000000000001E-3</v>
      </c>
      <c r="Y109">
        <v>28.6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4.0000000000000001E-3</v>
      </c>
      <c r="AH109">
        <v>2</v>
      </c>
      <c r="AI109">
        <v>39610767</v>
      </c>
      <c r="AJ109">
        <v>116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ROW(Source!A46)</f>
        <v>46</v>
      </c>
      <c r="B110">
        <v>39610768</v>
      </c>
      <c r="C110">
        <v>39610762</v>
      </c>
      <c r="D110">
        <v>36799065</v>
      </c>
      <c r="E110">
        <v>17</v>
      </c>
      <c r="F110">
        <v>1</v>
      </c>
      <c r="G110">
        <v>1</v>
      </c>
      <c r="H110">
        <v>3</v>
      </c>
      <c r="I110" t="s">
        <v>438</v>
      </c>
      <c r="J110" t="s">
        <v>3</v>
      </c>
      <c r="K110" t="s">
        <v>439</v>
      </c>
      <c r="L110">
        <v>1374</v>
      </c>
      <c r="N110">
        <v>1013</v>
      </c>
      <c r="O110" t="s">
        <v>440</v>
      </c>
      <c r="P110" t="s">
        <v>440</v>
      </c>
      <c r="Q110">
        <v>1</v>
      </c>
      <c r="X110">
        <v>0.43</v>
      </c>
      <c r="Y110">
        <v>1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0.43</v>
      </c>
      <c r="AH110">
        <v>2</v>
      </c>
      <c r="AI110">
        <v>39610768</v>
      </c>
      <c r="AJ110">
        <v>118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ROW(Source!A48)</f>
        <v>48</v>
      </c>
      <c r="B111">
        <v>39613938</v>
      </c>
      <c r="C111">
        <v>39613937</v>
      </c>
      <c r="D111">
        <v>37080781</v>
      </c>
      <c r="E111">
        <v>1</v>
      </c>
      <c r="F111">
        <v>1</v>
      </c>
      <c r="G111">
        <v>1</v>
      </c>
      <c r="H111">
        <v>1</v>
      </c>
      <c r="I111" t="s">
        <v>558</v>
      </c>
      <c r="J111" t="s">
        <v>3</v>
      </c>
      <c r="K111" t="s">
        <v>559</v>
      </c>
      <c r="L111">
        <v>1191</v>
      </c>
      <c r="N111">
        <v>1013</v>
      </c>
      <c r="O111" t="s">
        <v>405</v>
      </c>
      <c r="P111" t="s">
        <v>405</v>
      </c>
      <c r="Q111">
        <v>1</v>
      </c>
      <c r="X111">
        <v>34.56</v>
      </c>
      <c r="Y111">
        <v>0</v>
      </c>
      <c r="Z111">
        <v>0</v>
      </c>
      <c r="AA111">
        <v>0</v>
      </c>
      <c r="AB111">
        <v>9.92</v>
      </c>
      <c r="AC111">
        <v>0</v>
      </c>
      <c r="AD111">
        <v>1</v>
      </c>
      <c r="AE111">
        <v>1</v>
      </c>
      <c r="AF111" t="s">
        <v>3</v>
      </c>
      <c r="AG111">
        <v>34.56</v>
      </c>
      <c r="AH111">
        <v>2</v>
      </c>
      <c r="AI111">
        <v>39613938</v>
      </c>
      <c r="AJ111">
        <v>119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ROW(Source!A48)</f>
        <v>48</v>
      </c>
      <c r="B112">
        <v>39613939</v>
      </c>
      <c r="C112">
        <v>39613937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406</v>
      </c>
      <c r="J112" t="s">
        <v>3</v>
      </c>
      <c r="K112" t="s">
        <v>407</v>
      </c>
      <c r="L112">
        <v>1191</v>
      </c>
      <c r="N112">
        <v>1013</v>
      </c>
      <c r="O112" t="s">
        <v>405</v>
      </c>
      <c r="P112" t="s">
        <v>405</v>
      </c>
      <c r="Q112">
        <v>1</v>
      </c>
      <c r="X112">
        <v>0.05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3</v>
      </c>
      <c r="AG112">
        <v>0.05</v>
      </c>
      <c r="AH112">
        <v>2</v>
      </c>
      <c r="AI112">
        <v>39613939</v>
      </c>
      <c r="AJ112">
        <v>120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ROW(Source!A48)</f>
        <v>48</v>
      </c>
      <c r="B113">
        <v>39613940</v>
      </c>
      <c r="C113">
        <v>39613937</v>
      </c>
      <c r="D113">
        <v>36882159</v>
      </c>
      <c r="E113">
        <v>1</v>
      </c>
      <c r="F113">
        <v>1</v>
      </c>
      <c r="G113">
        <v>1</v>
      </c>
      <c r="H113">
        <v>2</v>
      </c>
      <c r="I113" t="s">
        <v>408</v>
      </c>
      <c r="J113" t="s">
        <v>409</v>
      </c>
      <c r="K113" t="s">
        <v>410</v>
      </c>
      <c r="L113">
        <v>1368</v>
      </c>
      <c r="N113">
        <v>1011</v>
      </c>
      <c r="O113" t="s">
        <v>411</v>
      </c>
      <c r="P113" t="s">
        <v>411</v>
      </c>
      <c r="Q113">
        <v>1</v>
      </c>
      <c r="X113">
        <v>0.03</v>
      </c>
      <c r="Y113">
        <v>0</v>
      </c>
      <c r="Z113">
        <v>111.99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0.03</v>
      </c>
      <c r="AH113">
        <v>2</v>
      </c>
      <c r="AI113">
        <v>39613940</v>
      </c>
      <c r="AJ113">
        <v>121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ROW(Source!A48)</f>
        <v>48</v>
      </c>
      <c r="B114">
        <v>39613941</v>
      </c>
      <c r="C114">
        <v>39613937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412</v>
      </c>
      <c r="J114" t="s">
        <v>413</v>
      </c>
      <c r="K114" t="s">
        <v>414</v>
      </c>
      <c r="L114">
        <v>1368</v>
      </c>
      <c r="N114">
        <v>1011</v>
      </c>
      <c r="O114" t="s">
        <v>411</v>
      </c>
      <c r="P114" t="s">
        <v>411</v>
      </c>
      <c r="Q114">
        <v>1</v>
      </c>
      <c r="X114">
        <v>0.02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0.02</v>
      </c>
      <c r="AH114">
        <v>2</v>
      </c>
      <c r="AI114">
        <v>39613941</v>
      </c>
      <c r="AJ114">
        <v>122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ROW(Source!A48)</f>
        <v>48</v>
      </c>
      <c r="B115">
        <v>39613942</v>
      </c>
      <c r="C115">
        <v>39613937</v>
      </c>
      <c r="D115">
        <v>36802094</v>
      </c>
      <c r="E115">
        <v>1</v>
      </c>
      <c r="F115">
        <v>1</v>
      </c>
      <c r="G115">
        <v>1</v>
      </c>
      <c r="H115">
        <v>3</v>
      </c>
      <c r="I115" t="s">
        <v>466</v>
      </c>
      <c r="J115" t="s">
        <v>467</v>
      </c>
      <c r="K115" t="s">
        <v>468</v>
      </c>
      <c r="L115">
        <v>1346</v>
      </c>
      <c r="N115">
        <v>1009</v>
      </c>
      <c r="O115" t="s">
        <v>424</v>
      </c>
      <c r="P115" t="s">
        <v>424</v>
      </c>
      <c r="Q115">
        <v>1</v>
      </c>
      <c r="X115">
        <v>0.11</v>
      </c>
      <c r="Y115">
        <v>30.4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0.11</v>
      </c>
      <c r="AH115">
        <v>2</v>
      </c>
      <c r="AI115">
        <v>39613942</v>
      </c>
      <c r="AJ115">
        <v>123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ROW(Source!A48)</f>
        <v>48</v>
      </c>
      <c r="B116">
        <v>39613943</v>
      </c>
      <c r="C116">
        <v>39613937</v>
      </c>
      <c r="D116">
        <v>36804580</v>
      </c>
      <c r="E116">
        <v>1</v>
      </c>
      <c r="F116">
        <v>1</v>
      </c>
      <c r="G116">
        <v>1</v>
      </c>
      <c r="H116">
        <v>3</v>
      </c>
      <c r="I116" t="s">
        <v>469</v>
      </c>
      <c r="J116" t="s">
        <v>470</v>
      </c>
      <c r="K116" t="s">
        <v>471</v>
      </c>
      <c r="L116">
        <v>1355</v>
      </c>
      <c r="N116">
        <v>1010</v>
      </c>
      <c r="O116" t="s">
        <v>148</v>
      </c>
      <c r="P116" t="s">
        <v>148</v>
      </c>
      <c r="Q116">
        <v>100</v>
      </c>
      <c r="X116">
        <v>1.02</v>
      </c>
      <c r="Y116">
        <v>86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1.02</v>
      </c>
      <c r="AH116">
        <v>2</v>
      </c>
      <c r="AI116">
        <v>39613943</v>
      </c>
      <c r="AJ116">
        <v>124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ROW(Source!A48)</f>
        <v>48</v>
      </c>
      <c r="B117">
        <v>39613944</v>
      </c>
      <c r="C117">
        <v>39613937</v>
      </c>
      <c r="D117">
        <v>36804940</v>
      </c>
      <c r="E117">
        <v>1</v>
      </c>
      <c r="F117">
        <v>1</v>
      </c>
      <c r="G117">
        <v>1</v>
      </c>
      <c r="H117">
        <v>3</v>
      </c>
      <c r="I117" t="s">
        <v>562</v>
      </c>
      <c r="J117" t="s">
        <v>563</v>
      </c>
      <c r="K117" t="s">
        <v>564</v>
      </c>
      <c r="L117">
        <v>1348</v>
      </c>
      <c r="N117">
        <v>1009</v>
      </c>
      <c r="O117" t="s">
        <v>237</v>
      </c>
      <c r="P117" t="s">
        <v>237</v>
      </c>
      <c r="Q117">
        <v>1000</v>
      </c>
      <c r="X117">
        <v>1.6000000000000001E-4</v>
      </c>
      <c r="Y117">
        <v>29800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1.6000000000000001E-4</v>
      </c>
      <c r="AH117">
        <v>2</v>
      </c>
      <c r="AI117">
        <v>39613944</v>
      </c>
      <c r="AJ117">
        <v>125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ROW(Source!A48)</f>
        <v>48</v>
      </c>
      <c r="B118">
        <v>39613945</v>
      </c>
      <c r="C118">
        <v>39613937</v>
      </c>
      <c r="D118">
        <v>36804944</v>
      </c>
      <c r="E118">
        <v>1</v>
      </c>
      <c r="F118">
        <v>1</v>
      </c>
      <c r="G118">
        <v>1</v>
      </c>
      <c r="H118">
        <v>3</v>
      </c>
      <c r="I118" t="s">
        <v>565</v>
      </c>
      <c r="J118" t="s">
        <v>566</v>
      </c>
      <c r="K118" t="s">
        <v>567</v>
      </c>
      <c r="L118">
        <v>1348</v>
      </c>
      <c r="N118">
        <v>1009</v>
      </c>
      <c r="O118" t="s">
        <v>237</v>
      </c>
      <c r="P118" t="s">
        <v>237</v>
      </c>
      <c r="Q118">
        <v>1000</v>
      </c>
      <c r="X118">
        <v>2.9999999999999997E-4</v>
      </c>
      <c r="Y118">
        <v>12430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2.9999999999999997E-4</v>
      </c>
      <c r="AH118">
        <v>2</v>
      </c>
      <c r="AI118">
        <v>39613945</v>
      </c>
      <c r="AJ118">
        <v>126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ROW(Source!A48)</f>
        <v>48</v>
      </c>
      <c r="B119">
        <v>39613946</v>
      </c>
      <c r="C119">
        <v>39613937</v>
      </c>
      <c r="D119">
        <v>36799065</v>
      </c>
      <c r="E119">
        <v>17</v>
      </c>
      <c r="F119">
        <v>1</v>
      </c>
      <c r="G119">
        <v>1</v>
      </c>
      <c r="H119">
        <v>3</v>
      </c>
      <c r="I119" t="s">
        <v>438</v>
      </c>
      <c r="J119" t="s">
        <v>3</v>
      </c>
      <c r="K119" t="s">
        <v>439</v>
      </c>
      <c r="L119">
        <v>1374</v>
      </c>
      <c r="N119">
        <v>1013</v>
      </c>
      <c r="O119" t="s">
        <v>440</v>
      </c>
      <c r="P119" t="s">
        <v>440</v>
      </c>
      <c r="Q119">
        <v>1</v>
      </c>
      <c r="X119">
        <v>6.86</v>
      </c>
      <c r="Y119">
        <v>1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6.86</v>
      </c>
      <c r="AH119">
        <v>2</v>
      </c>
      <c r="AI119">
        <v>39613946</v>
      </c>
      <c r="AJ119">
        <v>129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ROW(Source!A51)</f>
        <v>51</v>
      </c>
      <c r="B120">
        <v>39610519</v>
      </c>
      <c r="C120">
        <v>39610518</v>
      </c>
      <c r="D120">
        <v>37080781</v>
      </c>
      <c r="E120">
        <v>1</v>
      </c>
      <c r="F120">
        <v>1</v>
      </c>
      <c r="G120">
        <v>1</v>
      </c>
      <c r="H120">
        <v>1</v>
      </c>
      <c r="I120" t="s">
        <v>558</v>
      </c>
      <c r="J120" t="s">
        <v>3</v>
      </c>
      <c r="K120" t="s">
        <v>559</v>
      </c>
      <c r="L120">
        <v>1191</v>
      </c>
      <c r="N120">
        <v>1013</v>
      </c>
      <c r="O120" t="s">
        <v>405</v>
      </c>
      <c r="P120" t="s">
        <v>405</v>
      </c>
      <c r="Q120">
        <v>1</v>
      </c>
      <c r="X120">
        <v>50.08</v>
      </c>
      <c r="Y120">
        <v>0</v>
      </c>
      <c r="Z120">
        <v>0</v>
      </c>
      <c r="AA120">
        <v>0</v>
      </c>
      <c r="AB120">
        <v>9.92</v>
      </c>
      <c r="AC120">
        <v>0</v>
      </c>
      <c r="AD120">
        <v>1</v>
      </c>
      <c r="AE120">
        <v>1</v>
      </c>
      <c r="AF120" t="s">
        <v>3</v>
      </c>
      <c r="AG120">
        <v>50.08</v>
      </c>
      <c r="AH120">
        <v>2</v>
      </c>
      <c r="AI120">
        <v>39610519</v>
      </c>
      <c r="AJ120">
        <v>130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ROW(Source!A51)</f>
        <v>51</v>
      </c>
      <c r="B121">
        <v>39610520</v>
      </c>
      <c r="C121">
        <v>39610518</v>
      </c>
      <c r="D121">
        <v>37064876</v>
      </c>
      <c r="E121">
        <v>1</v>
      </c>
      <c r="F121">
        <v>1</v>
      </c>
      <c r="G121">
        <v>1</v>
      </c>
      <c r="H121">
        <v>1</v>
      </c>
      <c r="I121" t="s">
        <v>406</v>
      </c>
      <c r="J121" t="s">
        <v>3</v>
      </c>
      <c r="K121" t="s">
        <v>407</v>
      </c>
      <c r="L121">
        <v>1191</v>
      </c>
      <c r="N121">
        <v>1013</v>
      </c>
      <c r="O121" t="s">
        <v>405</v>
      </c>
      <c r="P121" t="s">
        <v>405</v>
      </c>
      <c r="Q121">
        <v>1</v>
      </c>
      <c r="X121">
        <v>0.12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2</v>
      </c>
      <c r="AF121" t="s">
        <v>3</v>
      </c>
      <c r="AG121">
        <v>0.12</v>
      </c>
      <c r="AH121">
        <v>2</v>
      </c>
      <c r="AI121">
        <v>39610520</v>
      </c>
      <c r="AJ121">
        <v>131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ROW(Source!A51)</f>
        <v>51</v>
      </c>
      <c r="B122">
        <v>39610521</v>
      </c>
      <c r="C122">
        <v>39610518</v>
      </c>
      <c r="D122">
        <v>36882159</v>
      </c>
      <c r="E122">
        <v>1</v>
      </c>
      <c r="F122">
        <v>1</v>
      </c>
      <c r="G122">
        <v>1</v>
      </c>
      <c r="H122">
        <v>2</v>
      </c>
      <c r="I122" t="s">
        <v>408</v>
      </c>
      <c r="J122" t="s">
        <v>409</v>
      </c>
      <c r="K122" t="s">
        <v>410</v>
      </c>
      <c r="L122">
        <v>1368</v>
      </c>
      <c r="N122">
        <v>1011</v>
      </c>
      <c r="O122" t="s">
        <v>411</v>
      </c>
      <c r="P122" t="s">
        <v>411</v>
      </c>
      <c r="Q122">
        <v>1</v>
      </c>
      <c r="X122">
        <v>0.06</v>
      </c>
      <c r="Y122">
        <v>0</v>
      </c>
      <c r="Z122">
        <v>111.99</v>
      </c>
      <c r="AA122">
        <v>13.5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0.06</v>
      </c>
      <c r="AH122">
        <v>2</v>
      </c>
      <c r="AI122">
        <v>39610521</v>
      </c>
      <c r="AJ122">
        <v>132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ROW(Source!A51)</f>
        <v>51</v>
      </c>
      <c r="B123">
        <v>39610522</v>
      </c>
      <c r="C123">
        <v>39610518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412</v>
      </c>
      <c r="J123" t="s">
        <v>413</v>
      </c>
      <c r="K123" t="s">
        <v>414</v>
      </c>
      <c r="L123">
        <v>1368</v>
      </c>
      <c r="N123">
        <v>1011</v>
      </c>
      <c r="O123" t="s">
        <v>411</v>
      </c>
      <c r="P123" t="s">
        <v>411</v>
      </c>
      <c r="Q123">
        <v>1</v>
      </c>
      <c r="X123">
        <v>0.06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0.06</v>
      </c>
      <c r="AH123">
        <v>2</v>
      </c>
      <c r="AI123">
        <v>39610522</v>
      </c>
      <c r="AJ123">
        <v>133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ROW(Source!A51)</f>
        <v>51</v>
      </c>
      <c r="B124">
        <v>39610523</v>
      </c>
      <c r="C124">
        <v>39610518</v>
      </c>
      <c r="D124">
        <v>36802094</v>
      </c>
      <c r="E124">
        <v>1</v>
      </c>
      <c r="F124">
        <v>1</v>
      </c>
      <c r="G124">
        <v>1</v>
      </c>
      <c r="H124">
        <v>3</v>
      </c>
      <c r="I124" t="s">
        <v>466</v>
      </c>
      <c r="J124" t="s">
        <v>467</v>
      </c>
      <c r="K124" t="s">
        <v>468</v>
      </c>
      <c r="L124">
        <v>1346</v>
      </c>
      <c r="N124">
        <v>1009</v>
      </c>
      <c r="O124" t="s">
        <v>424</v>
      </c>
      <c r="P124" t="s">
        <v>424</v>
      </c>
      <c r="Q124">
        <v>1</v>
      </c>
      <c r="X124">
        <v>0.31</v>
      </c>
      <c r="Y124">
        <v>30.4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0.31</v>
      </c>
      <c r="AH124">
        <v>2</v>
      </c>
      <c r="AI124">
        <v>39610523</v>
      </c>
      <c r="AJ124">
        <v>134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ROW(Source!A51)</f>
        <v>51</v>
      </c>
      <c r="B125">
        <v>39610524</v>
      </c>
      <c r="C125">
        <v>39610518</v>
      </c>
      <c r="D125">
        <v>36806488</v>
      </c>
      <c r="E125">
        <v>1</v>
      </c>
      <c r="F125">
        <v>1</v>
      </c>
      <c r="G125">
        <v>1</v>
      </c>
      <c r="H125">
        <v>3</v>
      </c>
      <c r="I125" t="s">
        <v>568</v>
      </c>
      <c r="J125" t="s">
        <v>569</v>
      </c>
      <c r="K125" t="s">
        <v>570</v>
      </c>
      <c r="L125">
        <v>1348</v>
      </c>
      <c r="N125">
        <v>1009</v>
      </c>
      <c r="O125" t="s">
        <v>237</v>
      </c>
      <c r="P125" t="s">
        <v>237</v>
      </c>
      <c r="Q125">
        <v>1000</v>
      </c>
      <c r="X125">
        <v>3.15E-3</v>
      </c>
      <c r="Y125">
        <v>729.98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3.15E-3</v>
      </c>
      <c r="AH125">
        <v>2</v>
      </c>
      <c r="AI125">
        <v>39610524</v>
      </c>
      <c r="AJ125">
        <v>135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ROW(Source!A51)</f>
        <v>51</v>
      </c>
      <c r="B126">
        <v>39610525</v>
      </c>
      <c r="C126">
        <v>39610518</v>
      </c>
      <c r="D126">
        <v>36855778</v>
      </c>
      <c r="E126">
        <v>1</v>
      </c>
      <c r="F126">
        <v>1</v>
      </c>
      <c r="G126">
        <v>1</v>
      </c>
      <c r="H126">
        <v>3</v>
      </c>
      <c r="I126" t="s">
        <v>571</v>
      </c>
      <c r="J126" t="s">
        <v>572</v>
      </c>
      <c r="K126" t="s">
        <v>573</v>
      </c>
      <c r="L126">
        <v>1355</v>
      </c>
      <c r="N126">
        <v>1010</v>
      </c>
      <c r="O126" t="s">
        <v>148</v>
      </c>
      <c r="P126" t="s">
        <v>148</v>
      </c>
      <c r="Q126">
        <v>100</v>
      </c>
      <c r="X126">
        <v>1.02</v>
      </c>
      <c r="Y126">
        <v>100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1.02</v>
      </c>
      <c r="AH126">
        <v>2</v>
      </c>
      <c r="AI126">
        <v>39610525</v>
      </c>
      <c r="AJ126">
        <v>137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ROW(Source!A51)</f>
        <v>51</v>
      </c>
      <c r="B127">
        <v>39610526</v>
      </c>
      <c r="C127">
        <v>39610518</v>
      </c>
      <c r="D127">
        <v>36867794</v>
      </c>
      <c r="E127">
        <v>1</v>
      </c>
      <c r="F127">
        <v>1</v>
      </c>
      <c r="G127">
        <v>1</v>
      </c>
      <c r="H127">
        <v>3</v>
      </c>
      <c r="I127" t="s">
        <v>574</v>
      </c>
      <c r="J127" t="s">
        <v>575</v>
      </c>
      <c r="K127" t="s">
        <v>576</v>
      </c>
      <c r="L127">
        <v>1346</v>
      </c>
      <c r="N127">
        <v>1009</v>
      </c>
      <c r="O127" t="s">
        <v>424</v>
      </c>
      <c r="P127" t="s">
        <v>424</v>
      </c>
      <c r="Q127">
        <v>1</v>
      </c>
      <c r="X127">
        <v>1.02</v>
      </c>
      <c r="Y127">
        <v>35.700000000000003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1.02</v>
      </c>
      <c r="AH127">
        <v>2</v>
      </c>
      <c r="AI127">
        <v>39610526</v>
      </c>
      <c r="AJ127">
        <v>138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ROW(Source!A51)</f>
        <v>51</v>
      </c>
      <c r="B128">
        <v>39610527</v>
      </c>
      <c r="C128">
        <v>39610518</v>
      </c>
      <c r="D128">
        <v>36799065</v>
      </c>
      <c r="E128">
        <v>17</v>
      </c>
      <c r="F128">
        <v>1</v>
      </c>
      <c r="G128">
        <v>1</v>
      </c>
      <c r="H128">
        <v>3</v>
      </c>
      <c r="I128" t="s">
        <v>438</v>
      </c>
      <c r="J128" t="s">
        <v>3</v>
      </c>
      <c r="K128" t="s">
        <v>439</v>
      </c>
      <c r="L128">
        <v>1374</v>
      </c>
      <c r="N128">
        <v>1013</v>
      </c>
      <c r="O128" t="s">
        <v>440</v>
      </c>
      <c r="P128" t="s">
        <v>440</v>
      </c>
      <c r="Q128">
        <v>1</v>
      </c>
      <c r="X128">
        <v>9.94</v>
      </c>
      <c r="Y128">
        <v>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9.94</v>
      </c>
      <c r="AH128">
        <v>2</v>
      </c>
      <c r="AI128">
        <v>39610527</v>
      </c>
      <c r="AJ128">
        <v>139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ROW(Source!A53)</f>
        <v>53</v>
      </c>
      <c r="B129">
        <v>39613995</v>
      </c>
      <c r="C129">
        <v>39613956</v>
      </c>
      <c r="D129">
        <v>37070164</v>
      </c>
      <c r="E129">
        <v>1</v>
      </c>
      <c r="F129">
        <v>1</v>
      </c>
      <c r="G129">
        <v>1</v>
      </c>
      <c r="H129">
        <v>1</v>
      </c>
      <c r="I129" t="s">
        <v>455</v>
      </c>
      <c r="J129" t="s">
        <v>3</v>
      </c>
      <c r="K129" t="s">
        <v>456</v>
      </c>
      <c r="L129">
        <v>1191</v>
      </c>
      <c r="N129">
        <v>1013</v>
      </c>
      <c r="O129" t="s">
        <v>405</v>
      </c>
      <c r="P129" t="s">
        <v>405</v>
      </c>
      <c r="Q129">
        <v>1</v>
      </c>
      <c r="X129">
        <v>3.86</v>
      </c>
      <c r="Y129">
        <v>0</v>
      </c>
      <c r="Z129">
        <v>0</v>
      </c>
      <c r="AA129">
        <v>0</v>
      </c>
      <c r="AB129">
        <v>9.2899999999999991</v>
      </c>
      <c r="AC129">
        <v>0</v>
      </c>
      <c r="AD129">
        <v>1</v>
      </c>
      <c r="AE129">
        <v>1</v>
      </c>
      <c r="AF129" t="s">
        <v>3</v>
      </c>
      <c r="AG129">
        <v>3.86</v>
      </c>
      <c r="AH129">
        <v>2</v>
      </c>
      <c r="AI129">
        <v>39613995</v>
      </c>
      <c r="AJ129">
        <v>140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ROW(Source!A53)</f>
        <v>53</v>
      </c>
      <c r="B130">
        <v>39613996</v>
      </c>
      <c r="C130">
        <v>39613956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406</v>
      </c>
      <c r="J130" t="s">
        <v>3</v>
      </c>
      <c r="K130" t="s">
        <v>407</v>
      </c>
      <c r="L130">
        <v>1191</v>
      </c>
      <c r="N130">
        <v>1013</v>
      </c>
      <c r="O130" t="s">
        <v>405</v>
      </c>
      <c r="P130" t="s">
        <v>405</v>
      </c>
      <c r="Q130">
        <v>1</v>
      </c>
      <c r="X130">
        <v>0.02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3</v>
      </c>
      <c r="AG130">
        <v>0.02</v>
      </c>
      <c r="AH130">
        <v>2</v>
      </c>
      <c r="AI130">
        <v>39613996</v>
      </c>
      <c r="AJ130">
        <v>141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ROW(Source!A53)</f>
        <v>53</v>
      </c>
      <c r="B131">
        <v>39613997</v>
      </c>
      <c r="C131">
        <v>39613956</v>
      </c>
      <c r="D131">
        <v>36882159</v>
      </c>
      <c r="E131">
        <v>1</v>
      </c>
      <c r="F131">
        <v>1</v>
      </c>
      <c r="G131">
        <v>1</v>
      </c>
      <c r="H131">
        <v>2</v>
      </c>
      <c r="I131" t="s">
        <v>408</v>
      </c>
      <c r="J131" t="s">
        <v>409</v>
      </c>
      <c r="K131" t="s">
        <v>410</v>
      </c>
      <c r="L131">
        <v>1368</v>
      </c>
      <c r="N131">
        <v>1011</v>
      </c>
      <c r="O131" t="s">
        <v>411</v>
      </c>
      <c r="P131" t="s">
        <v>411</v>
      </c>
      <c r="Q131">
        <v>1</v>
      </c>
      <c r="X131">
        <v>0.01</v>
      </c>
      <c r="Y131">
        <v>0</v>
      </c>
      <c r="Z131">
        <v>111.99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0.01</v>
      </c>
      <c r="AH131">
        <v>2</v>
      </c>
      <c r="AI131">
        <v>39613997</v>
      </c>
      <c r="AJ131">
        <v>142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ROW(Source!A53)</f>
        <v>53</v>
      </c>
      <c r="B132">
        <v>39613998</v>
      </c>
      <c r="C132">
        <v>39613956</v>
      </c>
      <c r="D132">
        <v>36883554</v>
      </c>
      <c r="E132">
        <v>1</v>
      </c>
      <c r="F132">
        <v>1</v>
      </c>
      <c r="G132">
        <v>1</v>
      </c>
      <c r="H132">
        <v>2</v>
      </c>
      <c r="I132" t="s">
        <v>412</v>
      </c>
      <c r="J132" t="s">
        <v>413</v>
      </c>
      <c r="K132" t="s">
        <v>414</v>
      </c>
      <c r="L132">
        <v>1368</v>
      </c>
      <c r="N132">
        <v>1011</v>
      </c>
      <c r="O132" t="s">
        <v>411</v>
      </c>
      <c r="P132" t="s">
        <v>411</v>
      </c>
      <c r="Q132">
        <v>1</v>
      </c>
      <c r="X132">
        <v>0.01</v>
      </c>
      <c r="Y132">
        <v>0</v>
      </c>
      <c r="Z132">
        <v>65.709999999999994</v>
      </c>
      <c r="AA132">
        <v>11.6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0.01</v>
      </c>
      <c r="AH132">
        <v>2</v>
      </c>
      <c r="AI132">
        <v>39613998</v>
      </c>
      <c r="AJ132">
        <v>143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ROW(Source!A53)</f>
        <v>53</v>
      </c>
      <c r="B133">
        <v>39613999</v>
      </c>
      <c r="C133">
        <v>39613956</v>
      </c>
      <c r="D133">
        <v>36883858</v>
      </c>
      <c r="E133">
        <v>1</v>
      </c>
      <c r="F133">
        <v>1</v>
      </c>
      <c r="G133">
        <v>1</v>
      </c>
      <c r="H133">
        <v>2</v>
      </c>
      <c r="I133" t="s">
        <v>415</v>
      </c>
      <c r="J133" t="s">
        <v>416</v>
      </c>
      <c r="K133" t="s">
        <v>417</v>
      </c>
      <c r="L133">
        <v>1368</v>
      </c>
      <c r="N133">
        <v>1011</v>
      </c>
      <c r="O133" t="s">
        <v>411</v>
      </c>
      <c r="P133" t="s">
        <v>411</v>
      </c>
      <c r="Q133">
        <v>1</v>
      </c>
      <c r="X133">
        <v>0.13</v>
      </c>
      <c r="Y133">
        <v>0</v>
      </c>
      <c r="Z133">
        <v>8.1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0.13</v>
      </c>
      <c r="AH133">
        <v>2</v>
      </c>
      <c r="AI133">
        <v>39613999</v>
      </c>
      <c r="AJ133">
        <v>144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ROW(Source!A53)</f>
        <v>53</v>
      </c>
      <c r="B134">
        <v>39614000</v>
      </c>
      <c r="C134">
        <v>39613956</v>
      </c>
      <c r="D134">
        <v>36884526</v>
      </c>
      <c r="E134">
        <v>1</v>
      </c>
      <c r="F134">
        <v>1</v>
      </c>
      <c r="G134">
        <v>1</v>
      </c>
      <c r="H134">
        <v>2</v>
      </c>
      <c r="I134" t="s">
        <v>457</v>
      </c>
      <c r="J134" t="s">
        <v>458</v>
      </c>
      <c r="K134" t="s">
        <v>459</v>
      </c>
      <c r="L134">
        <v>1368</v>
      </c>
      <c r="N134">
        <v>1011</v>
      </c>
      <c r="O134" t="s">
        <v>411</v>
      </c>
      <c r="P134" t="s">
        <v>411</v>
      </c>
      <c r="Q134">
        <v>1</v>
      </c>
      <c r="X134">
        <v>0.2</v>
      </c>
      <c r="Y134">
        <v>0</v>
      </c>
      <c r="Z134">
        <v>1.1100000000000001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0.2</v>
      </c>
      <c r="AH134">
        <v>2</v>
      </c>
      <c r="AI134">
        <v>39614000</v>
      </c>
      <c r="AJ134">
        <v>145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ROW(Source!A53)</f>
        <v>53</v>
      </c>
      <c r="B135">
        <v>39614001</v>
      </c>
      <c r="C135">
        <v>39613956</v>
      </c>
      <c r="D135">
        <v>36800043</v>
      </c>
      <c r="E135">
        <v>1</v>
      </c>
      <c r="F135">
        <v>1</v>
      </c>
      <c r="G135">
        <v>1</v>
      </c>
      <c r="H135">
        <v>3</v>
      </c>
      <c r="I135" t="s">
        <v>460</v>
      </c>
      <c r="J135" t="s">
        <v>461</v>
      </c>
      <c r="K135" t="s">
        <v>462</v>
      </c>
      <c r="L135">
        <v>1346</v>
      </c>
      <c r="N135">
        <v>1009</v>
      </c>
      <c r="O135" t="s">
        <v>424</v>
      </c>
      <c r="P135" t="s">
        <v>424</v>
      </c>
      <c r="Q135">
        <v>1</v>
      </c>
      <c r="X135">
        <v>1.4999999999999999E-2</v>
      </c>
      <c r="Y135">
        <v>44.97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1.4999999999999999E-2</v>
      </c>
      <c r="AH135">
        <v>2</v>
      </c>
      <c r="AI135">
        <v>39614001</v>
      </c>
      <c r="AJ135">
        <v>146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ROW(Source!A53)</f>
        <v>53</v>
      </c>
      <c r="B136">
        <v>39614002</v>
      </c>
      <c r="C136">
        <v>39613956</v>
      </c>
      <c r="D136">
        <v>36801775</v>
      </c>
      <c r="E136">
        <v>1</v>
      </c>
      <c r="F136">
        <v>1</v>
      </c>
      <c r="G136">
        <v>1</v>
      </c>
      <c r="H136">
        <v>3</v>
      </c>
      <c r="I136" t="s">
        <v>463</v>
      </c>
      <c r="J136" t="s">
        <v>464</v>
      </c>
      <c r="K136" t="s">
        <v>465</v>
      </c>
      <c r="L136">
        <v>1346</v>
      </c>
      <c r="N136">
        <v>1009</v>
      </c>
      <c r="O136" t="s">
        <v>424</v>
      </c>
      <c r="P136" t="s">
        <v>424</v>
      </c>
      <c r="Q136">
        <v>1</v>
      </c>
      <c r="X136">
        <v>5.0000000000000001E-3</v>
      </c>
      <c r="Y136">
        <v>11.5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5.0000000000000001E-3</v>
      </c>
      <c r="AH136">
        <v>2</v>
      </c>
      <c r="AI136">
        <v>39614002</v>
      </c>
      <c r="AJ136">
        <v>147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ROW(Source!A53)</f>
        <v>53</v>
      </c>
      <c r="B137">
        <v>39614003</v>
      </c>
      <c r="C137">
        <v>39613956</v>
      </c>
      <c r="D137">
        <v>36802094</v>
      </c>
      <c r="E137">
        <v>1</v>
      </c>
      <c r="F137">
        <v>1</v>
      </c>
      <c r="G137">
        <v>1</v>
      </c>
      <c r="H137">
        <v>3</v>
      </c>
      <c r="I137" t="s">
        <v>466</v>
      </c>
      <c r="J137" t="s">
        <v>467</v>
      </c>
      <c r="K137" t="s">
        <v>468</v>
      </c>
      <c r="L137">
        <v>1346</v>
      </c>
      <c r="N137">
        <v>1009</v>
      </c>
      <c r="O137" t="s">
        <v>424</v>
      </c>
      <c r="P137" t="s">
        <v>424</v>
      </c>
      <c r="Q137">
        <v>1</v>
      </c>
      <c r="X137">
        <v>4.8000000000000001E-2</v>
      </c>
      <c r="Y137">
        <v>30.4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4.8000000000000001E-2</v>
      </c>
      <c r="AH137">
        <v>2</v>
      </c>
      <c r="AI137">
        <v>39614003</v>
      </c>
      <c r="AJ137">
        <v>148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ROW(Source!A53)</f>
        <v>53</v>
      </c>
      <c r="B138">
        <v>39614004</v>
      </c>
      <c r="C138">
        <v>39613956</v>
      </c>
      <c r="D138">
        <v>36803258</v>
      </c>
      <c r="E138">
        <v>1</v>
      </c>
      <c r="F138">
        <v>1</v>
      </c>
      <c r="G138">
        <v>1</v>
      </c>
      <c r="H138">
        <v>3</v>
      </c>
      <c r="I138" t="s">
        <v>421</v>
      </c>
      <c r="J138" t="s">
        <v>422</v>
      </c>
      <c r="K138" t="s">
        <v>423</v>
      </c>
      <c r="L138">
        <v>1346</v>
      </c>
      <c r="N138">
        <v>1009</v>
      </c>
      <c r="O138" t="s">
        <v>424</v>
      </c>
      <c r="P138" t="s">
        <v>424</v>
      </c>
      <c r="Q138">
        <v>1</v>
      </c>
      <c r="X138">
        <v>0.08</v>
      </c>
      <c r="Y138">
        <v>10.57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0.08</v>
      </c>
      <c r="AH138">
        <v>2</v>
      </c>
      <c r="AI138">
        <v>39614004</v>
      </c>
      <c r="AJ138">
        <v>149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ROW(Source!A53)</f>
        <v>53</v>
      </c>
      <c r="B139">
        <v>39614005</v>
      </c>
      <c r="C139">
        <v>39613956</v>
      </c>
      <c r="D139">
        <v>36804448</v>
      </c>
      <c r="E139">
        <v>1</v>
      </c>
      <c r="F139">
        <v>1</v>
      </c>
      <c r="G139">
        <v>1</v>
      </c>
      <c r="H139">
        <v>3</v>
      </c>
      <c r="I139" t="s">
        <v>425</v>
      </c>
      <c r="J139" t="s">
        <v>426</v>
      </c>
      <c r="K139" t="s">
        <v>427</v>
      </c>
      <c r="L139">
        <v>1346</v>
      </c>
      <c r="N139">
        <v>1009</v>
      </c>
      <c r="O139" t="s">
        <v>424</v>
      </c>
      <c r="P139" t="s">
        <v>424</v>
      </c>
      <c r="Q139">
        <v>1</v>
      </c>
      <c r="X139">
        <v>0.53</v>
      </c>
      <c r="Y139">
        <v>9.0399999999999991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0.53</v>
      </c>
      <c r="AH139">
        <v>2</v>
      </c>
      <c r="AI139">
        <v>39614005</v>
      </c>
      <c r="AJ139">
        <v>150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ROW(Source!A53)</f>
        <v>53</v>
      </c>
      <c r="B140">
        <v>39614006</v>
      </c>
      <c r="C140">
        <v>39613956</v>
      </c>
      <c r="D140">
        <v>36804580</v>
      </c>
      <c r="E140">
        <v>1</v>
      </c>
      <c r="F140">
        <v>1</v>
      </c>
      <c r="G140">
        <v>1</v>
      </c>
      <c r="H140">
        <v>3</v>
      </c>
      <c r="I140" t="s">
        <v>469</v>
      </c>
      <c r="J140" t="s">
        <v>470</v>
      </c>
      <c r="K140" t="s">
        <v>471</v>
      </c>
      <c r="L140">
        <v>1355</v>
      </c>
      <c r="N140">
        <v>1010</v>
      </c>
      <c r="O140" t="s">
        <v>148</v>
      </c>
      <c r="P140" t="s">
        <v>148</v>
      </c>
      <c r="Q140">
        <v>100</v>
      </c>
      <c r="X140">
        <v>1.4E-2</v>
      </c>
      <c r="Y140">
        <v>86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1.4E-2</v>
      </c>
      <c r="AH140">
        <v>2</v>
      </c>
      <c r="AI140">
        <v>39614006</v>
      </c>
      <c r="AJ140">
        <v>151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ROW(Source!A53)</f>
        <v>53</v>
      </c>
      <c r="B141">
        <v>39614007</v>
      </c>
      <c r="C141">
        <v>39613956</v>
      </c>
      <c r="D141">
        <v>36805500</v>
      </c>
      <c r="E141">
        <v>1</v>
      </c>
      <c r="F141">
        <v>1</v>
      </c>
      <c r="G141">
        <v>1</v>
      </c>
      <c r="H141">
        <v>3</v>
      </c>
      <c r="I141" t="s">
        <v>472</v>
      </c>
      <c r="J141" t="s">
        <v>473</v>
      </c>
      <c r="K141" t="s">
        <v>474</v>
      </c>
      <c r="L141">
        <v>1346</v>
      </c>
      <c r="N141">
        <v>1009</v>
      </c>
      <c r="O141" t="s">
        <v>424</v>
      </c>
      <c r="P141" t="s">
        <v>424</v>
      </c>
      <c r="Q141">
        <v>1</v>
      </c>
      <c r="X141">
        <v>2E-3</v>
      </c>
      <c r="Y141">
        <v>133.05000000000001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2E-3</v>
      </c>
      <c r="AH141">
        <v>2</v>
      </c>
      <c r="AI141">
        <v>39614007</v>
      </c>
      <c r="AJ141">
        <v>152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ROW(Source!A53)</f>
        <v>53</v>
      </c>
      <c r="B142">
        <v>39614008</v>
      </c>
      <c r="C142">
        <v>39613956</v>
      </c>
      <c r="D142">
        <v>36823140</v>
      </c>
      <c r="E142">
        <v>1</v>
      </c>
      <c r="F142">
        <v>1</v>
      </c>
      <c r="G142">
        <v>1</v>
      </c>
      <c r="H142">
        <v>3</v>
      </c>
      <c r="I142" t="s">
        <v>475</v>
      </c>
      <c r="J142" t="s">
        <v>476</v>
      </c>
      <c r="K142" t="s">
        <v>477</v>
      </c>
      <c r="L142">
        <v>1348</v>
      </c>
      <c r="N142">
        <v>1009</v>
      </c>
      <c r="O142" t="s">
        <v>237</v>
      </c>
      <c r="P142" t="s">
        <v>237</v>
      </c>
      <c r="Q142">
        <v>1000</v>
      </c>
      <c r="X142">
        <v>4.0000000000000001E-3</v>
      </c>
      <c r="Y142">
        <v>11500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4.0000000000000001E-3</v>
      </c>
      <c r="AH142">
        <v>2</v>
      </c>
      <c r="AI142">
        <v>39614008</v>
      </c>
      <c r="AJ142">
        <v>153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ROW(Source!A53)</f>
        <v>53</v>
      </c>
      <c r="B143">
        <v>39614009</v>
      </c>
      <c r="C143">
        <v>39613956</v>
      </c>
      <c r="D143">
        <v>36838317</v>
      </c>
      <c r="E143">
        <v>1</v>
      </c>
      <c r="F143">
        <v>1</v>
      </c>
      <c r="G143">
        <v>1</v>
      </c>
      <c r="H143">
        <v>3</v>
      </c>
      <c r="I143" t="s">
        <v>435</v>
      </c>
      <c r="J143" t="s">
        <v>436</v>
      </c>
      <c r="K143" t="s">
        <v>437</v>
      </c>
      <c r="L143">
        <v>1346</v>
      </c>
      <c r="N143">
        <v>1009</v>
      </c>
      <c r="O143" t="s">
        <v>424</v>
      </c>
      <c r="P143" t="s">
        <v>424</v>
      </c>
      <c r="Q143">
        <v>1</v>
      </c>
      <c r="X143">
        <v>4.7E-2</v>
      </c>
      <c r="Y143">
        <v>28.6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4.7E-2</v>
      </c>
      <c r="AH143">
        <v>2</v>
      </c>
      <c r="AI143">
        <v>39614009</v>
      </c>
      <c r="AJ143">
        <v>154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ROW(Source!A53)</f>
        <v>53</v>
      </c>
      <c r="B144">
        <v>39614010</v>
      </c>
      <c r="C144">
        <v>39613956</v>
      </c>
      <c r="D144">
        <v>36838470</v>
      </c>
      <c r="E144">
        <v>1</v>
      </c>
      <c r="F144">
        <v>1</v>
      </c>
      <c r="G144">
        <v>1</v>
      </c>
      <c r="H144">
        <v>3</v>
      </c>
      <c r="I144" t="s">
        <v>478</v>
      </c>
      <c r="J144" t="s">
        <v>479</v>
      </c>
      <c r="K144" t="s">
        <v>480</v>
      </c>
      <c r="L144">
        <v>1346</v>
      </c>
      <c r="N144">
        <v>1009</v>
      </c>
      <c r="O144" t="s">
        <v>424</v>
      </c>
      <c r="P144" t="s">
        <v>424</v>
      </c>
      <c r="Q144">
        <v>1</v>
      </c>
      <c r="X144">
        <v>1.4E-2</v>
      </c>
      <c r="Y144">
        <v>35.630000000000003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1.4E-2</v>
      </c>
      <c r="AH144">
        <v>2</v>
      </c>
      <c r="AI144">
        <v>39614010</v>
      </c>
      <c r="AJ144">
        <v>155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ROW(Source!A53)</f>
        <v>53</v>
      </c>
      <c r="B145">
        <v>39614011</v>
      </c>
      <c r="C145">
        <v>39613956</v>
      </c>
      <c r="D145">
        <v>36851945</v>
      </c>
      <c r="E145">
        <v>1</v>
      </c>
      <c r="F145">
        <v>1</v>
      </c>
      <c r="G145">
        <v>1</v>
      </c>
      <c r="H145">
        <v>3</v>
      </c>
      <c r="I145" t="s">
        <v>481</v>
      </c>
      <c r="J145" t="s">
        <v>482</v>
      </c>
      <c r="K145" t="s">
        <v>483</v>
      </c>
      <c r="L145">
        <v>1358</v>
      </c>
      <c r="N145">
        <v>1010</v>
      </c>
      <c r="O145" t="s">
        <v>484</v>
      </c>
      <c r="P145" t="s">
        <v>484</v>
      </c>
      <c r="Q145">
        <v>10</v>
      </c>
      <c r="X145">
        <v>0.1</v>
      </c>
      <c r="Y145">
        <v>39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0.1</v>
      </c>
      <c r="AH145">
        <v>2</v>
      </c>
      <c r="AI145">
        <v>39614011</v>
      </c>
      <c r="AJ145">
        <v>156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ROW(Source!A53)</f>
        <v>53</v>
      </c>
      <c r="B146">
        <v>39614012</v>
      </c>
      <c r="C146">
        <v>39613956</v>
      </c>
      <c r="D146">
        <v>36870813</v>
      </c>
      <c r="E146">
        <v>1</v>
      </c>
      <c r="F146">
        <v>1</v>
      </c>
      <c r="G146">
        <v>1</v>
      </c>
      <c r="H146">
        <v>3</v>
      </c>
      <c r="I146" t="s">
        <v>485</v>
      </c>
      <c r="J146" t="s">
        <v>486</v>
      </c>
      <c r="K146" t="s">
        <v>487</v>
      </c>
      <c r="L146">
        <v>1355</v>
      </c>
      <c r="N146">
        <v>1010</v>
      </c>
      <c r="O146" t="s">
        <v>148</v>
      </c>
      <c r="P146" t="s">
        <v>148</v>
      </c>
      <c r="Q146">
        <v>100</v>
      </c>
      <c r="X146">
        <v>6.0999999999999999E-2</v>
      </c>
      <c r="Y146">
        <v>63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6.0999999999999999E-2</v>
      </c>
      <c r="AH146">
        <v>2</v>
      </c>
      <c r="AI146">
        <v>39614012</v>
      </c>
      <c r="AJ146">
        <v>157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ROW(Source!A53)</f>
        <v>53</v>
      </c>
      <c r="B147">
        <v>39614013</v>
      </c>
      <c r="C147">
        <v>39613956</v>
      </c>
      <c r="D147">
        <v>36799065</v>
      </c>
      <c r="E147">
        <v>17</v>
      </c>
      <c r="F147">
        <v>1</v>
      </c>
      <c r="G147">
        <v>1</v>
      </c>
      <c r="H147">
        <v>3</v>
      </c>
      <c r="I147" t="s">
        <v>438</v>
      </c>
      <c r="J147" t="s">
        <v>3</v>
      </c>
      <c r="K147" t="s">
        <v>439</v>
      </c>
      <c r="L147">
        <v>1374</v>
      </c>
      <c r="N147">
        <v>1013</v>
      </c>
      <c r="O147" t="s">
        <v>440</v>
      </c>
      <c r="P147" t="s">
        <v>440</v>
      </c>
      <c r="Q147">
        <v>1</v>
      </c>
      <c r="X147">
        <v>0.72</v>
      </c>
      <c r="Y147">
        <v>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0.72</v>
      </c>
      <c r="AH147">
        <v>2</v>
      </c>
      <c r="AI147">
        <v>39614013</v>
      </c>
      <c r="AJ147">
        <v>159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ROW(Source!A55)</f>
        <v>55</v>
      </c>
      <c r="B148">
        <v>39610780</v>
      </c>
      <c r="C148">
        <v>39610779</v>
      </c>
      <c r="D148">
        <v>37077359</v>
      </c>
      <c r="E148">
        <v>1</v>
      </c>
      <c r="F148">
        <v>1</v>
      </c>
      <c r="G148">
        <v>1</v>
      </c>
      <c r="H148">
        <v>1</v>
      </c>
      <c r="I148" t="s">
        <v>441</v>
      </c>
      <c r="J148" t="s">
        <v>3</v>
      </c>
      <c r="K148" t="s">
        <v>442</v>
      </c>
      <c r="L148">
        <v>1191</v>
      </c>
      <c r="N148">
        <v>1013</v>
      </c>
      <c r="O148" t="s">
        <v>405</v>
      </c>
      <c r="P148" t="s">
        <v>405</v>
      </c>
      <c r="Q148">
        <v>1</v>
      </c>
      <c r="X148">
        <v>0.92</v>
      </c>
      <c r="Y148">
        <v>0</v>
      </c>
      <c r="Z148">
        <v>0</v>
      </c>
      <c r="AA148">
        <v>0</v>
      </c>
      <c r="AB148">
        <v>10.5</v>
      </c>
      <c r="AC148">
        <v>0</v>
      </c>
      <c r="AD148">
        <v>1</v>
      </c>
      <c r="AE148">
        <v>1</v>
      </c>
      <c r="AF148" t="s">
        <v>19</v>
      </c>
      <c r="AG148">
        <v>0.27600000000000002</v>
      </c>
      <c r="AH148">
        <v>2</v>
      </c>
      <c r="AI148">
        <v>39610780</v>
      </c>
      <c r="AJ148">
        <v>160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ROW(Source!A55)</f>
        <v>55</v>
      </c>
      <c r="B149">
        <v>39610781</v>
      </c>
      <c r="C149">
        <v>39610779</v>
      </c>
      <c r="D149">
        <v>37064876</v>
      </c>
      <c r="E149">
        <v>1</v>
      </c>
      <c r="F149">
        <v>1</v>
      </c>
      <c r="G149">
        <v>1</v>
      </c>
      <c r="H149">
        <v>1</v>
      </c>
      <c r="I149" t="s">
        <v>406</v>
      </c>
      <c r="J149" t="s">
        <v>3</v>
      </c>
      <c r="K149" t="s">
        <v>407</v>
      </c>
      <c r="L149">
        <v>1191</v>
      </c>
      <c r="N149">
        <v>1013</v>
      </c>
      <c r="O149" t="s">
        <v>405</v>
      </c>
      <c r="P149" t="s">
        <v>405</v>
      </c>
      <c r="Q149">
        <v>1</v>
      </c>
      <c r="X149">
        <v>0.3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19</v>
      </c>
      <c r="AG149">
        <v>0.09</v>
      </c>
      <c r="AH149">
        <v>2</v>
      </c>
      <c r="AI149">
        <v>39610781</v>
      </c>
      <c r="AJ149">
        <v>161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ROW(Source!A55)</f>
        <v>55</v>
      </c>
      <c r="B150">
        <v>39610782</v>
      </c>
      <c r="C150">
        <v>39610779</v>
      </c>
      <c r="D150">
        <v>36882159</v>
      </c>
      <c r="E150">
        <v>1</v>
      </c>
      <c r="F150">
        <v>1</v>
      </c>
      <c r="G150">
        <v>1</v>
      </c>
      <c r="H150">
        <v>2</v>
      </c>
      <c r="I150" t="s">
        <v>408</v>
      </c>
      <c r="J150" t="s">
        <v>409</v>
      </c>
      <c r="K150" t="s">
        <v>410</v>
      </c>
      <c r="L150">
        <v>1368</v>
      </c>
      <c r="N150">
        <v>1011</v>
      </c>
      <c r="O150" t="s">
        <v>411</v>
      </c>
      <c r="P150" t="s">
        <v>411</v>
      </c>
      <c r="Q150">
        <v>1</v>
      </c>
      <c r="X150">
        <v>0.02</v>
      </c>
      <c r="Y150">
        <v>0</v>
      </c>
      <c r="Z150">
        <v>111.99</v>
      </c>
      <c r="AA150">
        <v>13.5</v>
      </c>
      <c r="AB150">
        <v>0</v>
      </c>
      <c r="AC150">
        <v>0</v>
      </c>
      <c r="AD150">
        <v>1</v>
      </c>
      <c r="AE150">
        <v>0</v>
      </c>
      <c r="AF150" t="s">
        <v>19</v>
      </c>
      <c r="AG150">
        <v>6.0000000000000001E-3</v>
      </c>
      <c r="AH150">
        <v>2</v>
      </c>
      <c r="AI150">
        <v>39610782</v>
      </c>
      <c r="AJ150">
        <v>162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ROW(Source!A55)</f>
        <v>55</v>
      </c>
      <c r="B151">
        <v>39610783</v>
      </c>
      <c r="C151">
        <v>39610779</v>
      </c>
      <c r="D151">
        <v>36882492</v>
      </c>
      <c r="E151">
        <v>1</v>
      </c>
      <c r="F151">
        <v>1</v>
      </c>
      <c r="G151">
        <v>1</v>
      </c>
      <c r="H151">
        <v>2</v>
      </c>
      <c r="I151" t="s">
        <v>443</v>
      </c>
      <c r="J151" t="s">
        <v>444</v>
      </c>
      <c r="K151" t="s">
        <v>445</v>
      </c>
      <c r="L151">
        <v>1368</v>
      </c>
      <c r="N151">
        <v>1011</v>
      </c>
      <c r="O151" t="s">
        <v>411</v>
      </c>
      <c r="P151" t="s">
        <v>411</v>
      </c>
      <c r="Q151">
        <v>1</v>
      </c>
      <c r="X151">
        <v>0.26</v>
      </c>
      <c r="Y151">
        <v>0</v>
      </c>
      <c r="Z151">
        <v>142.69999999999999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19</v>
      </c>
      <c r="AG151">
        <v>7.8E-2</v>
      </c>
      <c r="AH151">
        <v>2</v>
      </c>
      <c r="AI151">
        <v>39610783</v>
      </c>
      <c r="AJ151">
        <v>163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ROW(Source!A55)</f>
        <v>55</v>
      </c>
      <c r="B152">
        <v>39610784</v>
      </c>
      <c r="C152">
        <v>39610779</v>
      </c>
      <c r="D152">
        <v>36883554</v>
      </c>
      <c r="E152">
        <v>1</v>
      </c>
      <c r="F152">
        <v>1</v>
      </c>
      <c r="G152">
        <v>1</v>
      </c>
      <c r="H152">
        <v>2</v>
      </c>
      <c r="I152" t="s">
        <v>412</v>
      </c>
      <c r="J152" t="s">
        <v>413</v>
      </c>
      <c r="K152" t="s">
        <v>414</v>
      </c>
      <c r="L152">
        <v>1368</v>
      </c>
      <c r="N152">
        <v>1011</v>
      </c>
      <c r="O152" t="s">
        <v>411</v>
      </c>
      <c r="P152" t="s">
        <v>411</v>
      </c>
      <c r="Q152">
        <v>1</v>
      </c>
      <c r="X152">
        <v>0.02</v>
      </c>
      <c r="Y152">
        <v>0</v>
      </c>
      <c r="Z152">
        <v>65.709999999999994</v>
      </c>
      <c r="AA152">
        <v>11.6</v>
      </c>
      <c r="AB152">
        <v>0</v>
      </c>
      <c r="AC152">
        <v>0</v>
      </c>
      <c r="AD152">
        <v>1</v>
      </c>
      <c r="AE152">
        <v>0</v>
      </c>
      <c r="AF152" t="s">
        <v>19</v>
      </c>
      <c r="AG152">
        <v>6.0000000000000001E-3</v>
      </c>
      <c r="AH152">
        <v>2</v>
      </c>
      <c r="AI152">
        <v>39610784</v>
      </c>
      <c r="AJ152">
        <v>164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ROW(Source!A55)</f>
        <v>55</v>
      </c>
      <c r="B153">
        <v>39610785</v>
      </c>
      <c r="C153">
        <v>39610779</v>
      </c>
      <c r="D153">
        <v>36802094</v>
      </c>
      <c r="E153">
        <v>1</v>
      </c>
      <c r="F153">
        <v>1</v>
      </c>
      <c r="G153">
        <v>1</v>
      </c>
      <c r="H153">
        <v>3</v>
      </c>
      <c r="I153" t="s">
        <v>466</v>
      </c>
      <c r="J153" t="s">
        <v>467</v>
      </c>
      <c r="K153" t="s">
        <v>468</v>
      </c>
      <c r="L153">
        <v>1346</v>
      </c>
      <c r="N153">
        <v>1009</v>
      </c>
      <c r="O153" t="s">
        <v>424</v>
      </c>
      <c r="P153" t="s">
        <v>424</v>
      </c>
      <c r="Q153">
        <v>1</v>
      </c>
      <c r="X153">
        <v>0.01</v>
      </c>
      <c r="Y153">
        <v>30.4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18</v>
      </c>
      <c r="AG153">
        <v>0</v>
      </c>
      <c r="AH153">
        <v>2</v>
      </c>
      <c r="AI153">
        <v>39610785</v>
      </c>
      <c r="AJ153">
        <v>165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ROW(Source!A55)</f>
        <v>55</v>
      </c>
      <c r="B154">
        <v>39610786</v>
      </c>
      <c r="C154">
        <v>39610779</v>
      </c>
      <c r="D154">
        <v>36802162</v>
      </c>
      <c r="E154">
        <v>1</v>
      </c>
      <c r="F154">
        <v>1</v>
      </c>
      <c r="G154">
        <v>1</v>
      </c>
      <c r="H154">
        <v>3</v>
      </c>
      <c r="I154" t="s">
        <v>446</v>
      </c>
      <c r="J154" t="s">
        <v>447</v>
      </c>
      <c r="K154" t="s">
        <v>448</v>
      </c>
      <c r="L154">
        <v>1346</v>
      </c>
      <c r="N154">
        <v>1009</v>
      </c>
      <c r="O154" t="s">
        <v>424</v>
      </c>
      <c r="P154" t="s">
        <v>424</v>
      </c>
      <c r="Q154">
        <v>1</v>
      </c>
      <c r="X154">
        <v>1.2E-2</v>
      </c>
      <c r="Y154">
        <v>24.04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18</v>
      </c>
      <c r="AG154">
        <v>0</v>
      </c>
      <c r="AH154">
        <v>2</v>
      </c>
      <c r="AI154">
        <v>39610786</v>
      </c>
      <c r="AJ154">
        <v>166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ROW(Source!A55)</f>
        <v>55</v>
      </c>
      <c r="B155">
        <v>39610787</v>
      </c>
      <c r="C155">
        <v>39610779</v>
      </c>
      <c r="D155">
        <v>36859700</v>
      </c>
      <c r="E155">
        <v>1</v>
      </c>
      <c r="F155">
        <v>1</v>
      </c>
      <c r="G155">
        <v>1</v>
      </c>
      <c r="H155">
        <v>3</v>
      </c>
      <c r="I155" t="s">
        <v>577</v>
      </c>
      <c r="J155" t="s">
        <v>578</v>
      </c>
      <c r="K155" t="s">
        <v>579</v>
      </c>
      <c r="L155">
        <v>1348</v>
      </c>
      <c r="N155">
        <v>1009</v>
      </c>
      <c r="O155" t="s">
        <v>237</v>
      </c>
      <c r="P155" t="s">
        <v>237</v>
      </c>
      <c r="Q155">
        <v>1000</v>
      </c>
      <c r="X155">
        <v>5.0000000000000001E-4</v>
      </c>
      <c r="Y155">
        <v>96440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18</v>
      </c>
      <c r="AG155">
        <v>0</v>
      </c>
      <c r="AH155">
        <v>2</v>
      </c>
      <c r="AI155">
        <v>39610787</v>
      </c>
      <c r="AJ155">
        <v>167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ROW(Source!A55)</f>
        <v>55</v>
      </c>
      <c r="B156">
        <v>39610788</v>
      </c>
      <c r="C156">
        <v>39610779</v>
      </c>
      <c r="D156">
        <v>36867794</v>
      </c>
      <c r="E156">
        <v>1</v>
      </c>
      <c r="F156">
        <v>1</v>
      </c>
      <c r="G156">
        <v>1</v>
      </c>
      <c r="H156">
        <v>3</v>
      </c>
      <c r="I156" t="s">
        <v>574</v>
      </c>
      <c r="J156" t="s">
        <v>575</v>
      </c>
      <c r="K156" t="s">
        <v>576</v>
      </c>
      <c r="L156">
        <v>1346</v>
      </c>
      <c r="N156">
        <v>1009</v>
      </c>
      <c r="O156" t="s">
        <v>424</v>
      </c>
      <c r="P156" t="s">
        <v>424</v>
      </c>
      <c r="Q156">
        <v>1</v>
      </c>
      <c r="X156">
        <v>0.01</v>
      </c>
      <c r="Y156">
        <v>35.700000000000003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18</v>
      </c>
      <c r="AG156">
        <v>0</v>
      </c>
      <c r="AH156">
        <v>2</v>
      </c>
      <c r="AI156">
        <v>39610788</v>
      </c>
      <c r="AJ156">
        <v>168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ROW(Source!A55)</f>
        <v>55</v>
      </c>
      <c r="B157">
        <v>39610789</v>
      </c>
      <c r="C157">
        <v>39610779</v>
      </c>
      <c r="D157">
        <v>36799065</v>
      </c>
      <c r="E157">
        <v>17</v>
      </c>
      <c r="F157">
        <v>1</v>
      </c>
      <c r="G157">
        <v>1</v>
      </c>
      <c r="H157">
        <v>3</v>
      </c>
      <c r="I157" t="s">
        <v>438</v>
      </c>
      <c r="J157" t="s">
        <v>3</v>
      </c>
      <c r="K157" t="s">
        <v>439</v>
      </c>
      <c r="L157">
        <v>1374</v>
      </c>
      <c r="N157">
        <v>1013</v>
      </c>
      <c r="O157" t="s">
        <v>440</v>
      </c>
      <c r="P157" t="s">
        <v>440</v>
      </c>
      <c r="Q157">
        <v>1</v>
      </c>
      <c r="X157">
        <v>0.19</v>
      </c>
      <c r="Y157">
        <v>1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18</v>
      </c>
      <c r="AG157">
        <v>0</v>
      </c>
      <c r="AH157">
        <v>2</v>
      </c>
      <c r="AI157">
        <v>39610789</v>
      </c>
      <c r="AJ157">
        <v>169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ROW(Source!A56)</f>
        <v>56</v>
      </c>
      <c r="B158">
        <v>39611942</v>
      </c>
      <c r="C158">
        <v>39611941</v>
      </c>
      <c r="D158">
        <v>37080781</v>
      </c>
      <c r="E158">
        <v>1</v>
      </c>
      <c r="F158">
        <v>1</v>
      </c>
      <c r="G158">
        <v>1</v>
      </c>
      <c r="H158">
        <v>1</v>
      </c>
      <c r="I158" t="s">
        <v>558</v>
      </c>
      <c r="J158" t="s">
        <v>3</v>
      </c>
      <c r="K158" t="s">
        <v>559</v>
      </c>
      <c r="L158">
        <v>1191</v>
      </c>
      <c r="N158">
        <v>1013</v>
      </c>
      <c r="O158" t="s">
        <v>405</v>
      </c>
      <c r="P158" t="s">
        <v>405</v>
      </c>
      <c r="Q158">
        <v>1</v>
      </c>
      <c r="X158">
        <v>325.60000000000002</v>
      </c>
      <c r="Y158">
        <v>0</v>
      </c>
      <c r="Z158">
        <v>0</v>
      </c>
      <c r="AA158">
        <v>0</v>
      </c>
      <c r="AB158">
        <v>9.92</v>
      </c>
      <c r="AC158">
        <v>0</v>
      </c>
      <c r="AD158">
        <v>1</v>
      </c>
      <c r="AE158">
        <v>1</v>
      </c>
      <c r="AF158" t="s">
        <v>3</v>
      </c>
      <c r="AG158">
        <v>325.60000000000002</v>
      </c>
      <c r="AH158">
        <v>2</v>
      </c>
      <c r="AI158">
        <v>39611942</v>
      </c>
      <c r="AJ158">
        <v>170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ROW(Source!A56)</f>
        <v>56</v>
      </c>
      <c r="B159">
        <v>39611943</v>
      </c>
      <c r="C159">
        <v>39611941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406</v>
      </c>
      <c r="J159" t="s">
        <v>3</v>
      </c>
      <c r="K159" t="s">
        <v>407</v>
      </c>
      <c r="L159">
        <v>1191</v>
      </c>
      <c r="N159">
        <v>1013</v>
      </c>
      <c r="O159" t="s">
        <v>405</v>
      </c>
      <c r="P159" t="s">
        <v>405</v>
      </c>
      <c r="Q159">
        <v>1</v>
      </c>
      <c r="X159">
        <v>111.14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3</v>
      </c>
      <c r="AG159">
        <v>111.14</v>
      </c>
      <c r="AH159">
        <v>2</v>
      </c>
      <c r="AI159">
        <v>39611943</v>
      </c>
      <c r="AJ159">
        <v>171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ROW(Source!A56)</f>
        <v>56</v>
      </c>
      <c r="B160">
        <v>39611944</v>
      </c>
      <c r="C160">
        <v>39611941</v>
      </c>
      <c r="D160">
        <v>36882159</v>
      </c>
      <c r="E160">
        <v>1</v>
      </c>
      <c r="F160">
        <v>1</v>
      </c>
      <c r="G160">
        <v>1</v>
      </c>
      <c r="H160">
        <v>2</v>
      </c>
      <c r="I160" t="s">
        <v>408</v>
      </c>
      <c r="J160" t="s">
        <v>409</v>
      </c>
      <c r="K160" t="s">
        <v>410</v>
      </c>
      <c r="L160">
        <v>1368</v>
      </c>
      <c r="N160">
        <v>1011</v>
      </c>
      <c r="O160" t="s">
        <v>411</v>
      </c>
      <c r="P160" t="s">
        <v>411</v>
      </c>
      <c r="Q160">
        <v>1</v>
      </c>
      <c r="X160">
        <v>1.81</v>
      </c>
      <c r="Y160">
        <v>0</v>
      </c>
      <c r="Z160">
        <v>111.99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1.81</v>
      </c>
      <c r="AH160">
        <v>2</v>
      </c>
      <c r="AI160">
        <v>39611944</v>
      </c>
      <c r="AJ160">
        <v>172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ROW(Source!A56)</f>
        <v>56</v>
      </c>
      <c r="B161">
        <v>39611945</v>
      </c>
      <c r="C161">
        <v>39611941</v>
      </c>
      <c r="D161">
        <v>36882492</v>
      </c>
      <c r="E161">
        <v>1</v>
      </c>
      <c r="F161">
        <v>1</v>
      </c>
      <c r="G161">
        <v>1</v>
      </c>
      <c r="H161">
        <v>2</v>
      </c>
      <c r="I161" t="s">
        <v>443</v>
      </c>
      <c r="J161" t="s">
        <v>444</v>
      </c>
      <c r="K161" t="s">
        <v>445</v>
      </c>
      <c r="L161">
        <v>1368</v>
      </c>
      <c r="N161">
        <v>1011</v>
      </c>
      <c r="O161" t="s">
        <v>411</v>
      </c>
      <c r="P161" t="s">
        <v>411</v>
      </c>
      <c r="Q161">
        <v>1</v>
      </c>
      <c r="X161">
        <v>107.52</v>
      </c>
      <c r="Y161">
        <v>0</v>
      </c>
      <c r="Z161">
        <v>142.69999999999999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107.52</v>
      </c>
      <c r="AH161">
        <v>2</v>
      </c>
      <c r="AI161">
        <v>39611945</v>
      </c>
      <c r="AJ161">
        <v>173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ROW(Source!A56)</f>
        <v>56</v>
      </c>
      <c r="B162">
        <v>39611946</v>
      </c>
      <c r="C162">
        <v>39611941</v>
      </c>
      <c r="D162">
        <v>36883554</v>
      </c>
      <c r="E162">
        <v>1</v>
      </c>
      <c r="F162">
        <v>1</v>
      </c>
      <c r="G162">
        <v>1</v>
      </c>
      <c r="H162">
        <v>2</v>
      </c>
      <c r="I162" t="s">
        <v>412</v>
      </c>
      <c r="J162" t="s">
        <v>413</v>
      </c>
      <c r="K162" t="s">
        <v>414</v>
      </c>
      <c r="L162">
        <v>1368</v>
      </c>
      <c r="N162">
        <v>1011</v>
      </c>
      <c r="O162" t="s">
        <v>411</v>
      </c>
      <c r="P162" t="s">
        <v>411</v>
      </c>
      <c r="Q162">
        <v>1</v>
      </c>
      <c r="X162">
        <v>1.81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1.81</v>
      </c>
      <c r="AH162">
        <v>2</v>
      </c>
      <c r="AI162">
        <v>39611946</v>
      </c>
      <c r="AJ162">
        <v>174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ROW(Source!A56)</f>
        <v>56</v>
      </c>
      <c r="B163">
        <v>39611947</v>
      </c>
      <c r="C163">
        <v>39611941</v>
      </c>
      <c r="D163">
        <v>36883858</v>
      </c>
      <c r="E163">
        <v>1</v>
      </c>
      <c r="F163">
        <v>1</v>
      </c>
      <c r="G163">
        <v>1</v>
      </c>
      <c r="H163">
        <v>2</v>
      </c>
      <c r="I163" t="s">
        <v>415</v>
      </c>
      <c r="J163" t="s">
        <v>416</v>
      </c>
      <c r="K163" t="s">
        <v>417</v>
      </c>
      <c r="L163">
        <v>1368</v>
      </c>
      <c r="N163">
        <v>1011</v>
      </c>
      <c r="O163" t="s">
        <v>411</v>
      </c>
      <c r="P163" t="s">
        <v>411</v>
      </c>
      <c r="Q163">
        <v>1</v>
      </c>
      <c r="X163">
        <v>8.51</v>
      </c>
      <c r="Y163">
        <v>0</v>
      </c>
      <c r="Z163">
        <v>8.1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8.51</v>
      </c>
      <c r="AH163">
        <v>2</v>
      </c>
      <c r="AI163">
        <v>39611947</v>
      </c>
      <c r="AJ163">
        <v>175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ROW(Source!A56)</f>
        <v>56</v>
      </c>
      <c r="B164">
        <v>39611948</v>
      </c>
      <c r="C164">
        <v>39611941</v>
      </c>
      <c r="D164">
        <v>36802094</v>
      </c>
      <c r="E164">
        <v>1</v>
      </c>
      <c r="F164">
        <v>1</v>
      </c>
      <c r="G164">
        <v>1</v>
      </c>
      <c r="H164">
        <v>3</v>
      </c>
      <c r="I164" t="s">
        <v>466</v>
      </c>
      <c r="J164" t="s">
        <v>467</v>
      </c>
      <c r="K164" t="s">
        <v>468</v>
      </c>
      <c r="L164">
        <v>1346</v>
      </c>
      <c r="N164">
        <v>1009</v>
      </c>
      <c r="O164" t="s">
        <v>424</v>
      </c>
      <c r="P164" t="s">
        <v>424</v>
      </c>
      <c r="Q164">
        <v>1</v>
      </c>
      <c r="X164">
        <v>0.5</v>
      </c>
      <c r="Y164">
        <v>30.4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0.5</v>
      </c>
      <c r="AH164">
        <v>2</v>
      </c>
      <c r="AI164">
        <v>39611948</v>
      </c>
      <c r="AJ164">
        <v>176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ROW(Source!A56)</f>
        <v>56</v>
      </c>
      <c r="B165">
        <v>39611949</v>
      </c>
      <c r="C165">
        <v>39611941</v>
      </c>
      <c r="D165">
        <v>36803258</v>
      </c>
      <c r="E165">
        <v>1</v>
      </c>
      <c r="F165">
        <v>1</v>
      </c>
      <c r="G165">
        <v>1</v>
      </c>
      <c r="H165">
        <v>3</v>
      </c>
      <c r="I165" t="s">
        <v>421</v>
      </c>
      <c r="J165" t="s">
        <v>422</v>
      </c>
      <c r="K165" t="s">
        <v>423</v>
      </c>
      <c r="L165">
        <v>1346</v>
      </c>
      <c r="N165">
        <v>1009</v>
      </c>
      <c r="O165" t="s">
        <v>424</v>
      </c>
      <c r="P165" t="s">
        <v>424</v>
      </c>
      <c r="Q165">
        <v>1</v>
      </c>
      <c r="X165">
        <v>5.2</v>
      </c>
      <c r="Y165">
        <v>10.57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5.2</v>
      </c>
      <c r="AH165">
        <v>2</v>
      </c>
      <c r="AI165">
        <v>39611949</v>
      </c>
      <c r="AJ165">
        <v>177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ROW(Source!A56)</f>
        <v>56</v>
      </c>
      <c r="B166">
        <v>39611950</v>
      </c>
      <c r="C166">
        <v>39611941</v>
      </c>
      <c r="D166">
        <v>36804448</v>
      </c>
      <c r="E166">
        <v>1</v>
      </c>
      <c r="F166">
        <v>1</v>
      </c>
      <c r="G166">
        <v>1</v>
      </c>
      <c r="H166">
        <v>3</v>
      </c>
      <c r="I166" t="s">
        <v>425</v>
      </c>
      <c r="J166" t="s">
        <v>426</v>
      </c>
      <c r="K166" t="s">
        <v>427</v>
      </c>
      <c r="L166">
        <v>1346</v>
      </c>
      <c r="N166">
        <v>1009</v>
      </c>
      <c r="O166" t="s">
        <v>424</v>
      </c>
      <c r="P166" t="s">
        <v>424</v>
      </c>
      <c r="Q166">
        <v>1</v>
      </c>
      <c r="X166">
        <v>38</v>
      </c>
      <c r="Y166">
        <v>9.0399999999999991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38</v>
      </c>
      <c r="AH166">
        <v>2</v>
      </c>
      <c r="AI166">
        <v>39611950</v>
      </c>
      <c r="AJ166">
        <v>178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ROW(Source!A56)</f>
        <v>56</v>
      </c>
      <c r="B167">
        <v>39611951</v>
      </c>
      <c r="C167">
        <v>39611941</v>
      </c>
      <c r="D167">
        <v>36838473</v>
      </c>
      <c r="E167">
        <v>1</v>
      </c>
      <c r="F167">
        <v>1</v>
      </c>
      <c r="G167">
        <v>1</v>
      </c>
      <c r="H167">
        <v>3</v>
      </c>
      <c r="I167" t="s">
        <v>580</v>
      </c>
      <c r="J167" t="s">
        <v>581</v>
      </c>
      <c r="K167" t="s">
        <v>582</v>
      </c>
      <c r="L167">
        <v>1348</v>
      </c>
      <c r="N167">
        <v>1009</v>
      </c>
      <c r="O167" t="s">
        <v>237</v>
      </c>
      <c r="P167" t="s">
        <v>237</v>
      </c>
      <c r="Q167">
        <v>1000</v>
      </c>
      <c r="X167">
        <v>4.0000000000000001E-3</v>
      </c>
      <c r="Y167">
        <v>70200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4.0000000000000001E-3</v>
      </c>
      <c r="AH167">
        <v>2</v>
      </c>
      <c r="AI167">
        <v>39611951</v>
      </c>
      <c r="AJ167">
        <v>179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ROW(Source!A56)</f>
        <v>56</v>
      </c>
      <c r="B168">
        <v>39611952</v>
      </c>
      <c r="C168">
        <v>39611941</v>
      </c>
      <c r="D168">
        <v>36855766</v>
      </c>
      <c r="E168">
        <v>1</v>
      </c>
      <c r="F168">
        <v>1</v>
      </c>
      <c r="G168">
        <v>1</v>
      </c>
      <c r="H168">
        <v>3</v>
      </c>
      <c r="I168" t="s">
        <v>583</v>
      </c>
      <c r="J168" t="s">
        <v>584</v>
      </c>
      <c r="K168" t="s">
        <v>585</v>
      </c>
      <c r="L168">
        <v>1355</v>
      </c>
      <c r="N168">
        <v>1010</v>
      </c>
      <c r="O168" t="s">
        <v>148</v>
      </c>
      <c r="P168" t="s">
        <v>148</v>
      </c>
      <c r="Q168">
        <v>100</v>
      </c>
      <c r="X168">
        <v>1.02</v>
      </c>
      <c r="Y168">
        <v>528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1.02</v>
      </c>
      <c r="AH168">
        <v>2</v>
      </c>
      <c r="AI168">
        <v>39611952</v>
      </c>
      <c r="AJ168">
        <v>181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ROW(Source!A56)</f>
        <v>56</v>
      </c>
      <c r="B169">
        <v>39611953</v>
      </c>
      <c r="C169">
        <v>39611941</v>
      </c>
      <c r="D169">
        <v>36799065</v>
      </c>
      <c r="E169">
        <v>17</v>
      </c>
      <c r="F169">
        <v>1</v>
      </c>
      <c r="G169">
        <v>1</v>
      </c>
      <c r="H169">
        <v>3</v>
      </c>
      <c r="I169" t="s">
        <v>438</v>
      </c>
      <c r="J169" t="s">
        <v>3</v>
      </c>
      <c r="K169" t="s">
        <v>439</v>
      </c>
      <c r="L169">
        <v>1374</v>
      </c>
      <c r="N169">
        <v>1013</v>
      </c>
      <c r="O169" t="s">
        <v>440</v>
      </c>
      <c r="P169" t="s">
        <v>440</v>
      </c>
      <c r="Q169">
        <v>1</v>
      </c>
      <c r="X169">
        <v>64.599999999999994</v>
      </c>
      <c r="Y169">
        <v>1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64.599999999999994</v>
      </c>
      <c r="AH169">
        <v>2</v>
      </c>
      <c r="AI169">
        <v>39611953</v>
      </c>
      <c r="AJ169">
        <v>182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ROW(Source!A58)</f>
        <v>58</v>
      </c>
      <c r="B170">
        <v>39610669</v>
      </c>
      <c r="C170">
        <v>39610668</v>
      </c>
      <c r="D170">
        <v>37077359</v>
      </c>
      <c r="E170">
        <v>1</v>
      </c>
      <c r="F170">
        <v>1</v>
      </c>
      <c r="G170">
        <v>1</v>
      </c>
      <c r="H170">
        <v>1</v>
      </c>
      <c r="I170" t="s">
        <v>441</v>
      </c>
      <c r="J170" t="s">
        <v>3</v>
      </c>
      <c r="K170" t="s">
        <v>442</v>
      </c>
      <c r="L170">
        <v>1191</v>
      </c>
      <c r="N170">
        <v>1013</v>
      </c>
      <c r="O170" t="s">
        <v>405</v>
      </c>
      <c r="P170" t="s">
        <v>405</v>
      </c>
      <c r="Q170">
        <v>1</v>
      </c>
      <c r="X170">
        <v>0.86</v>
      </c>
      <c r="Y170">
        <v>0</v>
      </c>
      <c r="Z170">
        <v>0</v>
      </c>
      <c r="AA170">
        <v>0</v>
      </c>
      <c r="AB170">
        <v>10.5</v>
      </c>
      <c r="AC170">
        <v>0</v>
      </c>
      <c r="AD170">
        <v>1</v>
      </c>
      <c r="AE170">
        <v>1</v>
      </c>
      <c r="AF170" t="s">
        <v>3</v>
      </c>
      <c r="AG170">
        <v>0.86</v>
      </c>
      <c r="AH170">
        <v>2</v>
      </c>
      <c r="AI170">
        <v>39610669</v>
      </c>
      <c r="AJ170">
        <v>183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ROW(Source!A58)</f>
        <v>58</v>
      </c>
      <c r="B171">
        <v>39610670</v>
      </c>
      <c r="C171">
        <v>39610668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406</v>
      </c>
      <c r="J171" t="s">
        <v>3</v>
      </c>
      <c r="K171" t="s">
        <v>407</v>
      </c>
      <c r="L171">
        <v>1191</v>
      </c>
      <c r="N171">
        <v>1013</v>
      </c>
      <c r="O171" t="s">
        <v>405</v>
      </c>
      <c r="P171" t="s">
        <v>405</v>
      </c>
      <c r="Q171">
        <v>1</v>
      </c>
      <c r="X171">
        <v>0.2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3</v>
      </c>
      <c r="AG171">
        <v>0.2</v>
      </c>
      <c r="AH171">
        <v>2</v>
      </c>
      <c r="AI171">
        <v>39610670</v>
      </c>
      <c r="AJ171">
        <v>184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ROW(Source!A58)</f>
        <v>58</v>
      </c>
      <c r="B172">
        <v>39610671</v>
      </c>
      <c r="C172">
        <v>39610668</v>
      </c>
      <c r="D172">
        <v>36882159</v>
      </c>
      <c r="E172">
        <v>1</v>
      </c>
      <c r="F172">
        <v>1</v>
      </c>
      <c r="G172">
        <v>1</v>
      </c>
      <c r="H172">
        <v>2</v>
      </c>
      <c r="I172" t="s">
        <v>408</v>
      </c>
      <c r="J172" t="s">
        <v>409</v>
      </c>
      <c r="K172" t="s">
        <v>410</v>
      </c>
      <c r="L172">
        <v>1368</v>
      </c>
      <c r="N172">
        <v>1011</v>
      </c>
      <c r="O172" t="s">
        <v>411</v>
      </c>
      <c r="P172" t="s">
        <v>411</v>
      </c>
      <c r="Q172">
        <v>1</v>
      </c>
      <c r="X172">
        <v>0.1</v>
      </c>
      <c r="Y172">
        <v>0</v>
      </c>
      <c r="Z172">
        <v>111.99</v>
      </c>
      <c r="AA172">
        <v>13.5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0.1</v>
      </c>
      <c r="AH172">
        <v>2</v>
      </c>
      <c r="AI172">
        <v>39610671</v>
      </c>
      <c r="AJ172">
        <v>185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ROW(Source!A58)</f>
        <v>58</v>
      </c>
      <c r="B173">
        <v>39610672</v>
      </c>
      <c r="C173">
        <v>39610668</v>
      </c>
      <c r="D173">
        <v>36883554</v>
      </c>
      <c r="E173">
        <v>1</v>
      </c>
      <c r="F173">
        <v>1</v>
      </c>
      <c r="G173">
        <v>1</v>
      </c>
      <c r="H173">
        <v>2</v>
      </c>
      <c r="I173" t="s">
        <v>412</v>
      </c>
      <c r="J173" t="s">
        <v>413</v>
      </c>
      <c r="K173" t="s">
        <v>414</v>
      </c>
      <c r="L173">
        <v>1368</v>
      </c>
      <c r="N173">
        <v>1011</v>
      </c>
      <c r="O173" t="s">
        <v>411</v>
      </c>
      <c r="P173" t="s">
        <v>411</v>
      </c>
      <c r="Q173">
        <v>1</v>
      </c>
      <c r="X173">
        <v>0.1</v>
      </c>
      <c r="Y173">
        <v>0</v>
      </c>
      <c r="Z173">
        <v>65.709999999999994</v>
      </c>
      <c r="AA173">
        <v>11.6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0.1</v>
      </c>
      <c r="AH173">
        <v>2</v>
      </c>
      <c r="AI173">
        <v>39610672</v>
      </c>
      <c r="AJ173">
        <v>186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ROW(Source!A58)</f>
        <v>58</v>
      </c>
      <c r="B174">
        <v>39610673</v>
      </c>
      <c r="C174">
        <v>39610668</v>
      </c>
      <c r="D174">
        <v>36802094</v>
      </c>
      <c r="E174">
        <v>1</v>
      </c>
      <c r="F174">
        <v>1</v>
      </c>
      <c r="G174">
        <v>1</v>
      </c>
      <c r="H174">
        <v>3</v>
      </c>
      <c r="I174" t="s">
        <v>466</v>
      </c>
      <c r="J174" t="s">
        <v>467</v>
      </c>
      <c r="K174" t="s">
        <v>468</v>
      </c>
      <c r="L174">
        <v>1346</v>
      </c>
      <c r="N174">
        <v>1009</v>
      </c>
      <c r="O174" t="s">
        <v>424</v>
      </c>
      <c r="P174" t="s">
        <v>424</v>
      </c>
      <c r="Q174">
        <v>1</v>
      </c>
      <c r="X174">
        <v>0.01</v>
      </c>
      <c r="Y174">
        <v>30.4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0.01</v>
      </c>
      <c r="AH174">
        <v>2</v>
      </c>
      <c r="AI174">
        <v>39610673</v>
      </c>
      <c r="AJ174">
        <v>187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ROW(Source!A58)</f>
        <v>58</v>
      </c>
      <c r="B175">
        <v>39610674</v>
      </c>
      <c r="C175">
        <v>39610668</v>
      </c>
      <c r="D175">
        <v>36804448</v>
      </c>
      <c r="E175">
        <v>1</v>
      </c>
      <c r="F175">
        <v>1</v>
      </c>
      <c r="G175">
        <v>1</v>
      </c>
      <c r="H175">
        <v>3</v>
      </c>
      <c r="I175" t="s">
        <v>425</v>
      </c>
      <c r="J175" t="s">
        <v>426</v>
      </c>
      <c r="K175" t="s">
        <v>427</v>
      </c>
      <c r="L175">
        <v>1346</v>
      </c>
      <c r="N175">
        <v>1009</v>
      </c>
      <c r="O175" t="s">
        <v>424</v>
      </c>
      <c r="P175" t="s">
        <v>424</v>
      </c>
      <c r="Q175">
        <v>1</v>
      </c>
      <c r="X175">
        <v>0.3</v>
      </c>
      <c r="Y175">
        <v>9.0399999999999991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0.3</v>
      </c>
      <c r="AH175">
        <v>2</v>
      </c>
      <c r="AI175">
        <v>39610674</v>
      </c>
      <c r="AJ175">
        <v>188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ROW(Source!A58)</f>
        <v>58</v>
      </c>
      <c r="B176">
        <v>39610675</v>
      </c>
      <c r="C176">
        <v>39610668</v>
      </c>
      <c r="D176">
        <v>36825981</v>
      </c>
      <c r="E176">
        <v>1</v>
      </c>
      <c r="F176">
        <v>1</v>
      </c>
      <c r="G176">
        <v>1</v>
      </c>
      <c r="H176">
        <v>3</v>
      </c>
      <c r="I176" t="s">
        <v>432</v>
      </c>
      <c r="J176" t="s">
        <v>433</v>
      </c>
      <c r="K176" t="s">
        <v>434</v>
      </c>
      <c r="L176">
        <v>1348</v>
      </c>
      <c r="N176">
        <v>1009</v>
      </c>
      <c r="O176" t="s">
        <v>237</v>
      </c>
      <c r="P176" t="s">
        <v>237</v>
      </c>
      <c r="Q176">
        <v>1000</v>
      </c>
      <c r="X176">
        <v>5.9999999999999995E-4</v>
      </c>
      <c r="Y176">
        <v>5000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5.9999999999999995E-4</v>
      </c>
      <c r="AH176">
        <v>2</v>
      </c>
      <c r="AI176">
        <v>39610675</v>
      </c>
      <c r="AJ176">
        <v>189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ROW(Source!A58)</f>
        <v>58</v>
      </c>
      <c r="B177">
        <v>39610676</v>
      </c>
      <c r="C177">
        <v>39610668</v>
      </c>
      <c r="D177">
        <v>36799065</v>
      </c>
      <c r="E177">
        <v>17</v>
      </c>
      <c r="F177">
        <v>1</v>
      </c>
      <c r="G177">
        <v>1</v>
      </c>
      <c r="H177">
        <v>3</v>
      </c>
      <c r="I177" t="s">
        <v>438</v>
      </c>
      <c r="J177" t="s">
        <v>3</v>
      </c>
      <c r="K177" t="s">
        <v>439</v>
      </c>
      <c r="L177">
        <v>1374</v>
      </c>
      <c r="N177">
        <v>1013</v>
      </c>
      <c r="O177" t="s">
        <v>440</v>
      </c>
      <c r="P177" t="s">
        <v>440</v>
      </c>
      <c r="Q177">
        <v>1</v>
      </c>
      <c r="X177">
        <v>0.18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0.18</v>
      </c>
      <c r="AH177">
        <v>2</v>
      </c>
      <c r="AI177">
        <v>39610676</v>
      </c>
      <c r="AJ177">
        <v>191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ROW(Source!A60)</f>
        <v>60</v>
      </c>
      <c r="B178">
        <v>39610814</v>
      </c>
      <c r="C178">
        <v>39610680</v>
      </c>
      <c r="D178">
        <v>37071037</v>
      </c>
      <c r="E178">
        <v>1</v>
      </c>
      <c r="F178">
        <v>1</v>
      </c>
      <c r="G178">
        <v>1</v>
      </c>
      <c r="H178">
        <v>1</v>
      </c>
      <c r="I178" t="s">
        <v>403</v>
      </c>
      <c r="J178" t="s">
        <v>3</v>
      </c>
      <c r="K178" t="s">
        <v>404</v>
      </c>
      <c r="L178">
        <v>1191</v>
      </c>
      <c r="N178">
        <v>1013</v>
      </c>
      <c r="O178" t="s">
        <v>405</v>
      </c>
      <c r="P178" t="s">
        <v>405</v>
      </c>
      <c r="Q178">
        <v>1</v>
      </c>
      <c r="X178">
        <v>5.3</v>
      </c>
      <c r="Y178">
        <v>0</v>
      </c>
      <c r="Z178">
        <v>0</v>
      </c>
      <c r="AA178">
        <v>0</v>
      </c>
      <c r="AB178">
        <v>9.6199999999999992</v>
      </c>
      <c r="AC178">
        <v>0</v>
      </c>
      <c r="AD178">
        <v>1</v>
      </c>
      <c r="AE178">
        <v>1</v>
      </c>
      <c r="AF178" t="s">
        <v>3</v>
      </c>
      <c r="AG178">
        <v>5.3</v>
      </c>
      <c r="AH178">
        <v>2</v>
      </c>
      <c r="AI178">
        <v>39610814</v>
      </c>
      <c r="AJ178">
        <v>192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ROW(Source!A60)</f>
        <v>60</v>
      </c>
      <c r="B179">
        <v>39610815</v>
      </c>
      <c r="C179">
        <v>39610680</v>
      </c>
      <c r="D179">
        <v>37064876</v>
      </c>
      <c r="E179">
        <v>1</v>
      </c>
      <c r="F179">
        <v>1</v>
      </c>
      <c r="G179">
        <v>1</v>
      </c>
      <c r="H179">
        <v>1</v>
      </c>
      <c r="I179" t="s">
        <v>406</v>
      </c>
      <c r="J179" t="s">
        <v>3</v>
      </c>
      <c r="K179" t="s">
        <v>407</v>
      </c>
      <c r="L179">
        <v>1191</v>
      </c>
      <c r="N179">
        <v>1013</v>
      </c>
      <c r="O179" t="s">
        <v>405</v>
      </c>
      <c r="P179" t="s">
        <v>405</v>
      </c>
      <c r="Q179">
        <v>1</v>
      </c>
      <c r="X179">
        <v>3.9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3</v>
      </c>
      <c r="AG179">
        <v>3.9</v>
      </c>
      <c r="AH179">
        <v>2</v>
      </c>
      <c r="AI179">
        <v>39610815</v>
      </c>
      <c r="AJ179">
        <v>193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ROW(Source!A60)</f>
        <v>60</v>
      </c>
      <c r="B180">
        <v>39610816</v>
      </c>
      <c r="C180">
        <v>39610680</v>
      </c>
      <c r="D180">
        <v>36883554</v>
      </c>
      <c r="E180">
        <v>1</v>
      </c>
      <c r="F180">
        <v>1</v>
      </c>
      <c r="G180">
        <v>1</v>
      </c>
      <c r="H180">
        <v>2</v>
      </c>
      <c r="I180" t="s">
        <v>412</v>
      </c>
      <c r="J180" t="s">
        <v>413</v>
      </c>
      <c r="K180" t="s">
        <v>414</v>
      </c>
      <c r="L180">
        <v>1368</v>
      </c>
      <c r="N180">
        <v>1011</v>
      </c>
      <c r="O180" t="s">
        <v>411</v>
      </c>
      <c r="P180" t="s">
        <v>411</v>
      </c>
      <c r="Q180">
        <v>1</v>
      </c>
      <c r="X180">
        <v>3.9</v>
      </c>
      <c r="Y180">
        <v>0</v>
      </c>
      <c r="Z180">
        <v>65.709999999999994</v>
      </c>
      <c r="AA180">
        <v>11.6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3.9</v>
      </c>
      <c r="AH180">
        <v>2</v>
      </c>
      <c r="AI180">
        <v>39610816</v>
      </c>
      <c r="AJ180">
        <v>194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ROW(Source!A60)</f>
        <v>60</v>
      </c>
      <c r="B181">
        <v>39610817</v>
      </c>
      <c r="C181">
        <v>39610680</v>
      </c>
      <c r="D181">
        <v>36799065</v>
      </c>
      <c r="E181">
        <v>17</v>
      </c>
      <c r="F181">
        <v>1</v>
      </c>
      <c r="G181">
        <v>1</v>
      </c>
      <c r="H181">
        <v>3</v>
      </c>
      <c r="I181" t="s">
        <v>438</v>
      </c>
      <c r="J181" t="s">
        <v>3</v>
      </c>
      <c r="K181" t="s">
        <v>439</v>
      </c>
      <c r="L181">
        <v>1374</v>
      </c>
      <c r="N181">
        <v>1013</v>
      </c>
      <c r="O181" t="s">
        <v>440</v>
      </c>
      <c r="P181" t="s">
        <v>440</v>
      </c>
      <c r="Q181">
        <v>1</v>
      </c>
      <c r="X181">
        <v>1.02</v>
      </c>
      <c r="Y181">
        <v>1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1.02</v>
      </c>
      <c r="AH181">
        <v>2</v>
      </c>
      <c r="AI181">
        <v>39610817</v>
      </c>
      <c r="AJ181">
        <v>196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ROW(Source!A62)</f>
        <v>62</v>
      </c>
      <c r="B182">
        <v>39610686</v>
      </c>
      <c r="C182">
        <v>39610685</v>
      </c>
      <c r="D182">
        <v>37071037</v>
      </c>
      <c r="E182">
        <v>1</v>
      </c>
      <c r="F182">
        <v>1</v>
      </c>
      <c r="G182">
        <v>1</v>
      </c>
      <c r="H182">
        <v>1</v>
      </c>
      <c r="I182" t="s">
        <v>403</v>
      </c>
      <c r="J182" t="s">
        <v>3</v>
      </c>
      <c r="K182" t="s">
        <v>404</v>
      </c>
      <c r="L182">
        <v>1191</v>
      </c>
      <c r="N182">
        <v>1013</v>
      </c>
      <c r="O182" t="s">
        <v>405</v>
      </c>
      <c r="P182" t="s">
        <v>405</v>
      </c>
      <c r="Q182">
        <v>1</v>
      </c>
      <c r="X182">
        <v>11.05</v>
      </c>
      <c r="Y182">
        <v>0</v>
      </c>
      <c r="Z182">
        <v>0</v>
      </c>
      <c r="AA182">
        <v>0</v>
      </c>
      <c r="AB182">
        <v>9.6199999999999992</v>
      </c>
      <c r="AC182">
        <v>0</v>
      </c>
      <c r="AD182">
        <v>1</v>
      </c>
      <c r="AE182">
        <v>1</v>
      </c>
      <c r="AF182" t="s">
        <v>3</v>
      </c>
      <c r="AG182">
        <v>11.05</v>
      </c>
      <c r="AH182">
        <v>2</v>
      </c>
      <c r="AI182">
        <v>39610686</v>
      </c>
      <c r="AJ182">
        <v>197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ROW(Source!A62)</f>
        <v>62</v>
      </c>
      <c r="B183">
        <v>39610687</v>
      </c>
      <c r="C183">
        <v>39610685</v>
      </c>
      <c r="D183">
        <v>37064876</v>
      </c>
      <c r="E183">
        <v>1</v>
      </c>
      <c r="F183">
        <v>1</v>
      </c>
      <c r="G183">
        <v>1</v>
      </c>
      <c r="H183">
        <v>1</v>
      </c>
      <c r="I183" t="s">
        <v>406</v>
      </c>
      <c r="J183" t="s">
        <v>3</v>
      </c>
      <c r="K183" t="s">
        <v>407</v>
      </c>
      <c r="L183">
        <v>1191</v>
      </c>
      <c r="N183">
        <v>1013</v>
      </c>
      <c r="O183" t="s">
        <v>405</v>
      </c>
      <c r="P183" t="s">
        <v>405</v>
      </c>
      <c r="Q183">
        <v>1</v>
      </c>
      <c r="X183">
        <v>0.9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2</v>
      </c>
      <c r="AF183" t="s">
        <v>3</v>
      </c>
      <c r="AG183">
        <v>0.9</v>
      </c>
      <c r="AH183">
        <v>2</v>
      </c>
      <c r="AI183">
        <v>39610687</v>
      </c>
      <c r="AJ183">
        <v>198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ROW(Source!A62)</f>
        <v>62</v>
      </c>
      <c r="B184">
        <v>39610688</v>
      </c>
      <c r="C184">
        <v>39610685</v>
      </c>
      <c r="D184">
        <v>36882159</v>
      </c>
      <c r="E184">
        <v>1</v>
      </c>
      <c r="F184">
        <v>1</v>
      </c>
      <c r="G184">
        <v>1</v>
      </c>
      <c r="H184">
        <v>2</v>
      </c>
      <c r="I184" t="s">
        <v>408</v>
      </c>
      <c r="J184" t="s">
        <v>409</v>
      </c>
      <c r="K184" t="s">
        <v>410</v>
      </c>
      <c r="L184">
        <v>1368</v>
      </c>
      <c r="N184">
        <v>1011</v>
      </c>
      <c r="O184" t="s">
        <v>411</v>
      </c>
      <c r="P184" t="s">
        <v>411</v>
      </c>
      <c r="Q184">
        <v>1</v>
      </c>
      <c r="X184">
        <v>0.45</v>
      </c>
      <c r="Y184">
        <v>0</v>
      </c>
      <c r="Z184">
        <v>111.99</v>
      </c>
      <c r="AA184">
        <v>13.5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0.45</v>
      </c>
      <c r="AH184">
        <v>2</v>
      </c>
      <c r="AI184">
        <v>39610688</v>
      </c>
      <c r="AJ184">
        <v>199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ROW(Source!A62)</f>
        <v>62</v>
      </c>
      <c r="B185">
        <v>39610689</v>
      </c>
      <c r="C185">
        <v>39610685</v>
      </c>
      <c r="D185">
        <v>36882292</v>
      </c>
      <c r="E185">
        <v>1</v>
      </c>
      <c r="F185">
        <v>1</v>
      </c>
      <c r="G185">
        <v>1</v>
      </c>
      <c r="H185">
        <v>2</v>
      </c>
      <c r="I185" t="s">
        <v>586</v>
      </c>
      <c r="J185" t="s">
        <v>587</v>
      </c>
      <c r="K185" t="s">
        <v>588</v>
      </c>
      <c r="L185">
        <v>1368</v>
      </c>
      <c r="N185">
        <v>1011</v>
      </c>
      <c r="O185" t="s">
        <v>411</v>
      </c>
      <c r="P185" t="s">
        <v>411</v>
      </c>
      <c r="Q185">
        <v>1</v>
      </c>
      <c r="X185">
        <v>2.58</v>
      </c>
      <c r="Y185">
        <v>0</v>
      </c>
      <c r="Z185">
        <v>0.9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2.58</v>
      </c>
      <c r="AH185">
        <v>2</v>
      </c>
      <c r="AI185">
        <v>39610689</v>
      </c>
      <c r="AJ185">
        <v>200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ROW(Source!A62)</f>
        <v>62</v>
      </c>
      <c r="B186">
        <v>39610690</v>
      </c>
      <c r="C186">
        <v>39610685</v>
      </c>
      <c r="D186">
        <v>36882357</v>
      </c>
      <c r="E186">
        <v>1</v>
      </c>
      <c r="F186">
        <v>1</v>
      </c>
      <c r="G186">
        <v>1</v>
      </c>
      <c r="H186">
        <v>2</v>
      </c>
      <c r="I186" t="s">
        <v>589</v>
      </c>
      <c r="J186" t="s">
        <v>590</v>
      </c>
      <c r="K186" t="s">
        <v>591</v>
      </c>
      <c r="L186">
        <v>1368</v>
      </c>
      <c r="N186">
        <v>1011</v>
      </c>
      <c r="O186" t="s">
        <v>411</v>
      </c>
      <c r="P186" t="s">
        <v>411</v>
      </c>
      <c r="Q186">
        <v>1</v>
      </c>
      <c r="X186">
        <v>2.58</v>
      </c>
      <c r="Y186">
        <v>0</v>
      </c>
      <c r="Z186">
        <v>3.28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2.58</v>
      </c>
      <c r="AH186">
        <v>2</v>
      </c>
      <c r="AI186">
        <v>39610690</v>
      </c>
      <c r="AJ186">
        <v>201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ROW(Source!A62)</f>
        <v>62</v>
      </c>
      <c r="B187">
        <v>39610691</v>
      </c>
      <c r="C187">
        <v>39610685</v>
      </c>
      <c r="D187">
        <v>36883554</v>
      </c>
      <c r="E187">
        <v>1</v>
      </c>
      <c r="F187">
        <v>1</v>
      </c>
      <c r="G187">
        <v>1</v>
      </c>
      <c r="H187">
        <v>2</v>
      </c>
      <c r="I187" t="s">
        <v>412</v>
      </c>
      <c r="J187" t="s">
        <v>413</v>
      </c>
      <c r="K187" t="s">
        <v>414</v>
      </c>
      <c r="L187">
        <v>1368</v>
      </c>
      <c r="N187">
        <v>1011</v>
      </c>
      <c r="O187" t="s">
        <v>411</v>
      </c>
      <c r="P187" t="s">
        <v>411</v>
      </c>
      <c r="Q187">
        <v>1</v>
      </c>
      <c r="X187">
        <v>0.45</v>
      </c>
      <c r="Y187">
        <v>0</v>
      </c>
      <c r="Z187">
        <v>65.709999999999994</v>
      </c>
      <c r="AA187">
        <v>11.6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0.45</v>
      </c>
      <c r="AH187">
        <v>2</v>
      </c>
      <c r="AI187">
        <v>39610691</v>
      </c>
      <c r="AJ187">
        <v>202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ROW(Source!A62)</f>
        <v>62</v>
      </c>
      <c r="B188">
        <v>39610692</v>
      </c>
      <c r="C188">
        <v>39610685</v>
      </c>
      <c r="D188">
        <v>36802106</v>
      </c>
      <c r="E188">
        <v>1</v>
      </c>
      <c r="F188">
        <v>1</v>
      </c>
      <c r="G188">
        <v>1</v>
      </c>
      <c r="H188">
        <v>3</v>
      </c>
      <c r="I188" t="s">
        <v>592</v>
      </c>
      <c r="J188" t="s">
        <v>593</v>
      </c>
      <c r="K188" t="s">
        <v>594</v>
      </c>
      <c r="L188">
        <v>1308</v>
      </c>
      <c r="N188">
        <v>1003</v>
      </c>
      <c r="O188" t="s">
        <v>36</v>
      </c>
      <c r="P188" t="s">
        <v>36</v>
      </c>
      <c r="Q188">
        <v>100</v>
      </c>
      <c r="X188">
        <v>9.5999999999999992E-3</v>
      </c>
      <c r="Y188">
        <v>120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9.5999999999999992E-3</v>
      </c>
      <c r="AH188">
        <v>2</v>
      </c>
      <c r="AI188">
        <v>39610692</v>
      </c>
      <c r="AJ188">
        <v>203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ROW(Source!A62)</f>
        <v>62</v>
      </c>
      <c r="B189">
        <v>39610693</v>
      </c>
      <c r="C189">
        <v>39610685</v>
      </c>
      <c r="D189">
        <v>36825981</v>
      </c>
      <c r="E189">
        <v>1</v>
      </c>
      <c r="F189">
        <v>1</v>
      </c>
      <c r="G189">
        <v>1</v>
      </c>
      <c r="H189">
        <v>3</v>
      </c>
      <c r="I189" t="s">
        <v>432</v>
      </c>
      <c r="J189" t="s">
        <v>433</v>
      </c>
      <c r="K189" t="s">
        <v>434</v>
      </c>
      <c r="L189">
        <v>1348</v>
      </c>
      <c r="N189">
        <v>1009</v>
      </c>
      <c r="O189" t="s">
        <v>237</v>
      </c>
      <c r="P189" t="s">
        <v>237</v>
      </c>
      <c r="Q189">
        <v>1000</v>
      </c>
      <c r="X189">
        <v>1E-3</v>
      </c>
      <c r="Y189">
        <v>5000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1E-3</v>
      </c>
      <c r="AH189">
        <v>2</v>
      </c>
      <c r="AI189">
        <v>39610693</v>
      </c>
      <c r="AJ189">
        <v>204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ROW(Source!A62)</f>
        <v>62</v>
      </c>
      <c r="B190">
        <v>39610694</v>
      </c>
      <c r="C190">
        <v>39610685</v>
      </c>
      <c r="D190">
        <v>36826070</v>
      </c>
      <c r="E190">
        <v>1</v>
      </c>
      <c r="F190">
        <v>1</v>
      </c>
      <c r="G190">
        <v>1</v>
      </c>
      <c r="H190">
        <v>3</v>
      </c>
      <c r="I190" t="s">
        <v>595</v>
      </c>
      <c r="J190" t="s">
        <v>596</v>
      </c>
      <c r="K190" t="s">
        <v>597</v>
      </c>
      <c r="L190">
        <v>1348</v>
      </c>
      <c r="N190">
        <v>1009</v>
      </c>
      <c r="O190" t="s">
        <v>237</v>
      </c>
      <c r="P190" t="s">
        <v>237</v>
      </c>
      <c r="Q190">
        <v>1000</v>
      </c>
      <c r="X190">
        <v>0.01</v>
      </c>
      <c r="Y190">
        <v>5763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0.01</v>
      </c>
      <c r="AH190">
        <v>2</v>
      </c>
      <c r="AI190">
        <v>39610694</v>
      </c>
      <c r="AJ190">
        <v>205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ROW(Source!A62)</f>
        <v>62</v>
      </c>
      <c r="B191">
        <v>39610695</v>
      </c>
      <c r="C191">
        <v>39610685</v>
      </c>
      <c r="D191">
        <v>36838317</v>
      </c>
      <c r="E191">
        <v>1</v>
      </c>
      <c r="F191">
        <v>1</v>
      </c>
      <c r="G191">
        <v>1</v>
      </c>
      <c r="H191">
        <v>3</v>
      </c>
      <c r="I191" t="s">
        <v>435</v>
      </c>
      <c r="J191" t="s">
        <v>436</v>
      </c>
      <c r="K191" t="s">
        <v>437</v>
      </c>
      <c r="L191">
        <v>1346</v>
      </c>
      <c r="N191">
        <v>1009</v>
      </c>
      <c r="O191" t="s">
        <v>424</v>
      </c>
      <c r="P191" t="s">
        <v>424</v>
      </c>
      <c r="Q191">
        <v>1</v>
      </c>
      <c r="X191">
        <v>0.25</v>
      </c>
      <c r="Y191">
        <v>28.6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0.25</v>
      </c>
      <c r="AH191">
        <v>2</v>
      </c>
      <c r="AI191">
        <v>39610695</v>
      </c>
      <c r="AJ191">
        <v>206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ROW(Source!A62)</f>
        <v>62</v>
      </c>
      <c r="B192">
        <v>39610696</v>
      </c>
      <c r="C192">
        <v>39610685</v>
      </c>
      <c r="D192">
        <v>36838354</v>
      </c>
      <c r="E192">
        <v>1</v>
      </c>
      <c r="F192">
        <v>1</v>
      </c>
      <c r="G192">
        <v>1</v>
      </c>
      <c r="H192">
        <v>3</v>
      </c>
      <c r="I192" t="s">
        <v>449</v>
      </c>
      <c r="J192" t="s">
        <v>450</v>
      </c>
      <c r="K192" t="s">
        <v>451</v>
      </c>
      <c r="L192">
        <v>1348</v>
      </c>
      <c r="N192">
        <v>1009</v>
      </c>
      <c r="O192" t="s">
        <v>237</v>
      </c>
      <c r="P192" t="s">
        <v>237</v>
      </c>
      <c r="Q192">
        <v>1000</v>
      </c>
      <c r="X192">
        <v>6.0000000000000002E-5</v>
      </c>
      <c r="Y192">
        <v>7826.9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6.0000000000000002E-5</v>
      </c>
      <c r="AH192">
        <v>2</v>
      </c>
      <c r="AI192">
        <v>39610696</v>
      </c>
      <c r="AJ192">
        <v>207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ROW(Source!A62)</f>
        <v>62</v>
      </c>
      <c r="B193">
        <v>39610697</v>
      </c>
      <c r="C193">
        <v>39610685</v>
      </c>
      <c r="D193">
        <v>36799065</v>
      </c>
      <c r="E193">
        <v>17</v>
      </c>
      <c r="F193">
        <v>1</v>
      </c>
      <c r="G193">
        <v>1</v>
      </c>
      <c r="H193">
        <v>3</v>
      </c>
      <c r="I193" t="s">
        <v>438</v>
      </c>
      <c r="J193" t="s">
        <v>3</v>
      </c>
      <c r="K193" t="s">
        <v>439</v>
      </c>
      <c r="L193">
        <v>1374</v>
      </c>
      <c r="N193">
        <v>1013</v>
      </c>
      <c r="O193" t="s">
        <v>440</v>
      </c>
      <c r="P193" t="s">
        <v>440</v>
      </c>
      <c r="Q193">
        <v>1</v>
      </c>
      <c r="X193">
        <v>2.13</v>
      </c>
      <c r="Y193">
        <v>1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2.13</v>
      </c>
      <c r="AH193">
        <v>2</v>
      </c>
      <c r="AI193">
        <v>39610697</v>
      </c>
      <c r="AJ193">
        <v>209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ROW(Source!A64)</f>
        <v>64</v>
      </c>
      <c r="B194">
        <v>39610699</v>
      </c>
      <c r="C194">
        <v>39610698</v>
      </c>
      <c r="D194">
        <v>37071037</v>
      </c>
      <c r="E194">
        <v>1</v>
      </c>
      <c r="F194">
        <v>1</v>
      </c>
      <c r="G194">
        <v>1</v>
      </c>
      <c r="H194">
        <v>1</v>
      </c>
      <c r="I194" t="s">
        <v>403</v>
      </c>
      <c r="J194" t="s">
        <v>3</v>
      </c>
      <c r="K194" t="s">
        <v>404</v>
      </c>
      <c r="L194">
        <v>1191</v>
      </c>
      <c r="N194">
        <v>1013</v>
      </c>
      <c r="O194" t="s">
        <v>405</v>
      </c>
      <c r="P194" t="s">
        <v>405</v>
      </c>
      <c r="Q194">
        <v>1</v>
      </c>
      <c r="X194">
        <v>11.01</v>
      </c>
      <c r="Y194">
        <v>0</v>
      </c>
      <c r="Z194">
        <v>0</v>
      </c>
      <c r="AA194">
        <v>0</v>
      </c>
      <c r="AB194">
        <v>9.6199999999999992</v>
      </c>
      <c r="AC194">
        <v>0</v>
      </c>
      <c r="AD194">
        <v>1</v>
      </c>
      <c r="AE194">
        <v>1</v>
      </c>
      <c r="AF194" t="s">
        <v>3</v>
      </c>
      <c r="AG194">
        <v>11.01</v>
      </c>
      <c r="AH194">
        <v>2</v>
      </c>
      <c r="AI194">
        <v>39610699</v>
      </c>
      <c r="AJ194">
        <v>210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ROW(Source!A64)</f>
        <v>64</v>
      </c>
      <c r="B195">
        <v>39610700</v>
      </c>
      <c r="C195">
        <v>39610698</v>
      </c>
      <c r="D195">
        <v>37064876</v>
      </c>
      <c r="E195">
        <v>1</v>
      </c>
      <c r="F195">
        <v>1</v>
      </c>
      <c r="G195">
        <v>1</v>
      </c>
      <c r="H195">
        <v>1</v>
      </c>
      <c r="I195" t="s">
        <v>406</v>
      </c>
      <c r="J195" t="s">
        <v>3</v>
      </c>
      <c r="K195" t="s">
        <v>407</v>
      </c>
      <c r="L195">
        <v>1191</v>
      </c>
      <c r="N195">
        <v>1013</v>
      </c>
      <c r="O195" t="s">
        <v>405</v>
      </c>
      <c r="P195" t="s">
        <v>405</v>
      </c>
      <c r="Q195">
        <v>1</v>
      </c>
      <c r="X195">
        <v>0.62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2</v>
      </c>
      <c r="AF195" t="s">
        <v>3</v>
      </c>
      <c r="AG195">
        <v>0.62</v>
      </c>
      <c r="AH195">
        <v>2</v>
      </c>
      <c r="AI195">
        <v>39610700</v>
      </c>
      <c r="AJ195">
        <v>211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ROW(Source!A64)</f>
        <v>64</v>
      </c>
      <c r="B196">
        <v>39610701</v>
      </c>
      <c r="C196">
        <v>39610698</v>
      </c>
      <c r="D196">
        <v>36882159</v>
      </c>
      <c r="E196">
        <v>1</v>
      </c>
      <c r="F196">
        <v>1</v>
      </c>
      <c r="G196">
        <v>1</v>
      </c>
      <c r="H196">
        <v>2</v>
      </c>
      <c r="I196" t="s">
        <v>408</v>
      </c>
      <c r="J196" t="s">
        <v>409</v>
      </c>
      <c r="K196" t="s">
        <v>410</v>
      </c>
      <c r="L196">
        <v>1368</v>
      </c>
      <c r="N196">
        <v>1011</v>
      </c>
      <c r="O196" t="s">
        <v>411</v>
      </c>
      <c r="P196" t="s">
        <v>411</v>
      </c>
      <c r="Q196">
        <v>1</v>
      </c>
      <c r="X196">
        <v>0.31</v>
      </c>
      <c r="Y196">
        <v>0</v>
      </c>
      <c r="Z196">
        <v>111.99</v>
      </c>
      <c r="AA196">
        <v>13.5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0.31</v>
      </c>
      <c r="AH196">
        <v>2</v>
      </c>
      <c r="AI196">
        <v>39610701</v>
      </c>
      <c r="AJ196">
        <v>212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ROW(Source!A64)</f>
        <v>64</v>
      </c>
      <c r="B197">
        <v>39610702</v>
      </c>
      <c r="C197">
        <v>39610698</v>
      </c>
      <c r="D197">
        <v>36882292</v>
      </c>
      <c r="E197">
        <v>1</v>
      </c>
      <c r="F197">
        <v>1</v>
      </c>
      <c r="G197">
        <v>1</v>
      </c>
      <c r="H197">
        <v>2</v>
      </c>
      <c r="I197" t="s">
        <v>586</v>
      </c>
      <c r="J197" t="s">
        <v>587</v>
      </c>
      <c r="K197" t="s">
        <v>588</v>
      </c>
      <c r="L197">
        <v>1368</v>
      </c>
      <c r="N197">
        <v>1011</v>
      </c>
      <c r="O197" t="s">
        <v>411</v>
      </c>
      <c r="P197" t="s">
        <v>411</v>
      </c>
      <c r="Q197">
        <v>1</v>
      </c>
      <c r="X197">
        <v>2.58</v>
      </c>
      <c r="Y197">
        <v>0</v>
      </c>
      <c r="Z197">
        <v>0.9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2.58</v>
      </c>
      <c r="AH197">
        <v>2</v>
      </c>
      <c r="AI197">
        <v>39610702</v>
      </c>
      <c r="AJ197">
        <v>213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ROW(Source!A64)</f>
        <v>64</v>
      </c>
      <c r="B198">
        <v>39610703</v>
      </c>
      <c r="C198">
        <v>39610698</v>
      </c>
      <c r="D198">
        <v>36882357</v>
      </c>
      <c r="E198">
        <v>1</v>
      </c>
      <c r="F198">
        <v>1</v>
      </c>
      <c r="G198">
        <v>1</v>
      </c>
      <c r="H198">
        <v>2</v>
      </c>
      <c r="I198" t="s">
        <v>589</v>
      </c>
      <c r="J198" t="s">
        <v>590</v>
      </c>
      <c r="K198" t="s">
        <v>591</v>
      </c>
      <c r="L198">
        <v>1368</v>
      </c>
      <c r="N198">
        <v>1011</v>
      </c>
      <c r="O198" t="s">
        <v>411</v>
      </c>
      <c r="P198" t="s">
        <v>411</v>
      </c>
      <c r="Q198">
        <v>1</v>
      </c>
      <c r="X198">
        <v>2.58</v>
      </c>
      <c r="Y198">
        <v>0</v>
      </c>
      <c r="Z198">
        <v>3.28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2.58</v>
      </c>
      <c r="AH198">
        <v>2</v>
      </c>
      <c r="AI198">
        <v>39610703</v>
      </c>
      <c r="AJ198">
        <v>214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ROW(Source!A64)</f>
        <v>64</v>
      </c>
      <c r="B199">
        <v>39610704</v>
      </c>
      <c r="C199">
        <v>39610698</v>
      </c>
      <c r="D199">
        <v>36883554</v>
      </c>
      <c r="E199">
        <v>1</v>
      </c>
      <c r="F199">
        <v>1</v>
      </c>
      <c r="G199">
        <v>1</v>
      </c>
      <c r="H199">
        <v>2</v>
      </c>
      <c r="I199" t="s">
        <v>412</v>
      </c>
      <c r="J199" t="s">
        <v>413</v>
      </c>
      <c r="K199" t="s">
        <v>414</v>
      </c>
      <c r="L199">
        <v>1368</v>
      </c>
      <c r="N199">
        <v>1011</v>
      </c>
      <c r="O199" t="s">
        <v>411</v>
      </c>
      <c r="P199" t="s">
        <v>411</v>
      </c>
      <c r="Q199">
        <v>1</v>
      </c>
      <c r="X199">
        <v>0.31</v>
      </c>
      <c r="Y199">
        <v>0</v>
      </c>
      <c r="Z199">
        <v>65.709999999999994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0.31</v>
      </c>
      <c r="AH199">
        <v>2</v>
      </c>
      <c r="AI199">
        <v>39610704</v>
      </c>
      <c r="AJ199">
        <v>215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ROW(Source!A64)</f>
        <v>64</v>
      </c>
      <c r="B200">
        <v>39610705</v>
      </c>
      <c r="C200">
        <v>39610698</v>
      </c>
      <c r="D200">
        <v>36802106</v>
      </c>
      <c r="E200">
        <v>1</v>
      </c>
      <c r="F200">
        <v>1</v>
      </c>
      <c r="G200">
        <v>1</v>
      </c>
      <c r="H200">
        <v>3</v>
      </c>
      <c r="I200" t="s">
        <v>592</v>
      </c>
      <c r="J200" t="s">
        <v>593</v>
      </c>
      <c r="K200" t="s">
        <v>594</v>
      </c>
      <c r="L200">
        <v>1308</v>
      </c>
      <c r="N200">
        <v>1003</v>
      </c>
      <c r="O200" t="s">
        <v>36</v>
      </c>
      <c r="P200" t="s">
        <v>36</v>
      </c>
      <c r="Q200">
        <v>100</v>
      </c>
      <c r="X200">
        <v>9.5999999999999992E-3</v>
      </c>
      <c r="Y200">
        <v>120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9.5999999999999992E-3</v>
      </c>
      <c r="AH200">
        <v>2</v>
      </c>
      <c r="AI200">
        <v>39610705</v>
      </c>
      <c r="AJ200">
        <v>216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ROW(Source!A64)</f>
        <v>64</v>
      </c>
      <c r="B201">
        <v>39610706</v>
      </c>
      <c r="C201">
        <v>39610698</v>
      </c>
      <c r="D201">
        <v>36825981</v>
      </c>
      <c r="E201">
        <v>1</v>
      </c>
      <c r="F201">
        <v>1</v>
      </c>
      <c r="G201">
        <v>1</v>
      </c>
      <c r="H201">
        <v>3</v>
      </c>
      <c r="I201" t="s">
        <v>432</v>
      </c>
      <c r="J201" t="s">
        <v>433</v>
      </c>
      <c r="K201" t="s">
        <v>434</v>
      </c>
      <c r="L201">
        <v>1348</v>
      </c>
      <c r="N201">
        <v>1009</v>
      </c>
      <c r="O201" t="s">
        <v>237</v>
      </c>
      <c r="P201" t="s">
        <v>237</v>
      </c>
      <c r="Q201">
        <v>1000</v>
      </c>
      <c r="X201">
        <v>1E-3</v>
      </c>
      <c r="Y201">
        <v>5000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1E-3</v>
      </c>
      <c r="AH201">
        <v>2</v>
      </c>
      <c r="AI201">
        <v>39610706</v>
      </c>
      <c r="AJ201">
        <v>217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ROW(Source!A64)</f>
        <v>64</v>
      </c>
      <c r="B202">
        <v>39610707</v>
      </c>
      <c r="C202">
        <v>39610698</v>
      </c>
      <c r="D202">
        <v>36826070</v>
      </c>
      <c r="E202">
        <v>1</v>
      </c>
      <c r="F202">
        <v>1</v>
      </c>
      <c r="G202">
        <v>1</v>
      </c>
      <c r="H202">
        <v>3</v>
      </c>
      <c r="I202" t="s">
        <v>595</v>
      </c>
      <c r="J202" t="s">
        <v>596</v>
      </c>
      <c r="K202" t="s">
        <v>597</v>
      </c>
      <c r="L202">
        <v>1348</v>
      </c>
      <c r="N202">
        <v>1009</v>
      </c>
      <c r="O202" t="s">
        <v>237</v>
      </c>
      <c r="P202" t="s">
        <v>237</v>
      </c>
      <c r="Q202">
        <v>1000</v>
      </c>
      <c r="X202">
        <v>0.01</v>
      </c>
      <c r="Y202">
        <v>5763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0.01</v>
      </c>
      <c r="AH202">
        <v>2</v>
      </c>
      <c r="AI202">
        <v>39610707</v>
      </c>
      <c r="AJ202">
        <v>218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ROW(Source!A64)</f>
        <v>64</v>
      </c>
      <c r="B203">
        <v>39610708</v>
      </c>
      <c r="C203">
        <v>39610698</v>
      </c>
      <c r="D203">
        <v>36838317</v>
      </c>
      <c r="E203">
        <v>1</v>
      </c>
      <c r="F203">
        <v>1</v>
      </c>
      <c r="G203">
        <v>1</v>
      </c>
      <c r="H203">
        <v>3</v>
      </c>
      <c r="I203" t="s">
        <v>435</v>
      </c>
      <c r="J203" t="s">
        <v>436</v>
      </c>
      <c r="K203" t="s">
        <v>437</v>
      </c>
      <c r="L203">
        <v>1346</v>
      </c>
      <c r="N203">
        <v>1009</v>
      </c>
      <c r="O203" t="s">
        <v>424</v>
      </c>
      <c r="P203" t="s">
        <v>424</v>
      </c>
      <c r="Q203">
        <v>1</v>
      </c>
      <c r="X203">
        <v>0.25</v>
      </c>
      <c r="Y203">
        <v>28.6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0.25</v>
      </c>
      <c r="AH203">
        <v>2</v>
      </c>
      <c r="AI203">
        <v>39610708</v>
      </c>
      <c r="AJ203">
        <v>219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ROW(Source!A64)</f>
        <v>64</v>
      </c>
      <c r="B204">
        <v>39610709</v>
      </c>
      <c r="C204">
        <v>39610698</v>
      </c>
      <c r="D204">
        <v>36838354</v>
      </c>
      <c r="E204">
        <v>1</v>
      </c>
      <c r="F204">
        <v>1</v>
      </c>
      <c r="G204">
        <v>1</v>
      </c>
      <c r="H204">
        <v>3</v>
      </c>
      <c r="I204" t="s">
        <v>449</v>
      </c>
      <c r="J204" t="s">
        <v>450</v>
      </c>
      <c r="K204" t="s">
        <v>451</v>
      </c>
      <c r="L204">
        <v>1348</v>
      </c>
      <c r="N204">
        <v>1009</v>
      </c>
      <c r="O204" t="s">
        <v>237</v>
      </c>
      <c r="P204" t="s">
        <v>237</v>
      </c>
      <c r="Q204">
        <v>1000</v>
      </c>
      <c r="X204">
        <v>6.0000000000000002E-5</v>
      </c>
      <c r="Y204">
        <v>7826.9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6.0000000000000002E-5</v>
      </c>
      <c r="AH204">
        <v>2</v>
      </c>
      <c r="AI204">
        <v>39610709</v>
      </c>
      <c r="AJ204">
        <v>220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ROW(Source!A64)</f>
        <v>64</v>
      </c>
      <c r="B205">
        <v>39610710</v>
      </c>
      <c r="C205">
        <v>39610698</v>
      </c>
      <c r="D205">
        <v>36799065</v>
      </c>
      <c r="E205">
        <v>17</v>
      </c>
      <c r="F205">
        <v>1</v>
      </c>
      <c r="G205">
        <v>1</v>
      </c>
      <c r="H205">
        <v>3</v>
      </c>
      <c r="I205" t="s">
        <v>438</v>
      </c>
      <c r="J205" t="s">
        <v>3</v>
      </c>
      <c r="K205" t="s">
        <v>439</v>
      </c>
      <c r="L205">
        <v>1374</v>
      </c>
      <c r="N205">
        <v>1013</v>
      </c>
      <c r="O205" t="s">
        <v>440</v>
      </c>
      <c r="P205" t="s">
        <v>440</v>
      </c>
      <c r="Q205">
        <v>1</v>
      </c>
      <c r="X205">
        <v>2.12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2.12</v>
      </c>
      <c r="AH205">
        <v>2</v>
      </c>
      <c r="AI205">
        <v>39610710</v>
      </c>
      <c r="AJ205">
        <v>224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ROW(Source!A68)</f>
        <v>68</v>
      </c>
      <c r="B206">
        <v>39614122</v>
      </c>
      <c r="C206">
        <v>39614121</v>
      </c>
      <c r="D206">
        <v>37072767</v>
      </c>
      <c r="E206">
        <v>1</v>
      </c>
      <c r="F206">
        <v>1</v>
      </c>
      <c r="G206">
        <v>1</v>
      </c>
      <c r="H206">
        <v>1</v>
      </c>
      <c r="I206" t="s">
        <v>598</v>
      </c>
      <c r="J206" t="s">
        <v>3</v>
      </c>
      <c r="K206" t="s">
        <v>599</v>
      </c>
      <c r="L206">
        <v>1191</v>
      </c>
      <c r="N206">
        <v>1013</v>
      </c>
      <c r="O206" t="s">
        <v>405</v>
      </c>
      <c r="P206" t="s">
        <v>405</v>
      </c>
      <c r="Q206">
        <v>1</v>
      </c>
      <c r="X206">
        <v>15.2</v>
      </c>
      <c r="Y206">
        <v>0</v>
      </c>
      <c r="Z206">
        <v>0</v>
      </c>
      <c r="AA206">
        <v>0</v>
      </c>
      <c r="AB206">
        <v>9.18</v>
      </c>
      <c r="AC206">
        <v>0</v>
      </c>
      <c r="AD206">
        <v>1</v>
      </c>
      <c r="AE206">
        <v>1</v>
      </c>
      <c r="AF206" t="s">
        <v>3</v>
      </c>
      <c r="AG206">
        <v>15.2</v>
      </c>
      <c r="AH206">
        <v>2</v>
      </c>
      <c r="AI206">
        <v>39614122</v>
      </c>
      <c r="AJ206">
        <v>225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ROW(Source!A68)</f>
        <v>68</v>
      </c>
      <c r="B207">
        <v>39614123</v>
      </c>
      <c r="C207">
        <v>39614121</v>
      </c>
      <c r="D207">
        <v>36804661</v>
      </c>
      <c r="E207">
        <v>1</v>
      </c>
      <c r="F207">
        <v>1</v>
      </c>
      <c r="G207">
        <v>1</v>
      </c>
      <c r="H207">
        <v>3</v>
      </c>
      <c r="I207" t="s">
        <v>600</v>
      </c>
      <c r="J207" t="s">
        <v>601</v>
      </c>
      <c r="K207" t="s">
        <v>602</v>
      </c>
      <c r="L207">
        <v>1355</v>
      </c>
      <c r="N207">
        <v>1010</v>
      </c>
      <c r="O207" t="s">
        <v>148</v>
      </c>
      <c r="P207" t="s">
        <v>148</v>
      </c>
      <c r="Q207">
        <v>100</v>
      </c>
      <c r="X207">
        <v>1.75</v>
      </c>
      <c r="Y207">
        <v>8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1.75</v>
      </c>
      <c r="AH207">
        <v>2</v>
      </c>
      <c r="AI207">
        <v>39614123</v>
      </c>
      <c r="AJ207">
        <v>226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ROW(Source!A68)</f>
        <v>68</v>
      </c>
      <c r="B208">
        <v>39614124</v>
      </c>
      <c r="C208">
        <v>39614121</v>
      </c>
      <c r="D208">
        <v>36799065</v>
      </c>
      <c r="E208">
        <v>17</v>
      </c>
      <c r="F208">
        <v>1</v>
      </c>
      <c r="G208">
        <v>1</v>
      </c>
      <c r="H208">
        <v>3</v>
      </c>
      <c r="I208" t="s">
        <v>438</v>
      </c>
      <c r="J208" t="s">
        <v>3</v>
      </c>
      <c r="K208" t="s">
        <v>439</v>
      </c>
      <c r="L208">
        <v>1374</v>
      </c>
      <c r="N208">
        <v>1013</v>
      </c>
      <c r="O208" t="s">
        <v>440</v>
      </c>
      <c r="P208" t="s">
        <v>440</v>
      </c>
      <c r="Q208">
        <v>1</v>
      </c>
      <c r="X208">
        <v>2.79</v>
      </c>
      <c r="Y208">
        <v>1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2.79</v>
      </c>
      <c r="AH208">
        <v>2</v>
      </c>
      <c r="AI208">
        <v>39614124</v>
      </c>
      <c r="AJ208">
        <v>228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ROW(Source!A70)</f>
        <v>70</v>
      </c>
      <c r="B209">
        <v>39614215</v>
      </c>
      <c r="C209">
        <v>39614214</v>
      </c>
      <c r="D209">
        <v>37064878</v>
      </c>
      <c r="E209">
        <v>1</v>
      </c>
      <c r="F209">
        <v>1</v>
      </c>
      <c r="G209">
        <v>1</v>
      </c>
      <c r="H209">
        <v>1</v>
      </c>
      <c r="I209" t="s">
        <v>517</v>
      </c>
      <c r="J209" t="s">
        <v>3</v>
      </c>
      <c r="K209" t="s">
        <v>518</v>
      </c>
      <c r="L209">
        <v>1191</v>
      </c>
      <c r="N209">
        <v>1013</v>
      </c>
      <c r="O209" t="s">
        <v>405</v>
      </c>
      <c r="P209" t="s">
        <v>405</v>
      </c>
      <c r="Q209">
        <v>1</v>
      </c>
      <c r="X209">
        <v>16.600000000000001</v>
      </c>
      <c r="Y209">
        <v>0</v>
      </c>
      <c r="Z209">
        <v>0</v>
      </c>
      <c r="AA209">
        <v>0</v>
      </c>
      <c r="AB209">
        <v>9.4</v>
      </c>
      <c r="AC209">
        <v>0</v>
      </c>
      <c r="AD209">
        <v>1</v>
      </c>
      <c r="AE209">
        <v>1</v>
      </c>
      <c r="AF209" t="s">
        <v>3</v>
      </c>
      <c r="AG209">
        <v>16.600000000000001</v>
      </c>
      <c r="AH209">
        <v>2</v>
      </c>
      <c r="AI209">
        <v>39614215</v>
      </c>
      <c r="AJ209">
        <v>229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ROW(Source!A70)</f>
        <v>70</v>
      </c>
      <c r="B210">
        <v>39614216</v>
      </c>
      <c r="C210">
        <v>39614214</v>
      </c>
      <c r="D210">
        <v>37064876</v>
      </c>
      <c r="E210">
        <v>1</v>
      </c>
      <c r="F210">
        <v>1</v>
      </c>
      <c r="G210">
        <v>1</v>
      </c>
      <c r="H210">
        <v>1</v>
      </c>
      <c r="I210" t="s">
        <v>406</v>
      </c>
      <c r="J210" t="s">
        <v>3</v>
      </c>
      <c r="K210" t="s">
        <v>407</v>
      </c>
      <c r="L210">
        <v>1191</v>
      </c>
      <c r="N210">
        <v>1013</v>
      </c>
      <c r="O210" t="s">
        <v>405</v>
      </c>
      <c r="P210" t="s">
        <v>405</v>
      </c>
      <c r="Q210">
        <v>1</v>
      </c>
      <c r="X210">
        <v>0.44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3</v>
      </c>
      <c r="AG210">
        <v>0.44</v>
      </c>
      <c r="AH210">
        <v>2</v>
      </c>
      <c r="AI210">
        <v>39614216</v>
      </c>
      <c r="AJ210">
        <v>230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ROW(Source!A70)</f>
        <v>70</v>
      </c>
      <c r="B211">
        <v>39614217</v>
      </c>
      <c r="C211">
        <v>39614214</v>
      </c>
      <c r="D211">
        <v>36882159</v>
      </c>
      <c r="E211">
        <v>1</v>
      </c>
      <c r="F211">
        <v>1</v>
      </c>
      <c r="G211">
        <v>1</v>
      </c>
      <c r="H211">
        <v>2</v>
      </c>
      <c r="I211" t="s">
        <v>408</v>
      </c>
      <c r="J211" t="s">
        <v>409</v>
      </c>
      <c r="K211" t="s">
        <v>410</v>
      </c>
      <c r="L211">
        <v>1368</v>
      </c>
      <c r="N211">
        <v>1011</v>
      </c>
      <c r="O211" t="s">
        <v>411</v>
      </c>
      <c r="P211" t="s">
        <v>411</v>
      </c>
      <c r="Q211">
        <v>1</v>
      </c>
      <c r="X211">
        <v>0.22</v>
      </c>
      <c r="Y211">
        <v>0</v>
      </c>
      <c r="Z211">
        <v>111.99</v>
      </c>
      <c r="AA211">
        <v>13.5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0.22</v>
      </c>
      <c r="AH211">
        <v>2</v>
      </c>
      <c r="AI211">
        <v>39614217</v>
      </c>
      <c r="AJ211">
        <v>231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ROW(Source!A70)</f>
        <v>70</v>
      </c>
      <c r="B212">
        <v>39614218</v>
      </c>
      <c r="C212">
        <v>39614214</v>
      </c>
      <c r="D212">
        <v>36883554</v>
      </c>
      <c r="E212">
        <v>1</v>
      </c>
      <c r="F212">
        <v>1</v>
      </c>
      <c r="G212">
        <v>1</v>
      </c>
      <c r="H212">
        <v>2</v>
      </c>
      <c r="I212" t="s">
        <v>412</v>
      </c>
      <c r="J212" t="s">
        <v>413</v>
      </c>
      <c r="K212" t="s">
        <v>414</v>
      </c>
      <c r="L212">
        <v>1368</v>
      </c>
      <c r="N212">
        <v>1011</v>
      </c>
      <c r="O212" t="s">
        <v>411</v>
      </c>
      <c r="P212" t="s">
        <v>411</v>
      </c>
      <c r="Q212">
        <v>1</v>
      </c>
      <c r="X212">
        <v>0.22</v>
      </c>
      <c r="Y212">
        <v>0</v>
      </c>
      <c r="Z212">
        <v>65.709999999999994</v>
      </c>
      <c r="AA212">
        <v>11.6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0.22</v>
      </c>
      <c r="AH212">
        <v>2</v>
      </c>
      <c r="AI212">
        <v>39614218</v>
      </c>
      <c r="AJ212">
        <v>232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ROW(Source!A70)</f>
        <v>70</v>
      </c>
      <c r="B213">
        <v>39614219</v>
      </c>
      <c r="C213">
        <v>39614214</v>
      </c>
      <c r="D213">
        <v>36883858</v>
      </c>
      <c r="E213">
        <v>1</v>
      </c>
      <c r="F213">
        <v>1</v>
      </c>
      <c r="G213">
        <v>1</v>
      </c>
      <c r="H213">
        <v>2</v>
      </c>
      <c r="I213" t="s">
        <v>415</v>
      </c>
      <c r="J213" t="s">
        <v>416</v>
      </c>
      <c r="K213" t="s">
        <v>417</v>
      </c>
      <c r="L213">
        <v>1368</v>
      </c>
      <c r="N213">
        <v>1011</v>
      </c>
      <c r="O213" t="s">
        <v>411</v>
      </c>
      <c r="P213" t="s">
        <v>411</v>
      </c>
      <c r="Q213">
        <v>1</v>
      </c>
      <c r="X213">
        <v>3.13</v>
      </c>
      <c r="Y213">
        <v>0</v>
      </c>
      <c r="Z213">
        <v>8.1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3.13</v>
      </c>
      <c r="AH213">
        <v>2</v>
      </c>
      <c r="AI213">
        <v>39614219</v>
      </c>
      <c r="AJ213">
        <v>233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ROW(Source!A70)</f>
        <v>70</v>
      </c>
      <c r="B214">
        <v>39614220</v>
      </c>
      <c r="C214">
        <v>39614214</v>
      </c>
      <c r="D214">
        <v>36803258</v>
      </c>
      <c r="E214">
        <v>1</v>
      </c>
      <c r="F214">
        <v>1</v>
      </c>
      <c r="G214">
        <v>1</v>
      </c>
      <c r="H214">
        <v>3</v>
      </c>
      <c r="I214" t="s">
        <v>421</v>
      </c>
      <c r="J214" t="s">
        <v>422</v>
      </c>
      <c r="K214" t="s">
        <v>423</v>
      </c>
      <c r="L214">
        <v>1346</v>
      </c>
      <c r="N214">
        <v>1009</v>
      </c>
      <c r="O214" t="s">
        <v>424</v>
      </c>
      <c r="P214" t="s">
        <v>424</v>
      </c>
      <c r="Q214">
        <v>1</v>
      </c>
      <c r="X214">
        <v>0.9</v>
      </c>
      <c r="Y214">
        <v>10.57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0.9</v>
      </c>
      <c r="AH214">
        <v>2</v>
      </c>
      <c r="AI214">
        <v>39614220</v>
      </c>
      <c r="AJ214">
        <v>234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ROW(Source!A70)</f>
        <v>70</v>
      </c>
      <c r="B215">
        <v>39614221</v>
      </c>
      <c r="C215">
        <v>39614214</v>
      </c>
      <c r="D215">
        <v>36838321</v>
      </c>
      <c r="E215">
        <v>1</v>
      </c>
      <c r="F215">
        <v>1</v>
      </c>
      <c r="G215">
        <v>1</v>
      </c>
      <c r="H215">
        <v>3</v>
      </c>
      <c r="I215" t="s">
        <v>603</v>
      </c>
      <c r="J215" t="s">
        <v>604</v>
      </c>
      <c r="K215" t="s">
        <v>605</v>
      </c>
      <c r="L215">
        <v>1346</v>
      </c>
      <c r="N215">
        <v>1009</v>
      </c>
      <c r="O215" t="s">
        <v>424</v>
      </c>
      <c r="P215" t="s">
        <v>424</v>
      </c>
      <c r="Q215">
        <v>1</v>
      </c>
      <c r="X215">
        <v>3.7</v>
      </c>
      <c r="Y215">
        <v>238.48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3.7</v>
      </c>
      <c r="AH215">
        <v>2</v>
      </c>
      <c r="AI215">
        <v>39614221</v>
      </c>
      <c r="AJ215">
        <v>236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ROW(Source!A70)</f>
        <v>70</v>
      </c>
      <c r="B216">
        <v>39614222</v>
      </c>
      <c r="C216">
        <v>39614214</v>
      </c>
      <c r="D216">
        <v>36799065</v>
      </c>
      <c r="E216">
        <v>17</v>
      </c>
      <c r="F216">
        <v>1</v>
      </c>
      <c r="G216">
        <v>1</v>
      </c>
      <c r="H216">
        <v>3</v>
      </c>
      <c r="I216" t="s">
        <v>438</v>
      </c>
      <c r="J216" t="s">
        <v>3</v>
      </c>
      <c r="K216" t="s">
        <v>439</v>
      </c>
      <c r="L216">
        <v>1374</v>
      </c>
      <c r="N216">
        <v>1013</v>
      </c>
      <c r="O216" t="s">
        <v>440</v>
      </c>
      <c r="P216" t="s">
        <v>440</v>
      </c>
      <c r="Q216">
        <v>1</v>
      </c>
      <c r="X216">
        <v>3.12</v>
      </c>
      <c r="Y216">
        <v>1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3.12</v>
      </c>
      <c r="AH216">
        <v>2</v>
      </c>
      <c r="AI216">
        <v>39614222</v>
      </c>
      <c r="AJ216">
        <v>237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ROW(Source!A72)</f>
        <v>72</v>
      </c>
      <c r="B217">
        <v>39614139</v>
      </c>
      <c r="C217">
        <v>39614138</v>
      </c>
      <c r="D217">
        <v>37064878</v>
      </c>
      <c r="E217">
        <v>1</v>
      </c>
      <c r="F217">
        <v>1</v>
      </c>
      <c r="G217">
        <v>1</v>
      </c>
      <c r="H217">
        <v>1</v>
      </c>
      <c r="I217" t="s">
        <v>517</v>
      </c>
      <c r="J217" t="s">
        <v>3</v>
      </c>
      <c r="K217" t="s">
        <v>518</v>
      </c>
      <c r="L217">
        <v>1191</v>
      </c>
      <c r="N217">
        <v>1013</v>
      </c>
      <c r="O217" t="s">
        <v>405</v>
      </c>
      <c r="P217" t="s">
        <v>405</v>
      </c>
      <c r="Q217">
        <v>1</v>
      </c>
      <c r="X217">
        <v>5.39</v>
      </c>
      <c r="Y217">
        <v>0</v>
      </c>
      <c r="Z217">
        <v>0</v>
      </c>
      <c r="AA217">
        <v>0</v>
      </c>
      <c r="AB217">
        <v>9.4</v>
      </c>
      <c r="AC217">
        <v>0</v>
      </c>
      <c r="AD217">
        <v>1</v>
      </c>
      <c r="AE217">
        <v>1</v>
      </c>
      <c r="AF217" t="s">
        <v>3</v>
      </c>
      <c r="AG217">
        <v>5.39</v>
      </c>
      <c r="AH217">
        <v>2</v>
      </c>
      <c r="AI217">
        <v>39614139</v>
      </c>
      <c r="AJ217">
        <v>238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ROW(Source!A72)</f>
        <v>72</v>
      </c>
      <c r="B218">
        <v>39614140</v>
      </c>
      <c r="C218">
        <v>39614138</v>
      </c>
      <c r="D218">
        <v>37064876</v>
      </c>
      <c r="E218">
        <v>1</v>
      </c>
      <c r="F218">
        <v>1</v>
      </c>
      <c r="G218">
        <v>1</v>
      </c>
      <c r="H218">
        <v>1</v>
      </c>
      <c r="I218" t="s">
        <v>406</v>
      </c>
      <c r="J218" t="s">
        <v>3</v>
      </c>
      <c r="K218" t="s">
        <v>407</v>
      </c>
      <c r="L218">
        <v>1191</v>
      </c>
      <c r="N218">
        <v>1013</v>
      </c>
      <c r="O218" t="s">
        <v>405</v>
      </c>
      <c r="P218" t="s">
        <v>405</v>
      </c>
      <c r="Q218">
        <v>1</v>
      </c>
      <c r="X218">
        <v>0.04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2</v>
      </c>
      <c r="AF218" t="s">
        <v>3</v>
      </c>
      <c r="AG218">
        <v>0.04</v>
      </c>
      <c r="AH218">
        <v>2</v>
      </c>
      <c r="AI218">
        <v>39614140</v>
      </c>
      <c r="AJ218">
        <v>239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ROW(Source!A72)</f>
        <v>72</v>
      </c>
      <c r="B219">
        <v>39614141</v>
      </c>
      <c r="C219">
        <v>39614138</v>
      </c>
      <c r="D219">
        <v>36882159</v>
      </c>
      <c r="E219">
        <v>1</v>
      </c>
      <c r="F219">
        <v>1</v>
      </c>
      <c r="G219">
        <v>1</v>
      </c>
      <c r="H219">
        <v>2</v>
      </c>
      <c r="I219" t="s">
        <v>408</v>
      </c>
      <c r="J219" t="s">
        <v>409</v>
      </c>
      <c r="K219" t="s">
        <v>410</v>
      </c>
      <c r="L219">
        <v>1368</v>
      </c>
      <c r="N219">
        <v>1011</v>
      </c>
      <c r="O219" t="s">
        <v>411</v>
      </c>
      <c r="P219" t="s">
        <v>411</v>
      </c>
      <c r="Q219">
        <v>1</v>
      </c>
      <c r="X219">
        <v>0.02</v>
      </c>
      <c r="Y219">
        <v>0</v>
      </c>
      <c r="Z219">
        <v>111.99</v>
      </c>
      <c r="AA219">
        <v>13.5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0.02</v>
      </c>
      <c r="AH219">
        <v>2</v>
      </c>
      <c r="AI219">
        <v>39614141</v>
      </c>
      <c r="AJ219">
        <v>240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ROW(Source!A72)</f>
        <v>72</v>
      </c>
      <c r="B220">
        <v>39614142</v>
      </c>
      <c r="C220">
        <v>39614138</v>
      </c>
      <c r="D220">
        <v>36883554</v>
      </c>
      <c r="E220">
        <v>1</v>
      </c>
      <c r="F220">
        <v>1</v>
      </c>
      <c r="G220">
        <v>1</v>
      </c>
      <c r="H220">
        <v>2</v>
      </c>
      <c r="I220" t="s">
        <v>412</v>
      </c>
      <c r="J220" t="s">
        <v>413</v>
      </c>
      <c r="K220" t="s">
        <v>414</v>
      </c>
      <c r="L220">
        <v>1368</v>
      </c>
      <c r="N220">
        <v>1011</v>
      </c>
      <c r="O220" t="s">
        <v>411</v>
      </c>
      <c r="P220" t="s">
        <v>411</v>
      </c>
      <c r="Q220">
        <v>1</v>
      </c>
      <c r="X220">
        <v>0.02</v>
      </c>
      <c r="Y220">
        <v>0</v>
      </c>
      <c r="Z220">
        <v>65.709999999999994</v>
      </c>
      <c r="AA220">
        <v>11.6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0.02</v>
      </c>
      <c r="AH220">
        <v>2</v>
      </c>
      <c r="AI220">
        <v>39614142</v>
      </c>
      <c r="AJ220">
        <v>241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ROW(Source!A72)</f>
        <v>72</v>
      </c>
      <c r="B221">
        <v>39614143</v>
      </c>
      <c r="C221">
        <v>39614138</v>
      </c>
      <c r="D221">
        <v>36802094</v>
      </c>
      <c r="E221">
        <v>1</v>
      </c>
      <c r="F221">
        <v>1</v>
      </c>
      <c r="G221">
        <v>1</v>
      </c>
      <c r="H221">
        <v>3</v>
      </c>
      <c r="I221" t="s">
        <v>466</v>
      </c>
      <c r="J221" t="s">
        <v>467</v>
      </c>
      <c r="K221" t="s">
        <v>468</v>
      </c>
      <c r="L221">
        <v>1346</v>
      </c>
      <c r="N221">
        <v>1009</v>
      </c>
      <c r="O221" t="s">
        <v>424</v>
      </c>
      <c r="P221" t="s">
        <v>424</v>
      </c>
      <c r="Q221">
        <v>1</v>
      </c>
      <c r="X221">
        <v>0.16</v>
      </c>
      <c r="Y221">
        <v>30.4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0.16</v>
      </c>
      <c r="AH221">
        <v>2</v>
      </c>
      <c r="AI221">
        <v>39614143</v>
      </c>
      <c r="AJ221">
        <v>242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ROW(Source!A72)</f>
        <v>72</v>
      </c>
      <c r="B222">
        <v>39614144</v>
      </c>
      <c r="C222">
        <v>39614138</v>
      </c>
      <c r="D222">
        <v>36802373</v>
      </c>
      <c r="E222">
        <v>1</v>
      </c>
      <c r="F222">
        <v>1</v>
      </c>
      <c r="G222">
        <v>1</v>
      </c>
      <c r="H222">
        <v>3</v>
      </c>
      <c r="I222" t="s">
        <v>606</v>
      </c>
      <c r="J222" t="s">
        <v>607</v>
      </c>
      <c r="K222" t="s">
        <v>608</v>
      </c>
      <c r="L222">
        <v>1348</v>
      </c>
      <c r="N222">
        <v>1009</v>
      </c>
      <c r="O222" t="s">
        <v>237</v>
      </c>
      <c r="P222" t="s">
        <v>237</v>
      </c>
      <c r="Q222">
        <v>1000</v>
      </c>
      <c r="X222">
        <v>5.9999999999999995E-4</v>
      </c>
      <c r="Y222">
        <v>1820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5.9999999999999995E-4</v>
      </c>
      <c r="AH222">
        <v>2</v>
      </c>
      <c r="AI222">
        <v>39614144</v>
      </c>
      <c r="AJ222">
        <v>243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ROW(Source!A72)</f>
        <v>72</v>
      </c>
      <c r="B223">
        <v>39614145</v>
      </c>
      <c r="C223">
        <v>39614138</v>
      </c>
      <c r="D223">
        <v>36838317</v>
      </c>
      <c r="E223">
        <v>1</v>
      </c>
      <c r="F223">
        <v>1</v>
      </c>
      <c r="G223">
        <v>1</v>
      </c>
      <c r="H223">
        <v>3</v>
      </c>
      <c r="I223" t="s">
        <v>435</v>
      </c>
      <c r="J223" t="s">
        <v>436</v>
      </c>
      <c r="K223" t="s">
        <v>437</v>
      </c>
      <c r="L223">
        <v>1346</v>
      </c>
      <c r="N223">
        <v>1009</v>
      </c>
      <c r="O223" t="s">
        <v>424</v>
      </c>
      <c r="P223" t="s">
        <v>424</v>
      </c>
      <c r="Q223">
        <v>1</v>
      </c>
      <c r="X223">
        <v>0.02</v>
      </c>
      <c r="Y223">
        <v>28.6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0.02</v>
      </c>
      <c r="AH223">
        <v>2</v>
      </c>
      <c r="AI223">
        <v>39614145</v>
      </c>
      <c r="AJ223">
        <v>244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ROW(Source!A72)</f>
        <v>72</v>
      </c>
      <c r="B224">
        <v>39614146</v>
      </c>
      <c r="C224">
        <v>39614138</v>
      </c>
      <c r="D224">
        <v>36852009</v>
      </c>
      <c r="E224">
        <v>1</v>
      </c>
      <c r="F224">
        <v>1</v>
      </c>
      <c r="G224">
        <v>1</v>
      </c>
      <c r="H224">
        <v>3</v>
      </c>
      <c r="I224" t="s">
        <v>609</v>
      </c>
      <c r="J224" t="s">
        <v>610</v>
      </c>
      <c r="K224" t="s">
        <v>611</v>
      </c>
      <c r="L224">
        <v>1355</v>
      </c>
      <c r="N224">
        <v>1010</v>
      </c>
      <c r="O224" t="s">
        <v>148</v>
      </c>
      <c r="P224" t="s">
        <v>148</v>
      </c>
      <c r="Q224">
        <v>100</v>
      </c>
      <c r="X224">
        <v>0.05</v>
      </c>
      <c r="Y224">
        <v>110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0.05</v>
      </c>
      <c r="AH224">
        <v>2</v>
      </c>
      <c r="AI224">
        <v>39614146</v>
      </c>
      <c r="AJ224">
        <v>245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ROW(Source!A72)</f>
        <v>72</v>
      </c>
      <c r="B225">
        <v>39614147</v>
      </c>
      <c r="C225">
        <v>39614138</v>
      </c>
      <c r="D225">
        <v>36852060</v>
      </c>
      <c r="E225">
        <v>1</v>
      </c>
      <c r="F225">
        <v>1</v>
      </c>
      <c r="G225">
        <v>1</v>
      </c>
      <c r="H225">
        <v>3</v>
      </c>
      <c r="I225" t="s">
        <v>612</v>
      </c>
      <c r="J225" t="s">
        <v>613</v>
      </c>
      <c r="K225" t="s">
        <v>614</v>
      </c>
      <c r="L225">
        <v>1356</v>
      </c>
      <c r="N225">
        <v>1010</v>
      </c>
      <c r="O225" t="s">
        <v>75</v>
      </c>
      <c r="P225" t="s">
        <v>75</v>
      </c>
      <c r="Q225">
        <v>1000</v>
      </c>
      <c r="X225">
        <v>1.2200000000000001E-2</v>
      </c>
      <c r="Y225">
        <v>119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1.2200000000000001E-2</v>
      </c>
      <c r="AH225">
        <v>2</v>
      </c>
      <c r="AI225">
        <v>39614147</v>
      </c>
      <c r="AJ225">
        <v>246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ROW(Source!A72)</f>
        <v>72</v>
      </c>
      <c r="B226">
        <v>39614148</v>
      </c>
      <c r="C226">
        <v>39614138</v>
      </c>
      <c r="D226">
        <v>36799065</v>
      </c>
      <c r="E226">
        <v>17</v>
      </c>
      <c r="F226">
        <v>1</v>
      </c>
      <c r="G226">
        <v>1</v>
      </c>
      <c r="H226">
        <v>3</v>
      </c>
      <c r="I226" t="s">
        <v>438</v>
      </c>
      <c r="J226" t="s">
        <v>3</v>
      </c>
      <c r="K226" t="s">
        <v>439</v>
      </c>
      <c r="L226">
        <v>1374</v>
      </c>
      <c r="N226">
        <v>1013</v>
      </c>
      <c r="O226" t="s">
        <v>440</v>
      </c>
      <c r="P226" t="s">
        <v>440</v>
      </c>
      <c r="Q226">
        <v>1</v>
      </c>
      <c r="X226">
        <v>1.01</v>
      </c>
      <c r="Y226">
        <v>1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1.01</v>
      </c>
      <c r="AH226">
        <v>2</v>
      </c>
      <c r="AI226">
        <v>39614148</v>
      </c>
      <c r="AJ226">
        <v>248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ROW(Source!A74)</f>
        <v>74</v>
      </c>
      <c r="B227">
        <v>39610802</v>
      </c>
      <c r="C227">
        <v>39610801</v>
      </c>
      <c r="D227">
        <v>37071037</v>
      </c>
      <c r="E227">
        <v>1</v>
      </c>
      <c r="F227">
        <v>1</v>
      </c>
      <c r="G227">
        <v>1</v>
      </c>
      <c r="H227">
        <v>1</v>
      </c>
      <c r="I227" t="s">
        <v>403</v>
      </c>
      <c r="J227" t="s">
        <v>3</v>
      </c>
      <c r="K227" t="s">
        <v>404</v>
      </c>
      <c r="L227">
        <v>1191</v>
      </c>
      <c r="N227">
        <v>1013</v>
      </c>
      <c r="O227" t="s">
        <v>405</v>
      </c>
      <c r="P227" t="s">
        <v>405</v>
      </c>
      <c r="Q227">
        <v>1</v>
      </c>
      <c r="X227">
        <v>5.21</v>
      </c>
      <c r="Y227">
        <v>0</v>
      </c>
      <c r="Z227">
        <v>0</v>
      </c>
      <c r="AA227">
        <v>0</v>
      </c>
      <c r="AB227">
        <v>9.6199999999999992</v>
      </c>
      <c r="AC227">
        <v>0</v>
      </c>
      <c r="AD227">
        <v>1</v>
      </c>
      <c r="AE227">
        <v>1</v>
      </c>
      <c r="AF227" t="s">
        <v>3</v>
      </c>
      <c r="AG227">
        <v>5.21</v>
      </c>
      <c r="AH227">
        <v>2</v>
      </c>
      <c r="AI227">
        <v>39610802</v>
      </c>
      <c r="AJ227">
        <v>249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ROW(Source!A74)</f>
        <v>74</v>
      </c>
      <c r="B228">
        <v>39610803</v>
      </c>
      <c r="C228">
        <v>39610801</v>
      </c>
      <c r="D228">
        <v>37064876</v>
      </c>
      <c r="E228">
        <v>1</v>
      </c>
      <c r="F228">
        <v>1</v>
      </c>
      <c r="G228">
        <v>1</v>
      </c>
      <c r="H228">
        <v>1</v>
      </c>
      <c r="I228" t="s">
        <v>406</v>
      </c>
      <c r="J228" t="s">
        <v>3</v>
      </c>
      <c r="K228" t="s">
        <v>407</v>
      </c>
      <c r="L228">
        <v>1191</v>
      </c>
      <c r="N228">
        <v>1013</v>
      </c>
      <c r="O228" t="s">
        <v>405</v>
      </c>
      <c r="P228" t="s">
        <v>405</v>
      </c>
      <c r="Q228">
        <v>1</v>
      </c>
      <c r="X228">
        <v>3.46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3</v>
      </c>
      <c r="AG228">
        <v>3.46</v>
      </c>
      <c r="AH228">
        <v>2</v>
      </c>
      <c r="AI228">
        <v>39610803</v>
      </c>
      <c r="AJ228">
        <v>250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ROW(Source!A74)</f>
        <v>74</v>
      </c>
      <c r="B229">
        <v>39610804</v>
      </c>
      <c r="C229">
        <v>39610801</v>
      </c>
      <c r="D229">
        <v>36882159</v>
      </c>
      <c r="E229">
        <v>1</v>
      </c>
      <c r="F229">
        <v>1</v>
      </c>
      <c r="G229">
        <v>1</v>
      </c>
      <c r="H229">
        <v>2</v>
      </c>
      <c r="I229" t="s">
        <v>408</v>
      </c>
      <c r="J229" t="s">
        <v>409</v>
      </c>
      <c r="K229" t="s">
        <v>410</v>
      </c>
      <c r="L229">
        <v>1368</v>
      </c>
      <c r="N229">
        <v>1011</v>
      </c>
      <c r="O229" t="s">
        <v>411</v>
      </c>
      <c r="P229" t="s">
        <v>411</v>
      </c>
      <c r="Q229">
        <v>1</v>
      </c>
      <c r="X229">
        <v>1.73</v>
      </c>
      <c r="Y229">
        <v>0</v>
      </c>
      <c r="Z229">
        <v>111.99</v>
      </c>
      <c r="AA229">
        <v>13.5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1.73</v>
      </c>
      <c r="AH229">
        <v>2</v>
      </c>
      <c r="AI229">
        <v>39610804</v>
      </c>
      <c r="AJ229">
        <v>251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ROW(Source!A74)</f>
        <v>74</v>
      </c>
      <c r="B230">
        <v>39610805</v>
      </c>
      <c r="C230">
        <v>39610801</v>
      </c>
      <c r="D230">
        <v>36883554</v>
      </c>
      <c r="E230">
        <v>1</v>
      </c>
      <c r="F230">
        <v>1</v>
      </c>
      <c r="G230">
        <v>1</v>
      </c>
      <c r="H230">
        <v>2</v>
      </c>
      <c r="I230" t="s">
        <v>412</v>
      </c>
      <c r="J230" t="s">
        <v>413</v>
      </c>
      <c r="K230" t="s">
        <v>414</v>
      </c>
      <c r="L230">
        <v>1368</v>
      </c>
      <c r="N230">
        <v>1011</v>
      </c>
      <c r="O230" t="s">
        <v>411</v>
      </c>
      <c r="P230" t="s">
        <v>411</v>
      </c>
      <c r="Q230">
        <v>1</v>
      </c>
      <c r="X230">
        <v>1.73</v>
      </c>
      <c r="Y230">
        <v>0</v>
      </c>
      <c r="Z230">
        <v>65.709999999999994</v>
      </c>
      <c r="AA230">
        <v>11.6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1.73</v>
      </c>
      <c r="AH230">
        <v>2</v>
      </c>
      <c r="AI230">
        <v>39610805</v>
      </c>
      <c r="AJ230">
        <v>252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ROW(Source!A74)</f>
        <v>74</v>
      </c>
      <c r="B231">
        <v>39610806</v>
      </c>
      <c r="C231">
        <v>39610801</v>
      </c>
      <c r="D231">
        <v>36799065</v>
      </c>
      <c r="E231">
        <v>17</v>
      </c>
      <c r="F231">
        <v>1</v>
      </c>
      <c r="G231">
        <v>1</v>
      </c>
      <c r="H231">
        <v>3</v>
      </c>
      <c r="I231" t="s">
        <v>438</v>
      </c>
      <c r="J231" t="s">
        <v>3</v>
      </c>
      <c r="K231" t="s">
        <v>439</v>
      </c>
      <c r="L231">
        <v>1374</v>
      </c>
      <c r="N231">
        <v>1013</v>
      </c>
      <c r="O231" t="s">
        <v>440</v>
      </c>
      <c r="P231" t="s">
        <v>440</v>
      </c>
      <c r="Q231">
        <v>1</v>
      </c>
      <c r="X231">
        <v>1</v>
      </c>
      <c r="Y231">
        <v>1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1</v>
      </c>
      <c r="AH231">
        <v>2</v>
      </c>
      <c r="AI231">
        <v>39610806</v>
      </c>
      <c r="AJ231">
        <v>253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ROW(Source!A75)</f>
        <v>75</v>
      </c>
      <c r="B232">
        <v>39610812</v>
      </c>
      <c r="C232">
        <v>39610811</v>
      </c>
      <c r="D232">
        <v>37064876</v>
      </c>
      <c r="E232">
        <v>1</v>
      </c>
      <c r="F232">
        <v>1</v>
      </c>
      <c r="G232">
        <v>1</v>
      </c>
      <c r="H232">
        <v>1</v>
      </c>
      <c r="I232" t="s">
        <v>406</v>
      </c>
      <c r="J232" t="s">
        <v>3</v>
      </c>
      <c r="K232" t="s">
        <v>407</v>
      </c>
      <c r="L232">
        <v>1191</v>
      </c>
      <c r="N232">
        <v>1013</v>
      </c>
      <c r="O232" t="s">
        <v>405</v>
      </c>
      <c r="P232" t="s">
        <v>405</v>
      </c>
      <c r="Q232">
        <v>1</v>
      </c>
      <c r="X232">
        <v>8.8699999999999992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3</v>
      </c>
      <c r="AG232">
        <v>8.8699999999999992</v>
      </c>
      <c r="AH232">
        <v>2</v>
      </c>
      <c r="AI232">
        <v>39610812</v>
      </c>
      <c r="AJ232">
        <v>254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ROW(Source!A75)</f>
        <v>75</v>
      </c>
      <c r="B233">
        <v>39610813</v>
      </c>
      <c r="C233">
        <v>39610811</v>
      </c>
      <c r="D233">
        <v>36881354</v>
      </c>
      <c r="E233">
        <v>1</v>
      </c>
      <c r="F233">
        <v>1</v>
      </c>
      <c r="G233">
        <v>1</v>
      </c>
      <c r="H233">
        <v>2</v>
      </c>
      <c r="I233" t="s">
        <v>615</v>
      </c>
      <c r="J233" t="s">
        <v>616</v>
      </c>
      <c r="K233" t="s">
        <v>617</v>
      </c>
      <c r="L233">
        <v>1368</v>
      </c>
      <c r="N233">
        <v>1011</v>
      </c>
      <c r="O233" t="s">
        <v>411</v>
      </c>
      <c r="P233" t="s">
        <v>411</v>
      </c>
      <c r="Q233">
        <v>1</v>
      </c>
      <c r="X233">
        <v>8.8699999999999992</v>
      </c>
      <c r="Y233">
        <v>0</v>
      </c>
      <c r="Z233">
        <v>59.47</v>
      </c>
      <c r="AA233">
        <v>11.6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8.8699999999999992</v>
      </c>
      <c r="AH233">
        <v>2</v>
      </c>
      <c r="AI233">
        <v>39610813</v>
      </c>
      <c r="AJ233">
        <v>255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ROW(Source!A76)</f>
        <v>76</v>
      </c>
      <c r="B234">
        <v>39611973</v>
      </c>
      <c r="C234">
        <v>39611972</v>
      </c>
      <c r="D234">
        <v>37065248</v>
      </c>
      <c r="E234">
        <v>1</v>
      </c>
      <c r="F234">
        <v>1</v>
      </c>
      <c r="G234">
        <v>1</v>
      </c>
      <c r="H234">
        <v>1</v>
      </c>
      <c r="I234" t="s">
        <v>618</v>
      </c>
      <c r="J234" t="s">
        <v>3</v>
      </c>
      <c r="K234" t="s">
        <v>619</v>
      </c>
      <c r="L234">
        <v>1191</v>
      </c>
      <c r="N234">
        <v>1013</v>
      </c>
      <c r="O234" t="s">
        <v>405</v>
      </c>
      <c r="P234" t="s">
        <v>405</v>
      </c>
      <c r="Q234">
        <v>1</v>
      </c>
      <c r="X234">
        <v>9.06</v>
      </c>
      <c r="Y234">
        <v>0</v>
      </c>
      <c r="Z234">
        <v>0</v>
      </c>
      <c r="AA234">
        <v>0</v>
      </c>
      <c r="AB234">
        <v>8.5299999999999994</v>
      </c>
      <c r="AC234">
        <v>0</v>
      </c>
      <c r="AD234">
        <v>1</v>
      </c>
      <c r="AE234">
        <v>1</v>
      </c>
      <c r="AF234" t="s">
        <v>3</v>
      </c>
      <c r="AG234">
        <v>9.06</v>
      </c>
      <c r="AH234">
        <v>2</v>
      </c>
      <c r="AI234">
        <v>39611973</v>
      </c>
      <c r="AJ234">
        <v>256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ROW(Source!A77)</f>
        <v>77</v>
      </c>
      <c r="B235">
        <v>39614233</v>
      </c>
      <c r="C235">
        <v>39614232</v>
      </c>
      <c r="D235">
        <v>37519679</v>
      </c>
      <c r="E235">
        <v>1</v>
      </c>
      <c r="F235">
        <v>1</v>
      </c>
      <c r="G235">
        <v>1</v>
      </c>
      <c r="H235">
        <v>1</v>
      </c>
      <c r="I235" t="s">
        <v>620</v>
      </c>
      <c r="J235" t="s">
        <v>3</v>
      </c>
      <c r="K235" t="s">
        <v>621</v>
      </c>
      <c r="L235">
        <v>1191</v>
      </c>
      <c r="N235">
        <v>1013</v>
      </c>
      <c r="O235" t="s">
        <v>405</v>
      </c>
      <c r="P235" t="s">
        <v>405</v>
      </c>
      <c r="Q235">
        <v>1</v>
      </c>
      <c r="X235">
        <v>0.16</v>
      </c>
      <c r="Y235">
        <v>0</v>
      </c>
      <c r="Z235">
        <v>0</v>
      </c>
      <c r="AA235">
        <v>0</v>
      </c>
      <c r="AB235">
        <v>12.92</v>
      </c>
      <c r="AC235">
        <v>0</v>
      </c>
      <c r="AD235">
        <v>1</v>
      </c>
      <c r="AE235">
        <v>1</v>
      </c>
      <c r="AF235" t="s">
        <v>268</v>
      </c>
      <c r="AG235">
        <v>0.128</v>
      </c>
      <c r="AH235">
        <v>2</v>
      </c>
      <c r="AI235">
        <v>39614233</v>
      </c>
      <c r="AJ235">
        <v>257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ROW(Source!A77)</f>
        <v>77</v>
      </c>
      <c r="B236">
        <v>39614234</v>
      </c>
      <c r="C236">
        <v>39614232</v>
      </c>
      <c r="D236">
        <v>37518716</v>
      </c>
      <c r="E236">
        <v>1</v>
      </c>
      <c r="F236">
        <v>1</v>
      </c>
      <c r="G236">
        <v>1</v>
      </c>
      <c r="H236">
        <v>1</v>
      </c>
      <c r="I236" t="s">
        <v>622</v>
      </c>
      <c r="J236" t="s">
        <v>3</v>
      </c>
      <c r="K236" t="s">
        <v>623</v>
      </c>
      <c r="L236">
        <v>1191</v>
      </c>
      <c r="N236">
        <v>1013</v>
      </c>
      <c r="O236" t="s">
        <v>405</v>
      </c>
      <c r="P236" t="s">
        <v>405</v>
      </c>
      <c r="Q236">
        <v>1</v>
      </c>
      <c r="X236">
        <v>0.16</v>
      </c>
      <c r="Y236">
        <v>0</v>
      </c>
      <c r="Z236">
        <v>0</v>
      </c>
      <c r="AA236">
        <v>0</v>
      </c>
      <c r="AB236">
        <v>12.69</v>
      </c>
      <c r="AC236">
        <v>0</v>
      </c>
      <c r="AD236">
        <v>1</v>
      </c>
      <c r="AE236">
        <v>1</v>
      </c>
      <c r="AF236" t="s">
        <v>268</v>
      </c>
      <c r="AG236">
        <v>0.128</v>
      </c>
      <c r="AH236">
        <v>2</v>
      </c>
      <c r="AI236">
        <v>39614234</v>
      </c>
      <c r="AJ236">
        <v>258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ROW(Source!A78)</f>
        <v>78</v>
      </c>
      <c r="B237">
        <v>39614236</v>
      </c>
      <c r="C237">
        <v>39614235</v>
      </c>
      <c r="D237">
        <v>37518712</v>
      </c>
      <c r="E237">
        <v>1</v>
      </c>
      <c r="F237">
        <v>1</v>
      </c>
      <c r="G237">
        <v>1</v>
      </c>
      <c r="H237">
        <v>1</v>
      </c>
      <c r="I237" t="s">
        <v>624</v>
      </c>
      <c r="J237" t="s">
        <v>3</v>
      </c>
      <c r="K237" t="s">
        <v>625</v>
      </c>
      <c r="L237">
        <v>1191</v>
      </c>
      <c r="N237">
        <v>1013</v>
      </c>
      <c r="O237" t="s">
        <v>405</v>
      </c>
      <c r="P237" t="s">
        <v>405</v>
      </c>
      <c r="Q237">
        <v>1</v>
      </c>
      <c r="X237">
        <v>0.65</v>
      </c>
      <c r="Y237">
        <v>0</v>
      </c>
      <c r="Z237">
        <v>0</v>
      </c>
      <c r="AA237">
        <v>0</v>
      </c>
      <c r="AB237">
        <v>9.17</v>
      </c>
      <c r="AC237">
        <v>0</v>
      </c>
      <c r="AD237">
        <v>1</v>
      </c>
      <c r="AE237">
        <v>1</v>
      </c>
      <c r="AF237" t="s">
        <v>268</v>
      </c>
      <c r="AG237">
        <v>0.52</v>
      </c>
      <c r="AH237">
        <v>2</v>
      </c>
      <c r="AI237">
        <v>39614236</v>
      </c>
      <c r="AJ237">
        <v>259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ROW(Source!A78)</f>
        <v>78</v>
      </c>
      <c r="B238">
        <v>39614237</v>
      </c>
      <c r="C238">
        <v>39614235</v>
      </c>
      <c r="D238">
        <v>37518766</v>
      </c>
      <c r="E238">
        <v>1</v>
      </c>
      <c r="F238">
        <v>1</v>
      </c>
      <c r="G238">
        <v>1</v>
      </c>
      <c r="H238">
        <v>1</v>
      </c>
      <c r="I238" t="s">
        <v>626</v>
      </c>
      <c r="J238" t="s">
        <v>3</v>
      </c>
      <c r="K238" t="s">
        <v>627</v>
      </c>
      <c r="L238">
        <v>1191</v>
      </c>
      <c r="N238">
        <v>1013</v>
      </c>
      <c r="O238" t="s">
        <v>405</v>
      </c>
      <c r="P238" t="s">
        <v>405</v>
      </c>
      <c r="Q238">
        <v>1</v>
      </c>
      <c r="X238">
        <v>0.97</v>
      </c>
      <c r="Y238">
        <v>0</v>
      </c>
      <c r="Z238">
        <v>0</v>
      </c>
      <c r="AA238">
        <v>0</v>
      </c>
      <c r="AB238">
        <v>14.09</v>
      </c>
      <c r="AC238">
        <v>0</v>
      </c>
      <c r="AD238">
        <v>1</v>
      </c>
      <c r="AE238">
        <v>1</v>
      </c>
      <c r="AF238" t="s">
        <v>268</v>
      </c>
      <c r="AG238">
        <v>0.77600000000000002</v>
      </c>
      <c r="AH238">
        <v>2</v>
      </c>
      <c r="AI238">
        <v>39614237</v>
      </c>
      <c r="AJ238">
        <v>260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ROW(Source!A79)</f>
        <v>79</v>
      </c>
      <c r="B239">
        <v>39614239</v>
      </c>
      <c r="C239">
        <v>39614238</v>
      </c>
      <c r="D239">
        <v>37519679</v>
      </c>
      <c r="E239">
        <v>1</v>
      </c>
      <c r="F239">
        <v>1</v>
      </c>
      <c r="G239">
        <v>1</v>
      </c>
      <c r="H239">
        <v>1</v>
      </c>
      <c r="I239" t="s">
        <v>620</v>
      </c>
      <c r="J239" t="s">
        <v>3</v>
      </c>
      <c r="K239" t="s">
        <v>621</v>
      </c>
      <c r="L239">
        <v>1191</v>
      </c>
      <c r="N239">
        <v>1013</v>
      </c>
      <c r="O239" t="s">
        <v>405</v>
      </c>
      <c r="P239" t="s">
        <v>405</v>
      </c>
      <c r="Q239">
        <v>1</v>
      </c>
      <c r="X239">
        <v>0.61</v>
      </c>
      <c r="Y239">
        <v>0</v>
      </c>
      <c r="Z239">
        <v>0</v>
      </c>
      <c r="AA239">
        <v>0</v>
      </c>
      <c r="AB239">
        <v>12.92</v>
      </c>
      <c r="AC239">
        <v>0</v>
      </c>
      <c r="AD239">
        <v>1</v>
      </c>
      <c r="AE239">
        <v>1</v>
      </c>
      <c r="AF239" t="s">
        <v>268</v>
      </c>
      <c r="AG239">
        <v>0.48799999999999999</v>
      </c>
      <c r="AH239">
        <v>2</v>
      </c>
      <c r="AI239">
        <v>39614239</v>
      </c>
      <c r="AJ239">
        <v>261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ROW(Source!A79)</f>
        <v>79</v>
      </c>
      <c r="B240">
        <v>39614240</v>
      </c>
      <c r="C240">
        <v>39614238</v>
      </c>
      <c r="D240">
        <v>37518716</v>
      </c>
      <c r="E240">
        <v>1</v>
      </c>
      <c r="F240">
        <v>1</v>
      </c>
      <c r="G240">
        <v>1</v>
      </c>
      <c r="H240">
        <v>1</v>
      </c>
      <c r="I240" t="s">
        <v>622</v>
      </c>
      <c r="J240" t="s">
        <v>3</v>
      </c>
      <c r="K240" t="s">
        <v>623</v>
      </c>
      <c r="L240">
        <v>1191</v>
      </c>
      <c r="N240">
        <v>1013</v>
      </c>
      <c r="O240" t="s">
        <v>405</v>
      </c>
      <c r="P240" t="s">
        <v>405</v>
      </c>
      <c r="Q240">
        <v>1</v>
      </c>
      <c r="X240">
        <v>0.61</v>
      </c>
      <c r="Y240">
        <v>0</v>
      </c>
      <c r="Z240">
        <v>0</v>
      </c>
      <c r="AA240">
        <v>0</v>
      </c>
      <c r="AB240">
        <v>12.69</v>
      </c>
      <c r="AC240">
        <v>0</v>
      </c>
      <c r="AD240">
        <v>1</v>
      </c>
      <c r="AE240">
        <v>1</v>
      </c>
      <c r="AF240" t="s">
        <v>268</v>
      </c>
      <c r="AG240">
        <v>0.48799999999999999</v>
      </c>
      <c r="AH240">
        <v>2</v>
      </c>
      <c r="AI240">
        <v>39614240</v>
      </c>
      <c r="AJ240">
        <v>262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АСУ 45-206-3i</dc:creator>
  <cp:lastModifiedBy>45-206-3</cp:lastModifiedBy>
  <cp:lastPrinted>2018-10-24T12:03:49Z</cp:lastPrinted>
  <dcterms:created xsi:type="dcterms:W3CDTF">2018-10-23T07:34:29Z</dcterms:created>
  <dcterms:modified xsi:type="dcterms:W3CDTF">2018-10-24T12:05:09Z</dcterms:modified>
</cp:coreProperties>
</file>